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6\"/>
    </mc:Choice>
  </mc:AlternateContent>
  <xr:revisionPtr revIDLastSave="0" documentId="13_ncr:1_{2DA1D211-9751-442D-988B-B64E7E636419}" xr6:coauthVersionLast="47" xr6:coauthVersionMax="47" xr10:uidLastSave="{00000000-0000-0000-0000-000000000000}"/>
  <bookViews>
    <workbookView xWindow="28680" yWindow="-120" windowWidth="29040" windowHeight="15720" firstSheet="1" activeTab="12"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BV_Data_An_Cour!$A$2:$AZ$794</definedName>
    <definedName name="_xlnm._FilterDatabase" localSheetId="12" hidden="1">BV_Data_An_Prec!$A$2:$AS$794</definedName>
    <definedName name="_xlnm._FilterDatabase" localSheetId="11" hidden="1">Data_Validation!$A$1:$E$973</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AW794" i="21" l="1"/>
  <c r="AW793" i="21"/>
  <c r="AW792" i="21"/>
  <c r="AW791" i="21"/>
  <c r="AW790" i="21"/>
  <c r="AW789" i="21"/>
  <c r="AW788" i="21"/>
  <c r="AW787" i="21"/>
  <c r="AW786" i="21"/>
  <c r="AW785" i="21"/>
  <c r="AW784" i="21"/>
  <c r="AW783" i="21"/>
  <c r="AW782" i="21"/>
  <c r="AW781" i="21"/>
  <c r="AW780" i="21"/>
  <c r="AW779" i="21"/>
  <c r="AW778" i="21"/>
  <c r="AW777" i="21"/>
  <c r="AW776" i="21"/>
  <c r="AW775" i="21"/>
  <c r="AW774" i="21"/>
  <c r="AW773" i="21"/>
  <c r="AW772" i="21"/>
  <c r="AW771" i="21"/>
  <c r="AW770" i="21"/>
  <c r="AW769" i="21"/>
  <c r="AW768" i="21"/>
  <c r="AW767" i="21"/>
  <c r="AW766" i="21"/>
  <c r="AW765" i="21"/>
  <c r="AW764" i="21"/>
  <c r="AW763" i="21"/>
  <c r="AW762" i="21"/>
  <c r="AW761" i="21"/>
  <c r="AW760" i="21"/>
  <c r="AW759" i="21"/>
  <c r="AW758" i="21"/>
  <c r="AW757" i="21"/>
  <c r="AW756" i="21"/>
  <c r="AW755" i="21"/>
  <c r="AW754" i="21"/>
  <c r="AW753" i="21"/>
  <c r="AW752" i="21"/>
  <c r="AW751" i="21"/>
  <c r="AW750" i="21"/>
  <c r="AW749" i="21"/>
  <c r="AW748" i="21"/>
  <c r="AW747" i="21"/>
  <c r="AW746" i="21"/>
  <c r="AW745" i="21"/>
  <c r="AW744" i="21"/>
  <c r="AW743" i="21"/>
  <c r="AW742" i="21"/>
  <c r="AW741" i="21"/>
  <c r="AW740" i="21"/>
  <c r="AW739" i="21"/>
  <c r="AW738" i="21"/>
  <c r="AW737" i="21"/>
  <c r="AW736" i="21"/>
  <c r="AW735" i="21"/>
  <c r="AW734" i="21"/>
  <c r="AW733" i="21"/>
  <c r="AW732" i="21"/>
  <c r="AW731" i="21"/>
  <c r="AW730" i="21"/>
  <c r="AW729" i="21"/>
  <c r="AW728" i="21"/>
  <c r="AW727" i="21"/>
  <c r="AW726" i="21"/>
  <c r="AW725" i="21"/>
  <c r="AW724" i="21"/>
  <c r="AW723" i="21"/>
  <c r="AW722" i="21"/>
  <c r="AW721" i="21"/>
  <c r="AW720" i="21"/>
  <c r="AW719" i="21"/>
  <c r="AW718" i="21"/>
  <c r="AW717" i="21"/>
  <c r="AW716" i="21"/>
  <c r="AW715" i="21"/>
  <c r="AW714" i="21"/>
  <c r="AW713" i="21"/>
  <c r="AW712" i="21"/>
  <c r="AW711" i="21"/>
  <c r="AW710" i="21"/>
  <c r="AW709" i="21"/>
  <c r="AW708" i="21"/>
  <c r="AW707" i="21"/>
  <c r="AW706" i="21"/>
  <c r="AW705" i="21"/>
  <c r="AW704" i="21"/>
  <c r="AW703" i="21"/>
  <c r="AW702" i="21"/>
  <c r="AW701" i="21"/>
  <c r="AW700" i="21"/>
  <c r="AW699" i="21"/>
  <c r="AW698" i="21"/>
  <c r="AW697" i="21"/>
  <c r="AW696" i="21"/>
  <c r="AW695" i="21"/>
  <c r="AW694" i="21"/>
  <c r="AW693" i="21"/>
  <c r="AW692" i="21"/>
  <c r="AW691" i="21"/>
  <c r="AW690" i="21"/>
  <c r="AW689" i="21"/>
  <c r="AW688" i="21"/>
  <c r="AW687" i="21"/>
  <c r="AW686" i="21"/>
  <c r="AW685" i="21"/>
  <c r="AW684" i="21"/>
  <c r="AW683" i="21"/>
  <c r="AW682" i="21"/>
  <c r="AW681" i="21"/>
  <c r="AW680" i="21"/>
  <c r="AW679" i="21"/>
  <c r="AW678" i="21"/>
  <c r="AW677" i="21"/>
  <c r="AW676" i="21"/>
  <c r="AW675" i="21"/>
  <c r="AW674" i="21"/>
  <c r="AW673" i="21"/>
  <c r="AW672" i="21"/>
  <c r="AW671" i="21"/>
  <c r="AW670" i="21"/>
  <c r="AW669" i="21"/>
  <c r="AW668" i="21"/>
  <c r="AW667" i="21"/>
  <c r="AW666" i="21"/>
  <c r="AW665" i="21"/>
  <c r="AW664" i="21"/>
  <c r="AW663" i="21"/>
  <c r="AW662" i="21"/>
  <c r="AW661" i="21"/>
  <c r="AW660" i="21"/>
  <c r="AW659" i="21"/>
  <c r="AW658" i="21"/>
  <c r="AW657" i="21"/>
  <c r="AW656" i="21"/>
  <c r="AW655" i="21"/>
  <c r="AW654" i="21"/>
  <c r="AW653" i="21"/>
  <c r="AW652" i="21"/>
  <c r="AW651" i="21"/>
  <c r="AW650" i="21"/>
  <c r="AW649" i="21"/>
  <c r="AW648" i="21"/>
  <c r="AW647" i="21"/>
  <c r="AW646" i="21"/>
  <c r="AW645" i="21"/>
  <c r="AW644" i="21"/>
  <c r="AW643" i="21"/>
  <c r="AW642" i="21"/>
  <c r="AW641" i="21"/>
  <c r="AW640" i="21"/>
  <c r="AW639" i="21"/>
  <c r="AW638" i="21"/>
  <c r="AW637" i="21"/>
  <c r="AW636" i="21"/>
  <c r="AW635" i="21"/>
  <c r="AW634" i="21"/>
  <c r="AW633" i="21"/>
  <c r="AW632" i="21"/>
  <c r="AW631" i="21"/>
  <c r="AW630" i="21"/>
  <c r="AW629" i="21"/>
  <c r="AW628" i="21"/>
  <c r="AW627" i="21"/>
  <c r="AW626" i="21"/>
  <c r="AW625" i="21"/>
  <c r="AW624" i="21"/>
  <c r="AW623" i="21"/>
  <c r="AW622" i="21"/>
  <c r="AW621" i="21"/>
  <c r="AW620" i="21"/>
  <c r="AW619" i="21"/>
  <c r="AW618" i="21"/>
  <c r="AW617" i="21"/>
  <c r="AW616" i="21"/>
  <c r="AW615" i="21"/>
  <c r="AW614" i="21"/>
  <c r="AW613" i="21"/>
  <c r="AW612" i="21"/>
  <c r="AW611" i="21"/>
  <c r="AW610" i="21"/>
  <c r="AW609" i="21"/>
  <c r="AW608" i="21"/>
  <c r="AW607" i="21"/>
  <c r="AW606" i="21"/>
  <c r="AW605" i="21"/>
  <c r="AW604" i="21"/>
  <c r="AW603" i="21"/>
  <c r="AW602" i="21"/>
  <c r="AW601" i="21"/>
  <c r="AW600" i="21"/>
  <c r="AW599" i="21"/>
  <c r="AW598" i="21"/>
  <c r="AW597" i="21"/>
  <c r="AW596" i="21"/>
  <c r="AW595" i="21"/>
  <c r="AW594" i="21"/>
  <c r="AW593" i="21"/>
  <c r="AW592" i="21"/>
  <c r="AW591" i="21"/>
  <c r="AW590" i="21"/>
  <c r="AW589" i="21"/>
  <c r="AW588" i="21"/>
  <c r="AW587" i="21"/>
  <c r="AW586" i="21"/>
  <c r="AW585" i="21"/>
  <c r="AW584" i="21"/>
  <c r="AW583" i="21"/>
  <c r="AW582" i="21"/>
  <c r="AW581" i="21"/>
  <c r="AW580" i="21"/>
  <c r="AW579" i="21"/>
  <c r="AW578" i="21"/>
  <c r="AW577" i="21"/>
  <c r="AW576" i="21"/>
  <c r="AW575" i="21"/>
  <c r="AW574" i="21"/>
  <c r="AW573" i="21"/>
  <c r="AW572" i="21"/>
  <c r="AW571" i="21"/>
  <c r="AW570" i="21"/>
  <c r="AW569" i="21"/>
  <c r="AW568" i="21"/>
  <c r="AW567" i="21"/>
  <c r="AW566" i="21"/>
  <c r="AW565" i="21"/>
  <c r="AW564" i="21"/>
  <c r="AW563" i="21"/>
  <c r="AW562" i="21"/>
  <c r="AW561" i="21"/>
  <c r="AW560" i="21"/>
  <c r="AW559" i="21"/>
  <c r="AW558" i="21"/>
  <c r="AW557" i="21"/>
  <c r="AW556" i="21"/>
  <c r="AW555" i="21"/>
  <c r="AW554" i="21"/>
  <c r="AW553" i="21"/>
  <c r="AW552" i="21"/>
  <c r="AW551" i="21"/>
  <c r="AW550" i="21"/>
  <c r="AW549" i="21"/>
  <c r="AW548" i="21"/>
  <c r="AW547" i="21"/>
  <c r="AW546" i="21"/>
  <c r="AW545" i="21"/>
  <c r="AW544" i="21"/>
  <c r="AW543" i="21"/>
  <c r="AW542" i="21"/>
  <c r="AW541" i="21"/>
  <c r="AW540" i="21"/>
  <c r="AW539" i="21"/>
  <c r="AW538" i="21"/>
  <c r="AW537" i="21"/>
  <c r="AW536" i="21"/>
  <c r="AW535" i="21"/>
  <c r="AW534" i="21"/>
  <c r="AW533" i="21"/>
  <c r="AW532" i="21"/>
  <c r="AW531" i="21"/>
  <c r="AW530" i="21"/>
  <c r="AW529" i="21"/>
  <c r="AW528" i="21"/>
  <c r="AW527" i="21"/>
  <c r="AW526" i="21"/>
  <c r="AW525" i="21"/>
  <c r="AW524" i="21"/>
  <c r="AW523" i="21"/>
  <c r="AW522" i="21"/>
  <c r="AW521" i="21"/>
  <c r="AW520" i="21"/>
  <c r="AW519" i="21"/>
  <c r="AW518" i="21"/>
  <c r="AW517" i="21"/>
  <c r="AW516" i="21"/>
  <c r="AW515" i="21"/>
  <c r="AW514" i="21"/>
  <c r="AW513" i="21"/>
  <c r="AW512" i="21"/>
  <c r="AW511" i="21"/>
  <c r="AW510" i="21"/>
  <c r="AW509" i="21"/>
  <c r="AW508" i="21"/>
  <c r="AW507" i="21"/>
  <c r="AW506" i="21"/>
  <c r="AW505" i="21"/>
  <c r="AW504" i="21"/>
  <c r="AW503" i="21"/>
  <c r="AW502" i="21"/>
  <c r="AW501" i="21"/>
  <c r="AW500" i="21"/>
  <c r="AW499" i="21"/>
  <c r="AW498" i="21"/>
  <c r="AW497" i="21"/>
  <c r="AW496" i="21"/>
  <c r="AW495" i="21"/>
  <c r="AW494" i="21"/>
  <c r="AW493" i="21"/>
  <c r="AW492" i="21"/>
  <c r="AW491" i="21"/>
  <c r="AW490" i="21"/>
  <c r="AW489" i="21"/>
  <c r="AW488" i="21"/>
  <c r="AW487" i="21"/>
  <c r="AW486" i="21"/>
  <c r="AW485" i="21"/>
  <c r="AW484" i="21"/>
  <c r="AW483" i="21"/>
  <c r="AW482" i="21"/>
  <c r="AW481" i="21"/>
  <c r="AW480" i="21"/>
  <c r="AW479" i="21"/>
  <c r="AW478" i="21"/>
  <c r="AW477" i="21"/>
  <c r="AW476" i="21"/>
  <c r="AW475" i="21"/>
  <c r="AW474" i="21"/>
  <c r="AW473" i="21"/>
  <c r="AW472" i="21"/>
  <c r="AW471" i="21"/>
  <c r="AW470" i="21"/>
  <c r="AW469" i="21"/>
  <c r="AW468" i="21"/>
  <c r="AW467" i="21"/>
  <c r="AW466" i="21"/>
  <c r="AW465" i="21"/>
  <c r="AW464" i="21"/>
  <c r="AW463" i="21"/>
  <c r="AW462" i="21"/>
  <c r="AW461" i="21"/>
  <c r="AW460" i="21"/>
  <c r="AW459" i="21"/>
  <c r="AW458" i="21"/>
  <c r="AW457" i="21"/>
  <c r="AW456" i="21"/>
  <c r="AW455" i="21"/>
  <c r="AW454" i="21"/>
  <c r="AW453" i="21"/>
  <c r="AW452" i="21"/>
  <c r="AW451" i="21"/>
  <c r="AW450" i="21"/>
  <c r="AW449" i="21"/>
  <c r="AW448" i="21"/>
  <c r="AW447" i="21"/>
  <c r="AW446" i="21"/>
  <c r="AW445" i="21"/>
  <c r="AW444" i="21"/>
  <c r="AW443" i="21"/>
  <c r="AW442" i="21"/>
  <c r="AW441" i="21"/>
  <c r="AW440" i="21"/>
  <c r="AW439" i="21"/>
  <c r="AW438" i="21"/>
  <c r="AW437" i="21"/>
  <c r="AW436" i="21"/>
  <c r="AW435" i="21"/>
  <c r="AW434" i="21"/>
  <c r="AW433" i="21"/>
  <c r="AW432" i="21"/>
  <c r="AW431" i="21"/>
  <c r="AW430" i="21"/>
  <c r="AW429" i="21"/>
  <c r="AW428" i="21"/>
  <c r="AW427" i="21"/>
  <c r="AW426" i="21"/>
  <c r="AW425" i="21"/>
  <c r="AW424" i="21"/>
  <c r="AW423" i="21"/>
  <c r="AW422" i="21"/>
  <c r="AW421" i="21"/>
  <c r="AW420" i="21"/>
  <c r="AW419" i="21"/>
  <c r="AW418" i="21"/>
  <c r="AW417" i="21"/>
  <c r="AW416" i="21"/>
  <c r="AW415" i="21"/>
  <c r="AW414" i="21"/>
  <c r="AW413" i="21"/>
  <c r="AW412" i="21"/>
  <c r="AW411" i="21"/>
  <c r="AW410" i="21"/>
  <c r="AW409" i="21"/>
  <c r="AW408" i="21"/>
  <c r="AW407" i="21"/>
  <c r="AW406" i="21"/>
  <c r="AW405" i="21"/>
  <c r="AW404" i="21"/>
  <c r="AW403" i="21"/>
  <c r="AW402" i="21"/>
  <c r="AW401" i="21"/>
  <c r="AW400" i="21"/>
  <c r="AW399" i="21"/>
  <c r="AW398" i="21"/>
  <c r="AW397" i="21"/>
  <c r="AW396" i="21"/>
  <c r="AW395" i="21"/>
  <c r="AW394" i="21"/>
  <c r="AW393" i="21"/>
  <c r="AW392" i="21"/>
  <c r="AW391" i="21"/>
  <c r="AW390" i="21"/>
  <c r="AW389" i="21"/>
  <c r="AW388" i="21"/>
  <c r="AW387" i="21"/>
  <c r="AW386" i="21"/>
  <c r="AW385" i="21"/>
  <c r="AW384" i="21"/>
  <c r="AW383" i="21"/>
  <c r="AW382" i="21"/>
  <c r="AW381" i="21"/>
  <c r="AW380" i="21"/>
  <c r="AW379" i="21"/>
  <c r="AW378" i="21"/>
  <c r="AW377" i="21"/>
  <c r="AW376" i="21"/>
  <c r="AW375" i="21"/>
  <c r="AW374" i="21"/>
  <c r="AW373" i="21"/>
  <c r="AW372" i="21"/>
  <c r="AW371" i="21"/>
  <c r="AW370" i="21"/>
  <c r="AW369" i="21"/>
  <c r="AW368" i="21"/>
  <c r="AW367" i="21"/>
  <c r="AW366" i="21"/>
  <c r="AW365" i="21"/>
  <c r="AW364" i="21"/>
  <c r="AW363" i="21"/>
  <c r="AW362" i="21"/>
  <c r="AW361" i="21"/>
  <c r="AW360" i="21"/>
  <c r="AW359" i="21"/>
  <c r="AW358" i="21"/>
  <c r="AW357" i="21"/>
  <c r="AW356" i="21"/>
  <c r="AW355" i="21"/>
  <c r="AW354" i="21"/>
  <c r="AW353" i="21"/>
  <c r="AW352" i="21"/>
  <c r="AW351" i="21"/>
  <c r="AW350" i="21"/>
  <c r="AW349" i="21"/>
  <c r="AW348" i="21"/>
  <c r="AW347" i="21"/>
  <c r="AW346" i="21"/>
  <c r="AW345" i="21"/>
  <c r="AW344" i="21"/>
  <c r="AW343" i="21"/>
  <c r="AW342" i="21"/>
  <c r="AW341" i="21"/>
  <c r="AW340" i="21"/>
  <c r="AW339" i="21"/>
  <c r="AW338" i="21"/>
  <c r="AW337" i="21"/>
  <c r="AW336" i="21"/>
  <c r="AW335" i="21"/>
  <c r="AW334" i="21"/>
  <c r="AW333" i="21"/>
  <c r="AW332" i="21"/>
  <c r="AW331" i="21"/>
  <c r="AW330" i="21"/>
  <c r="AW329" i="21"/>
  <c r="AW328" i="21"/>
  <c r="AW327" i="21"/>
  <c r="AW326" i="21"/>
  <c r="AW325" i="21"/>
  <c r="AW324" i="21"/>
  <c r="AW323" i="21"/>
  <c r="AW322" i="21"/>
  <c r="AW321" i="21"/>
  <c r="AW320" i="21"/>
  <c r="AW319" i="21"/>
  <c r="AW318" i="21"/>
  <c r="AW317" i="21"/>
  <c r="AW316" i="21"/>
  <c r="AW315" i="21"/>
  <c r="AW314" i="21"/>
  <c r="AW313" i="21"/>
  <c r="AW312" i="21"/>
  <c r="AW311" i="21"/>
  <c r="AW310" i="21"/>
  <c r="AW309" i="21"/>
  <c r="AW308" i="21"/>
  <c r="AW307" i="21"/>
  <c r="AW306" i="21"/>
  <c r="AW305" i="21"/>
  <c r="AW304" i="21"/>
  <c r="AW303" i="21"/>
  <c r="AW302" i="21"/>
  <c r="AW301" i="21"/>
  <c r="AW300" i="21"/>
  <c r="AW299" i="21"/>
  <c r="AW298" i="21"/>
  <c r="AW297" i="21"/>
  <c r="AW296" i="21"/>
  <c r="AW295" i="21"/>
  <c r="AW294" i="21"/>
  <c r="AW293" i="21"/>
  <c r="AW292" i="21"/>
  <c r="AW291" i="21"/>
  <c r="AW290" i="21"/>
  <c r="AW289" i="21"/>
  <c r="AW288" i="21"/>
  <c r="AW287" i="21"/>
  <c r="AW286" i="21"/>
  <c r="AW285" i="21"/>
  <c r="AW284" i="21"/>
  <c r="AW283" i="21"/>
  <c r="AW282" i="21"/>
  <c r="AW281" i="21"/>
  <c r="AW280" i="21"/>
  <c r="AW279" i="21"/>
  <c r="AW278" i="21"/>
  <c r="AW277" i="21"/>
  <c r="AW276" i="21"/>
  <c r="AW275" i="21"/>
  <c r="AW274" i="21"/>
  <c r="AW273" i="21"/>
  <c r="AW272" i="21"/>
  <c r="AW271" i="21"/>
  <c r="AW270" i="21"/>
  <c r="AW269" i="21"/>
  <c r="AW268" i="21"/>
  <c r="AW267" i="21"/>
  <c r="AW266" i="21"/>
  <c r="AW265" i="21"/>
  <c r="AW264" i="21"/>
  <c r="AW263" i="21"/>
  <c r="AW262" i="21"/>
  <c r="AW261" i="21"/>
  <c r="AW260" i="21"/>
  <c r="AW259" i="21"/>
  <c r="AW258" i="21"/>
  <c r="AW257" i="21"/>
  <c r="AW256" i="21"/>
  <c r="AW255" i="21"/>
  <c r="AW254" i="21"/>
  <c r="AW253" i="21"/>
  <c r="AW252" i="21"/>
  <c r="AW251" i="21"/>
  <c r="AW250" i="21"/>
  <c r="AW249" i="21"/>
  <c r="AW248" i="21"/>
  <c r="AW247" i="21"/>
  <c r="AW246" i="21"/>
  <c r="AW245" i="21"/>
  <c r="AW244" i="21"/>
  <c r="AW243" i="21"/>
  <c r="AW242" i="21"/>
  <c r="AW241" i="21"/>
  <c r="AW240" i="21"/>
  <c r="AW239" i="21"/>
  <c r="AW238" i="21"/>
  <c r="AW237" i="21"/>
  <c r="AW236" i="21"/>
  <c r="AW235" i="21"/>
  <c r="AW234" i="21"/>
  <c r="AW233" i="21"/>
  <c r="AW232" i="21"/>
  <c r="AW231" i="21"/>
  <c r="AW230" i="21"/>
  <c r="AW229" i="21"/>
  <c r="AW228" i="21"/>
  <c r="AW227" i="21"/>
  <c r="AW226" i="21"/>
  <c r="AW225" i="21"/>
  <c r="AW224" i="21"/>
  <c r="AW223" i="21"/>
  <c r="AW222" i="21"/>
  <c r="AW221" i="21"/>
  <c r="AW220" i="21"/>
  <c r="AW219" i="21"/>
  <c r="AW218" i="21"/>
  <c r="AW217" i="21"/>
  <c r="AW216" i="21"/>
  <c r="AW215" i="21"/>
  <c r="AW214" i="21"/>
  <c r="AW213" i="21"/>
  <c r="AW212" i="21"/>
  <c r="AW211" i="21"/>
  <c r="AW210" i="21"/>
  <c r="AW209" i="21"/>
  <c r="AW208" i="21"/>
  <c r="AW207" i="21"/>
  <c r="AW206" i="21"/>
  <c r="AW205" i="21"/>
  <c r="AW204" i="21"/>
  <c r="AW203" i="21"/>
  <c r="AW202" i="21"/>
  <c r="AW201" i="21"/>
  <c r="AW200" i="21"/>
  <c r="AW199" i="21"/>
  <c r="AW198" i="21"/>
  <c r="AW197" i="21"/>
  <c r="AW196" i="21"/>
  <c r="AW195" i="21"/>
  <c r="AW194" i="21"/>
  <c r="AW193" i="21"/>
  <c r="AW192" i="21"/>
  <c r="AW191" i="21"/>
  <c r="AW190" i="21"/>
  <c r="AW189" i="21"/>
  <c r="AW188" i="21"/>
  <c r="AW187" i="21"/>
  <c r="AW186" i="21"/>
  <c r="AW185" i="21"/>
  <c r="AW184" i="21"/>
  <c r="AW183" i="21"/>
  <c r="AW182" i="21"/>
  <c r="AW181" i="21"/>
  <c r="AW180" i="21"/>
  <c r="AW179" i="21"/>
  <c r="AW178" i="21"/>
  <c r="AW177" i="21"/>
  <c r="AW176" i="21"/>
  <c r="AW175" i="21"/>
  <c r="AW174" i="21"/>
  <c r="AW173" i="21"/>
  <c r="AW172" i="21"/>
  <c r="AW171" i="21"/>
  <c r="AW170" i="21"/>
  <c r="AW169" i="21"/>
  <c r="AW168" i="21"/>
  <c r="AW167" i="21"/>
  <c r="AW166" i="21"/>
  <c r="AW165" i="21"/>
  <c r="AW164" i="21"/>
  <c r="AW163" i="21"/>
  <c r="AW162" i="21"/>
  <c r="AW161" i="21"/>
  <c r="AW160" i="21"/>
  <c r="AW159" i="21"/>
  <c r="AW158" i="21"/>
  <c r="AW157" i="21"/>
  <c r="AW156" i="21"/>
  <c r="AW155" i="21"/>
  <c r="AW154" i="21"/>
  <c r="AW153" i="21"/>
  <c r="AW152" i="21"/>
  <c r="AW151" i="21"/>
  <c r="AW150" i="21"/>
  <c r="AW149" i="21"/>
  <c r="AW148" i="21"/>
  <c r="AW147" i="21"/>
  <c r="AW146" i="21"/>
  <c r="AW145" i="21"/>
  <c r="AW144" i="21"/>
  <c r="AW143" i="21"/>
  <c r="AW142" i="21"/>
  <c r="AW141" i="21"/>
  <c r="AW140" i="21"/>
  <c r="AW139" i="21"/>
  <c r="AW138" i="21"/>
  <c r="AW137" i="21"/>
  <c r="AW136" i="21"/>
  <c r="AW135" i="21"/>
  <c r="AW134" i="21"/>
  <c r="AW133" i="21"/>
  <c r="AW132" i="21"/>
  <c r="AW131" i="21"/>
  <c r="AW130" i="21"/>
  <c r="AW129" i="21"/>
  <c r="AW128" i="21"/>
  <c r="AW127" i="21"/>
  <c r="AW126" i="21"/>
  <c r="AW125" i="21"/>
  <c r="AW124" i="21"/>
  <c r="AW123" i="21"/>
  <c r="AW122" i="21"/>
  <c r="AW121" i="21"/>
  <c r="AW120" i="21"/>
  <c r="AW119" i="21"/>
  <c r="AW118" i="21"/>
  <c r="AW117" i="21"/>
  <c r="AW116" i="21"/>
  <c r="AW115" i="21"/>
  <c r="AW114" i="21"/>
  <c r="AW113" i="21"/>
  <c r="AW112" i="21"/>
  <c r="AW111" i="21"/>
  <c r="AW110" i="21"/>
  <c r="AW109" i="21"/>
  <c r="AW108" i="21"/>
  <c r="AW107" i="21"/>
  <c r="AW106" i="21"/>
  <c r="AW105" i="21"/>
  <c r="AW104" i="21"/>
  <c r="AW103" i="21"/>
  <c r="AW102" i="21"/>
  <c r="AW101" i="21"/>
  <c r="AW100" i="21"/>
  <c r="AW99" i="21"/>
  <c r="AW98" i="21"/>
  <c r="AW97" i="21"/>
  <c r="AW96" i="21"/>
  <c r="AW95" i="21"/>
  <c r="AW94" i="21"/>
  <c r="AW93" i="21"/>
  <c r="AW92" i="21"/>
  <c r="AW91" i="21"/>
  <c r="AW90" i="21"/>
  <c r="AW89" i="21"/>
  <c r="AW88" i="21"/>
  <c r="AW87" i="21"/>
  <c r="AW86" i="21"/>
  <c r="AW85" i="21"/>
  <c r="AW84" i="21"/>
  <c r="AW83" i="21"/>
  <c r="AW82" i="21"/>
  <c r="AW81" i="21"/>
  <c r="AW80" i="21"/>
  <c r="AW79" i="21"/>
  <c r="AW78" i="21"/>
  <c r="AW77" i="21"/>
  <c r="AW76" i="21"/>
  <c r="AW75" i="21"/>
  <c r="AW74" i="21"/>
  <c r="AW73" i="21"/>
  <c r="AW72" i="21"/>
  <c r="AW71" i="21"/>
  <c r="AW70" i="21"/>
  <c r="AW69" i="21"/>
  <c r="AW68" i="21"/>
  <c r="AW67" i="21"/>
  <c r="AW66" i="21"/>
  <c r="AW65" i="21"/>
  <c r="AW64" i="21"/>
  <c r="AW63" i="21"/>
  <c r="AW62" i="21"/>
  <c r="AW61" i="21"/>
  <c r="AW60" i="21"/>
  <c r="AW59" i="21"/>
  <c r="AW58" i="21"/>
  <c r="AW57" i="21"/>
  <c r="AW56" i="21"/>
  <c r="AW55" i="21"/>
  <c r="AW54" i="21"/>
  <c r="AW53" i="21"/>
  <c r="AW52" i="21"/>
  <c r="AW51" i="21"/>
  <c r="AW50" i="21"/>
  <c r="AW49" i="21"/>
  <c r="AW48" i="21"/>
  <c r="AW47" i="21"/>
  <c r="AW46" i="21"/>
  <c r="AW45" i="21"/>
  <c r="AW44" i="21"/>
  <c r="AW43" i="21"/>
  <c r="AW42" i="21"/>
  <c r="AW41" i="21"/>
  <c r="AW40" i="21"/>
  <c r="AW39" i="21"/>
  <c r="AW38" i="21"/>
  <c r="AW37" i="21"/>
  <c r="AW36" i="21"/>
  <c r="AW35" i="21"/>
  <c r="AW34" i="21"/>
  <c r="AW33" i="21"/>
  <c r="AW32" i="21"/>
  <c r="AW31" i="21"/>
  <c r="AW30" i="21"/>
  <c r="AW29" i="21"/>
  <c r="AW28" i="21"/>
  <c r="AW27" i="21"/>
  <c r="AW26" i="21"/>
  <c r="AW25" i="21"/>
  <c r="AW24" i="21"/>
  <c r="AW23" i="21"/>
  <c r="AW22" i="21"/>
  <c r="AW21" i="21"/>
  <c r="AW20" i="21"/>
  <c r="AW19" i="21"/>
  <c r="AW18" i="21"/>
  <c r="AW17" i="21"/>
  <c r="AW16" i="21"/>
  <c r="AW15" i="21"/>
  <c r="AW14" i="21"/>
  <c r="AW13" i="21"/>
  <c r="AW12" i="21"/>
  <c r="AW11" i="21"/>
  <c r="AW10" i="21"/>
  <c r="AW9" i="21"/>
  <c r="AW8" i="21"/>
  <c r="AW7" i="21"/>
  <c r="AW6" i="21"/>
  <c r="AW5" i="21"/>
  <c r="AW4" i="21"/>
  <c r="AW3" i="21"/>
  <c r="AM792" i="21"/>
  <c r="AM791" i="21"/>
  <c r="AM790" i="21"/>
  <c r="AM789" i="21"/>
  <c r="AM788" i="21"/>
  <c r="AM787" i="21"/>
  <c r="AM786" i="21"/>
  <c r="AM785" i="21"/>
  <c r="AM784" i="21"/>
  <c r="AM783" i="21"/>
  <c r="AM782" i="21"/>
  <c r="AM781" i="21"/>
  <c r="AM780" i="21"/>
  <c r="AM779" i="21"/>
  <c r="AM778" i="21"/>
  <c r="AM777" i="21"/>
  <c r="AM776" i="21"/>
  <c r="AM775" i="21"/>
  <c r="AM774" i="21"/>
  <c r="AM773" i="21"/>
  <c r="AM772" i="21"/>
  <c r="AM771" i="21"/>
  <c r="AM770" i="21"/>
  <c r="AM769" i="21"/>
  <c r="AM768" i="21"/>
  <c r="AM767" i="21"/>
  <c r="AM766" i="21"/>
  <c r="AM765" i="21"/>
  <c r="AM764" i="21"/>
  <c r="AM763" i="21"/>
  <c r="AM762" i="21"/>
  <c r="AM761" i="21"/>
  <c r="AM760" i="21"/>
  <c r="AM759" i="21"/>
  <c r="AM758" i="21"/>
  <c r="AM757" i="21"/>
  <c r="AM756" i="21"/>
  <c r="AM755" i="21"/>
  <c r="AM754" i="21"/>
  <c r="AM753" i="21"/>
  <c r="AM752" i="21"/>
  <c r="AM751" i="21"/>
  <c r="AM750" i="21"/>
  <c r="AM749" i="21"/>
  <c r="AM748" i="21"/>
  <c r="AM747" i="21"/>
  <c r="AM746" i="21"/>
  <c r="AM745" i="21"/>
  <c r="AM744" i="21"/>
  <c r="AM743" i="21"/>
  <c r="AM742" i="21"/>
  <c r="AM741" i="21"/>
  <c r="AM740" i="21"/>
  <c r="AM739" i="21"/>
  <c r="AM738" i="21"/>
  <c r="AM737" i="21"/>
  <c r="AM736" i="21"/>
  <c r="AM735" i="21"/>
  <c r="AM734" i="21"/>
  <c r="AM733" i="21"/>
  <c r="AM732" i="21"/>
  <c r="AM731" i="21"/>
  <c r="AM730" i="21"/>
  <c r="AM729" i="21"/>
  <c r="AM728" i="21"/>
  <c r="AM727" i="21"/>
  <c r="AM726" i="21"/>
  <c r="AM725" i="21"/>
  <c r="AM724" i="21"/>
  <c r="AM723" i="21"/>
  <c r="AM722" i="21"/>
  <c r="AM721" i="21"/>
  <c r="AM720" i="21"/>
  <c r="AM719" i="21"/>
  <c r="AM718" i="21"/>
  <c r="AM717" i="21"/>
  <c r="AM716" i="21"/>
  <c r="AM715" i="21"/>
  <c r="AM714" i="21"/>
  <c r="AM713" i="21"/>
  <c r="AM712" i="21"/>
  <c r="AM711" i="21"/>
  <c r="AM710" i="21"/>
  <c r="AM709" i="21"/>
  <c r="AM708" i="21"/>
  <c r="AM707" i="21"/>
  <c r="AM706" i="21"/>
  <c r="AM705" i="21"/>
  <c r="AM704" i="21"/>
  <c r="AM703" i="21"/>
  <c r="AM702" i="21"/>
  <c r="AM701" i="21"/>
  <c r="AM700" i="21"/>
  <c r="AM699" i="21"/>
  <c r="AM698" i="21"/>
  <c r="AM697" i="21"/>
  <c r="AM696" i="21"/>
  <c r="AM695" i="21"/>
  <c r="AM694" i="21"/>
  <c r="AM693" i="21"/>
  <c r="AM692" i="21"/>
  <c r="AM691" i="21"/>
  <c r="AM690" i="21"/>
  <c r="AM689" i="21"/>
  <c r="AM688" i="21"/>
  <c r="AM687" i="21"/>
  <c r="AM686" i="21"/>
  <c r="AM685" i="21"/>
  <c r="AM684" i="21"/>
  <c r="AM683" i="21"/>
  <c r="AM682" i="21"/>
  <c r="AM681" i="21"/>
  <c r="AM680" i="21"/>
  <c r="AM679" i="21"/>
  <c r="AM678" i="21"/>
  <c r="AM677" i="21"/>
  <c r="AM676" i="21"/>
  <c r="AM675" i="21"/>
  <c r="AM674" i="21"/>
  <c r="AM673" i="21"/>
  <c r="AM672" i="21"/>
  <c r="AM671" i="21"/>
  <c r="AM670" i="21"/>
  <c r="AM669" i="21"/>
  <c r="AM668" i="21"/>
  <c r="AM667" i="21"/>
  <c r="AM666" i="21"/>
  <c r="AM665" i="21"/>
  <c r="AM664" i="21"/>
  <c r="AM663" i="21"/>
  <c r="AM662" i="21"/>
  <c r="AM661" i="21"/>
  <c r="AM660" i="21"/>
  <c r="AM659" i="21"/>
  <c r="AM658" i="21"/>
  <c r="AM657" i="21"/>
  <c r="AM656" i="21"/>
  <c r="AM655" i="21"/>
  <c r="AM654" i="21"/>
  <c r="AM653" i="21"/>
  <c r="AM652" i="21"/>
  <c r="AM651" i="21"/>
  <c r="AM650" i="21"/>
  <c r="AM649" i="21"/>
  <c r="AM648" i="21"/>
  <c r="AM647" i="21"/>
  <c r="AM646" i="21"/>
  <c r="AM645" i="21"/>
  <c r="AM644" i="21"/>
  <c r="AM643" i="21"/>
  <c r="AM642" i="21"/>
  <c r="AM641" i="21"/>
  <c r="AM640" i="21"/>
  <c r="AM639" i="21"/>
  <c r="AM638" i="21"/>
  <c r="AM637" i="21"/>
  <c r="AM636" i="21"/>
  <c r="AM635" i="21"/>
  <c r="AM634" i="21"/>
  <c r="AM633" i="21"/>
  <c r="AM632" i="21"/>
  <c r="AM631" i="21"/>
  <c r="AM630" i="21"/>
  <c r="AM629" i="21"/>
  <c r="AM628" i="21"/>
  <c r="AM627" i="21"/>
  <c r="AM626" i="21"/>
  <c r="AM625" i="21"/>
  <c r="AM624" i="21"/>
  <c r="AM623" i="21"/>
  <c r="AM622" i="21"/>
  <c r="AM621" i="21"/>
  <c r="AM620" i="21"/>
  <c r="AM619" i="21"/>
  <c r="AM618" i="21"/>
  <c r="AM617" i="21"/>
  <c r="AM616" i="21"/>
  <c r="AM615" i="21"/>
  <c r="AM614" i="21"/>
  <c r="AM613" i="21"/>
  <c r="AM612" i="21"/>
  <c r="AM611" i="21"/>
  <c r="AM610" i="21"/>
  <c r="AM609" i="21"/>
  <c r="AM608" i="21"/>
  <c r="AM607" i="21"/>
  <c r="AM606" i="21"/>
  <c r="AM605" i="21"/>
  <c r="AM604" i="21"/>
  <c r="AM603" i="21"/>
  <c r="AM602" i="21"/>
  <c r="AM601" i="21"/>
  <c r="AM600" i="21"/>
  <c r="AM599" i="21"/>
  <c r="AM598" i="21"/>
  <c r="AM597" i="21"/>
  <c r="AM596" i="21"/>
  <c r="AM595" i="21"/>
  <c r="AM594" i="21"/>
  <c r="AM593" i="21"/>
  <c r="AM592" i="21"/>
  <c r="AM591" i="21"/>
  <c r="AM590" i="21"/>
  <c r="AM589" i="21"/>
  <c r="AM588" i="21"/>
  <c r="AM587" i="21"/>
  <c r="AM586" i="21"/>
  <c r="AM585" i="21"/>
  <c r="AM584" i="21"/>
  <c r="AM583" i="21"/>
  <c r="AM582" i="21"/>
  <c r="AM581" i="21"/>
  <c r="AM580" i="21"/>
  <c r="AM579" i="21"/>
  <c r="AM578" i="21"/>
  <c r="AM577" i="21"/>
  <c r="AM576" i="21"/>
  <c r="AM575" i="21"/>
  <c r="AM574" i="21"/>
  <c r="AM573" i="21"/>
  <c r="AM572" i="21"/>
  <c r="AM571" i="21"/>
  <c r="AM570" i="21"/>
  <c r="AM569" i="21"/>
  <c r="AM568" i="21"/>
  <c r="AM567" i="21"/>
  <c r="AM566" i="21"/>
  <c r="AM565" i="21"/>
  <c r="AM564" i="21"/>
  <c r="AM563" i="21"/>
  <c r="AM562" i="21"/>
  <c r="AM561" i="21"/>
  <c r="AM560" i="21"/>
  <c r="AM559" i="21"/>
  <c r="AM558" i="21"/>
  <c r="AM557" i="21"/>
  <c r="AM556" i="21"/>
  <c r="AM555" i="21"/>
  <c r="AM554" i="21"/>
  <c r="AM553" i="21"/>
  <c r="AM552" i="21"/>
  <c r="AM551" i="21"/>
  <c r="AM550" i="21"/>
  <c r="AM549" i="21"/>
  <c r="AM548" i="21"/>
  <c r="AM547" i="21"/>
  <c r="AM546" i="21"/>
  <c r="AM545" i="21"/>
  <c r="AM544" i="21"/>
  <c r="AM543" i="21"/>
  <c r="AM542" i="21"/>
  <c r="AM541" i="21"/>
  <c r="AM540" i="21"/>
  <c r="AM539" i="21"/>
  <c r="AM538" i="21"/>
  <c r="AM537" i="21"/>
  <c r="AM536" i="21"/>
  <c r="AM535" i="21"/>
  <c r="AM534" i="21"/>
  <c r="AM533" i="21"/>
  <c r="AM532" i="21"/>
  <c r="AM531" i="21"/>
  <c r="AM530" i="21"/>
  <c r="AM529" i="21"/>
  <c r="AM528" i="21"/>
  <c r="AM527" i="21"/>
  <c r="AM526" i="21"/>
  <c r="AM525" i="21"/>
  <c r="AM524" i="21"/>
  <c r="AM523" i="21"/>
  <c r="AM522" i="21"/>
  <c r="AM521" i="21"/>
  <c r="AM520" i="21"/>
  <c r="AM519" i="21"/>
  <c r="AM518" i="21"/>
  <c r="AM517" i="21"/>
  <c r="AM516" i="21"/>
  <c r="AM515" i="21"/>
  <c r="AM514" i="21"/>
  <c r="AM513" i="21"/>
  <c r="AM512" i="21"/>
  <c r="AM511" i="21"/>
  <c r="AM510" i="21"/>
  <c r="AM509" i="21"/>
  <c r="AM508" i="21"/>
  <c r="AM507" i="21"/>
  <c r="AM506" i="21"/>
  <c r="AM505" i="21"/>
  <c r="AM504" i="21"/>
  <c r="AM503" i="21"/>
  <c r="AM502" i="21"/>
  <c r="AM501" i="21"/>
  <c r="AM500" i="21"/>
  <c r="AM499" i="21"/>
  <c r="AM498" i="21"/>
  <c r="AM497" i="21"/>
  <c r="AM496" i="21"/>
  <c r="AM495" i="21"/>
  <c r="AM494" i="21"/>
  <c r="AM493" i="21"/>
  <c r="AM492" i="21"/>
  <c r="AM491" i="21"/>
  <c r="AM490" i="21"/>
  <c r="AM489" i="21"/>
  <c r="AM488" i="21"/>
  <c r="AM487" i="21"/>
  <c r="AM486" i="21"/>
  <c r="AM485" i="21"/>
  <c r="AM484" i="21"/>
  <c r="AM483" i="21"/>
  <c r="AM482" i="21"/>
  <c r="AM481" i="21"/>
  <c r="AM480" i="21"/>
  <c r="AM479" i="21"/>
  <c r="AM478" i="21"/>
  <c r="AM477" i="21"/>
  <c r="AM476" i="21"/>
  <c r="AM475" i="21"/>
  <c r="AM474" i="21"/>
  <c r="AM473" i="21"/>
  <c r="AM472" i="21"/>
  <c r="AM471" i="21"/>
  <c r="AM470" i="21"/>
  <c r="AM469" i="21"/>
  <c r="AM468" i="21"/>
  <c r="AM467" i="21"/>
  <c r="AM466" i="21"/>
  <c r="AM465" i="21"/>
  <c r="AM464" i="21"/>
  <c r="AM463" i="21"/>
  <c r="AM462" i="21"/>
  <c r="AM461" i="21"/>
  <c r="AM460" i="21"/>
  <c r="AM459" i="21"/>
  <c r="AM458" i="21"/>
  <c r="AM457" i="21"/>
  <c r="AM456" i="21"/>
  <c r="AM455" i="21"/>
  <c r="AM454" i="21"/>
  <c r="AM453" i="21"/>
  <c r="AM452" i="21"/>
  <c r="AM451" i="21"/>
  <c r="AM450" i="21"/>
  <c r="AM449" i="21"/>
  <c r="AM448" i="21"/>
  <c r="AM447" i="21"/>
  <c r="AM446" i="21"/>
  <c r="AM445" i="21"/>
  <c r="AM444" i="21"/>
  <c r="AM443" i="21"/>
  <c r="AM442" i="21"/>
  <c r="AM441" i="21"/>
  <c r="AM440" i="21"/>
  <c r="AM439" i="21"/>
  <c r="AM438" i="21"/>
  <c r="AM437" i="21"/>
  <c r="AM436" i="21"/>
  <c r="AM435" i="21"/>
  <c r="AM434" i="21"/>
  <c r="AM433" i="21"/>
  <c r="AM432" i="21"/>
  <c r="AM431" i="21"/>
  <c r="AM430" i="21"/>
  <c r="AM429" i="21"/>
  <c r="AM428" i="21"/>
  <c r="AM427" i="21"/>
  <c r="AM426" i="21"/>
  <c r="AM425" i="21"/>
  <c r="AM424" i="21"/>
  <c r="AM423" i="21"/>
  <c r="AM422" i="21"/>
  <c r="AM421" i="21"/>
  <c r="AM420" i="21"/>
  <c r="AM419" i="21"/>
  <c r="AM418" i="21"/>
  <c r="AM417" i="21"/>
  <c r="AM416" i="21"/>
  <c r="AM415" i="21"/>
  <c r="AM414" i="21"/>
  <c r="AM413" i="21"/>
  <c r="AM412" i="21"/>
  <c r="AM411" i="21"/>
  <c r="AM410" i="21"/>
  <c r="AM409" i="21"/>
  <c r="AM408" i="21"/>
  <c r="AM407" i="21"/>
  <c r="AM406" i="21"/>
  <c r="AM405" i="21"/>
  <c r="AM404" i="21"/>
  <c r="AM403" i="21"/>
  <c r="AM402" i="21"/>
  <c r="AM401" i="21"/>
  <c r="AM400" i="21"/>
  <c r="AM399" i="21"/>
  <c r="AM398" i="21"/>
  <c r="AM397" i="21"/>
  <c r="AM396" i="21"/>
  <c r="AM395" i="21"/>
  <c r="AM394" i="21"/>
  <c r="AM393" i="21"/>
  <c r="AM392" i="21"/>
  <c r="AM391" i="21"/>
  <c r="AM390" i="21"/>
  <c r="AM389" i="21"/>
  <c r="AM388" i="21"/>
  <c r="AM387" i="21"/>
  <c r="AM386" i="21"/>
  <c r="AM385" i="21"/>
  <c r="AM384" i="21"/>
  <c r="AM383" i="21"/>
  <c r="AM382" i="21"/>
  <c r="AM381" i="21"/>
  <c r="AM380" i="21"/>
  <c r="AM379" i="21"/>
  <c r="AM378" i="21"/>
  <c r="AM377" i="21"/>
  <c r="AM376" i="21"/>
  <c r="AM375" i="21"/>
  <c r="AM374" i="21"/>
  <c r="AM373" i="21"/>
  <c r="AM372" i="21"/>
  <c r="AM371" i="21"/>
  <c r="AM370" i="21"/>
  <c r="AM369" i="21"/>
  <c r="AM368" i="21"/>
  <c r="AM367" i="21"/>
  <c r="AM366" i="21"/>
  <c r="AM365" i="21"/>
  <c r="AM364" i="21"/>
  <c r="AM363" i="21"/>
  <c r="AM362" i="21"/>
  <c r="AM361" i="21"/>
  <c r="AM360" i="21"/>
  <c r="AM359" i="21"/>
  <c r="AM358" i="21"/>
  <c r="AM357" i="21"/>
  <c r="AM356" i="21"/>
  <c r="AM355" i="21"/>
  <c r="AM354" i="21"/>
  <c r="AM353" i="21"/>
  <c r="AM352" i="21"/>
  <c r="AM351" i="21"/>
  <c r="AM350" i="21"/>
  <c r="AM349" i="21"/>
  <c r="AM348" i="21"/>
  <c r="AM347" i="21"/>
  <c r="AM346" i="21"/>
  <c r="AM345" i="21"/>
  <c r="AM344" i="21"/>
  <c r="AM343" i="21"/>
  <c r="AM342" i="21"/>
  <c r="AM341" i="21"/>
  <c r="AM340" i="21"/>
  <c r="AM339" i="21"/>
  <c r="AM338" i="21"/>
  <c r="AM337" i="21"/>
  <c r="AM336" i="21"/>
  <c r="AM335" i="21"/>
  <c r="AM334" i="21"/>
  <c r="AM333" i="21"/>
  <c r="AM332" i="21"/>
  <c r="AM331" i="21"/>
  <c r="AM330" i="21"/>
  <c r="AM329" i="21"/>
  <c r="AM328" i="21"/>
  <c r="AM327" i="21"/>
  <c r="AM326" i="21"/>
  <c r="AM325" i="21"/>
  <c r="AM324" i="21"/>
  <c r="AM323" i="21"/>
  <c r="AM322" i="21"/>
  <c r="AM321" i="21"/>
  <c r="AM320" i="21"/>
  <c r="AM319" i="21"/>
  <c r="AM318" i="21"/>
  <c r="AM317" i="21"/>
  <c r="AM316" i="21"/>
  <c r="AM315" i="21"/>
  <c r="AM314" i="21"/>
  <c r="AM313" i="21"/>
  <c r="AM312" i="21"/>
  <c r="AM311" i="21"/>
  <c r="AM310" i="21"/>
  <c r="AM309" i="21"/>
  <c r="AM308" i="21"/>
  <c r="AM307" i="21"/>
  <c r="AM306" i="21"/>
  <c r="AM305" i="21"/>
  <c r="AM304" i="21"/>
  <c r="AM303" i="21"/>
  <c r="AM302" i="21"/>
  <c r="AM301" i="21"/>
  <c r="AM300" i="21"/>
  <c r="AM299" i="21"/>
  <c r="AM298" i="21"/>
  <c r="AM297" i="21"/>
  <c r="AM296" i="21"/>
  <c r="AM295" i="21"/>
  <c r="AM294" i="21"/>
  <c r="AM293" i="21"/>
  <c r="AM292" i="21"/>
  <c r="AM291" i="21"/>
  <c r="AM290" i="21"/>
  <c r="AM289" i="21"/>
  <c r="AM288" i="21"/>
  <c r="AM287" i="21"/>
  <c r="AM286" i="21"/>
  <c r="AM285" i="21"/>
  <c r="AM284" i="21"/>
  <c r="AM283" i="21"/>
  <c r="AM282" i="21"/>
  <c r="AM281" i="21"/>
  <c r="AM280" i="21"/>
  <c r="AM279" i="21"/>
  <c r="AM278" i="21"/>
  <c r="AM277" i="21"/>
  <c r="AM276" i="21"/>
  <c r="AM275" i="21"/>
  <c r="AM274" i="21"/>
  <c r="AM273" i="21"/>
  <c r="AM272" i="21"/>
  <c r="AM271" i="21"/>
  <c r="AM270" i="21"/>
  <c r="AM269" i="21"/>
  <c r="AM268" i="21"/>
  <c r="AM267" i="21"/>
  <c r="AM266" i="21"/>
  <c r="AM265" i="21"/>
  <c r="AM264" i="21"/>
  <c r="AM263" i="21"/>
  <c r="AM262" i="21"/>
  <c r="AM261" i="21"/>
  <c r="AM260" i="21"/>
  <c r="AM259" i="21"/>
  <c r="AM258" i="21"/>
  <c r="AM257" i="21"/>
  <c r="AM256" i="21"/>
  <c r="AM255" i="21"/>
  <c r="AM254" i="21"/>
  <c r="AM253" i="21"/>
  <c r="AM252" i="21"/>
  <c r="AM251" i="21"/>
  <c r="AM250" i="21"/>
  <c r="AM249" i="21"/>
  <c r="AM248" i="21"/>
  <c r="AM247" i="21"/>
  <c r="AM246" i="21"/>
  <c r="AM245" i="21"/>
  <c r="AM244" i="21"/>
  <c r="AM243" i="21"/>
  <c r="AM242" i="21"/>
  <c r="AM241" i="21"/>
  <c r="AM240" i="21"/>
  <c r="AM239" i="21"/>
  <c r="AM238" i="21"/>
  <c r="AM237" i="21"/>
  <c r="AM236" i="21"/>
  <c r="AM235" i="21"/>
  <c r="AM234" i="21"/>
  <c r="AM233" i="21"/>
  <c r="AM232" i="21"/>
  <c r="AM231" i="21"/>
  <c r="AM230" i="21"/>
  <c r="AM229" i="21"/>
  <c r="AM228" i="21"/>
  <c r="AM227" i="21"/>
  <c r="AM226" i="21"/>
  <c r="AM225" i="21"/>
  <c r="AM224" i="21"/>
  <c r="AM223" i="21"/>
  <c r="AM222" i="21"/>
  <c r="AM221" i="21"/>
  <c r="AM220" i="21"/>
  <c r="AM219" i="21"/>
  <c r="AM218" i="21"/>
  <c r="AM217" i="21"/>
  <c r="AM216" i="21"/>
  <c r="AM215" i="21"/>
  <c r="AM214" i="21"/>
  <c r="AM213" i="21"/>
  <c r="AM212" i="21"/>
  <c r="AM211" i="21"/>
  <c r="AM210" i="21"/>
  <c r="AM209" i="21"/>
  <c r="AM208" i="21"/>
  <c r="AM207" i="21"/>
  <c r="AM206" i="21"/>
  <c r="AM205" i="21"/>
  <c r="AM204" i="21"/>
  <c r="AM203" i="21"/>
  <c r="AM202" i="21"/>
  <c r="AM201" i="21"/>
  <c r="AM200" i="21"/>
  <c r="AM199" i="21"/>
  <c r="AM198" i="21"/>
  <c r="AM197" i="21"/>
  <c r="AM196" i="21"/>
  <c r="AM195" i="21"/>
  <c r="AM194" i="21"/>
  <c r="AM193" i="21"/>
  <c r="AM192" i="21"/>
  <c r="AM191" i="21"/>
  <c r="AM190" i="21"/>
  <c r="AM189" i="21"/>
  <c r="AM188" i="21"/>
  <c r="AM187" i="21"/>
  <c r="AM186" i="21"/>
  <c r="AM185" i="21"/>
  <c r="AM184" i="21"/>
  <c r="AM183" i="21"/>
  <c r="AM182" i="21"/>
  <c r="AM181" i="21"/>
  <c r="AM180" i="21"/>
  <c r="AM179" i="21"/>
  <c r="AM178" i="21"/>
  <c r="AM177" i="21"/>
  <c r="AM176" i="21"/>
  <c r="AM175" i="21"/>
  <c r="AM174" i="21"/>
  <c r="AM173" i="21"/>
  <c r="AM172" i="21"/>
  <c r="AM171" i="21"/>
  <c r="AM170" i="21"/>
  <c r="AM169" i="21"/>
  <c r="AM168" i="21"/>
  <c r="AM167" i="21"/>
  <c r="AM166" i="21"/>
  <c r="AM165" i="21"/>
  <c r="AM164" i="21"/>
  <c r="AM163" i="21"/>
  <c r="AM162" i="21"/>
  <c r="AM161" i="21"/>
  <c r="AM160" i="21"/>
  <c r="AM159" i="21"/>
  <c r="AM158" i="21"/>
  <c r="AM157" i="21"/>
  <c r="AM156" i="21"/>
  <c r="AM155" i="21"/>
  <c r="AM154" i="21"/>
  <c r="AM153" i="21"/>
  <c r="AM152" i="21"/>
  <c r="AM151" i="21"/>
  <c r="AM150" i="21"/>
  <c r="AM149" i="21"/>
  <c r="AM148" i="21"/>
  <c r="AM147" i="21"/>
  <c r="AM146" i="21"/>
  <c r="AM145" i="21"/>
  <c r="AM144" i="21"/>
  <c r="AM143" i="21"/>
  <c r="AM142" i="21"/>
  <c r="AM141" i="21"/>
  <c r="AM140" i="21"/>
  <c r="AM139" i="21"/>
  <c r="AM138" i="21"/>
  <c r="AM137" i="21"/>
  <c r="AM136" i="21"/>
  <c r="AM135" i="21"/>
  <c r="AM134" i="21"/>
  <c r="AM133" i="21"/>
  <c r="AM132" i="21"/>
  <c r="AM131" i="21"/>
  <c r="AM130" i="21"/>
  <c r="AM129" i="21"/>
  <c r="AM128" i="21"/>
  <c r="AM127" i="21"/>
  <c r="AM126" i="21"/>
  <c r="AM125" i="21"/>
  <c r="AM124" i="21"/>
  <c r="AM123" i="21"/>
  <c r="AM122" i="21"/>
  <c r="AM121" i="21"/>
  <c r="AM120" i="21"/>
  <c r="AM119" i="21"/>
  <c r="AM118" i="21"/>
  <c r="AM117" i="21"/>
  <c r="AM116" i="21"/>
  <c r="AM115" i="21"/>
  <c r="AM114" i="21"/>
  <c r="AM113" i="21"/>
  <c r="AM112" i="21"/>
  <c r="AM111" i="21"/>
  <c r="AM110" i="21"/>
  <c r="AM109" i="21"/>
  <c r="AM108" i="21"/>
  <c r="AM107" i="21"/>
  <c r="AM106" i="21"/>
  <c r="AM105" i="21"/>
  <c r="AM104" i="21"/>
  <c r="AM103" i="21"/>
  <c r="AM102" i="21"/>
  <c r="AM101" i="21"/>
  <c r="AM100" i="21"/>
  <c r="AM99" i="21"/>
  <c r="AM98" i="21"/>
  <c r="AM97" i="21"/>
  <c r="AM96" i="21"/>
  <c r="AM95" i="21"/>
  <c r="AM94" i="21"/>
  <c r="AM93" i="21"/>
  <c r="AM92" i="21"/>
  <c r="AM91" i="21"/>
  <c r="AM90" i="21"/>
  <c r="AM89" i="21"/>
  <c r="AM88" i="21"/>
  <c r="AM87" i="21"/>
  <c r="AM86" i="21"/>
  <c r="AM85" i="21"/>
  <c r="AM84" i="21"/>
  <c r="AM83" i="21"/>
  <c r="AM82" i="21"/>
  <c r="AM81" i="21"/>
  <c r="AM80" i="21"/>
  <c r="AM79" i="21"/>
  <c r="AM78" i="21"/>
  <c r="AM77" i="21"/>
  <c r="AM76" i="21"/>
  <c r="AM75" i="21"/>
  <c r="AM74" i="21"/>
  <c r="AM73" i="21"/>
  <c r="AM72" i="21"/>
  <c r="AM71" i="21"/>
  <c r="AM70" i="21"/>
  <c r="AM69" i="21"/>
  <c r="AM68" i="21"/>
  <c r="AM67" i="21"/>
  <c r="AM66" i="21"/>
  <c r="AM65" i="21"/>
  <c r="AM64" i="21"/>
  <c r="AM63" i="21"/>
  <c r="AM62" i="21"/>
  <c r="AM61" i="21"/>
  <c r="AM60" i="21"/>
  <c r="AM59" i="21"/>
  <c r="AM58" i="21"/>
  <c r="AM57" i="21"/>
  <c r="AM56" i="21"/>
  <c r="AM55" i="21"/>
  <c r="AM54" i="21"/>
  <c r="AM53" i="21"/>
  <c r="AM52" i="21"/>
  <c r="AM51" i="21"/>
  <c r="AM50" i="21"/>
  <c r="AM49" i="21"/>
  <c r="AM48" i="21"/>
  <c r="AM47" i="21"/>
  <c r="AM46" i="21"/>
  <c r="AM45" i="21"/>
  <c r="AM44" i="21"/>
  <c r="AM43" i="21"/>
  <c r="AM42" i="21"/>
  <c r="AM41" i="21"/>
  <c r="AM40" i="21"/>
  <c r="AM39" i="21"/>
  <c r="AM38" i="21"/>
  <c r="AM37" i="21"/>
  <c r="AM36" i="21"/>
  <c r="AM35" i="21"/>
  <c r="AM34" i="21"/>
  <c r="AM33" i="21"/>
  <c r="AM32" i="21"/>
  <c r="AM31" i="21"/>
  <c r="AM30" i="21"/>
  <c r="AM29" i="21"/>
  <c r="AM28" i="21"/>
  <c r="AM27" i="21"/>
  <c r="AM26" i="21"/>
  <c r="AM25" i="21"/>
  <c r="AM24" i="21"/>
  <c r="AM23" i="21"/>
  <c r="AM22" i="21"/>
  <c r="AM21" i="21"/>
  <c r="AM20" i="21"/>
  <c r="AM19" i="21"/>
  <c r="AM18" i="21"/>
  <c r="AM17" i="21"/>
  <c r="AM16" i="21"/>
  <c r="AM15" i="21"/>
  <c r="AM14" i="21"/>
  <c r="AM13" i="21"/>
  <c r="AM12" i="21"/>
  <c r="AM11" i="21"/>
  <c r="AM10" i="21"/>
  <c r="AM9" i="21"/>
  <c r="AM8" i="21"/>
  <c r="AM7" i="21"/>
  <c r="AM6" i="21"/>
  <c r="AM5" i="21"/>
  <c r="AM4" i="21"/>
  <c r="AM3" i="21"/>
  <c r="AW794" i="15"/>
  <c r="AW793" i="15"/>
  <c r="AW792" i="15"/>
  <c r="AW791" i="15"/>
  <c r="AW790" i="15"/>
  <c r="AW789" i="15"/>
  <c r="AW788" i="15"/>
  <c r="AW787" i="15"/>
  <c r="AW786" i="15"/>
  <c r="AW785" i="15"/>
  <c r="AW784" i="15"/>
  <c r="AW783" i="15"/>
  <c r="AW782" i="15"/>
  <c r="AW781" i="15"/>
  <c r="AW780" i="15"/>
  <c r="AW779" i="15"/>
  <c r="AW778" i="15"/>
  <c r="AW777" i="15"/>
  <c r="AW776" i="15"/>
  <c r="AW775" i="15"/>
  <c r="AW774" i="15"/>
  <c r="AW773" i="15"/>
  <c r="AW772" i="15"/>
  <c r="AW771" i="15"/>
  <c r="AW770" i="15"/>
  <c r="AW769" i="15"/>
  <c r="AW768" i="15"/>
  <c r="AW767" i="15"/>
  <c r="AW766" i="15"/>
  <c r="AW765" i="15"/>
  <c r="AW764" i="15"/>
  <c r="AW763" i="15"/>
  <c r="AW762" i="15"/>
  <c r="AW761" i="15"/>
  <c r="AW760" i="15"/>
  <c r="AW759" i="15"/>
  <c r="AW758" i="15"/>
  <c r="AW757" i="15"/>
  <c r="AW756" i="15"/>
  <c r="AW755" i="15"/>
  <c r="AW754" i="15"/>
  <c r="AW753" i="15"/>
  <c r="AW752" i="15"/>
  <c r="AW751" i="15"/>
  <c r="AW750" i="15"/>
  <c r="AW749" i="15"/>
  <c r="AW748" i="15"/>
  <c r="AW747" i="15"/>
  <c r="AW746" i="15"/>
  <c r="AW745" i="15"/>
  <c r="AW744" i="15"/>
  <c r="AW743" i="15"/>
  <c r="AW742" i="15"/>
  <c r="AW741" i="15"/>
  <c r="AW740" i="15"/>
  <c r="AW739" i="15"/>
  <c r="AW738" i="15"/>
  <c r="AW737" i="15"/>
  <c r="AW736" i="15"/>
  <c r="AW735" i="15"/>
  <c r="AW734" i="15"/>
  <c r="AW733" i="15"/>
  <c r="AW732" i="15"/>
  <c r="AW731" i="15"/>
  <c r="AW730" i="15"/>
  <c r="AW729" i="15"/>
  <c r="AW728" i="15"/>
  <c r="AW727" i="15"/>
  <c r="AW726" i="15"/>
  <c r="AW725" i="15"/>
  <c r="AW724" i="15"/>
  <c r="AW723" i="15"/>
  <c r="AW722" i="15"/>
  <c r="AW721" i="15"/>
  <c r="AW720" i="15"/>
  <c r="AW719" i="15"/>
  <c r="AW718" i="15"/>
  <c r="AW717" i="15"/>
  <c r="AW716" i="15"/>
  <c r="AW715" i="15"/>
  <c r="AW714" i="15"/>
  <c r="AW713" i="15"/>
  <c r="AW712" i="15"/>
  <c r="AW711" i="15"/>
  <c r="AW710" i="15"/>
  <c r="AW709" i="15"/>
  <c r="AW708" i="15"/>
  <c r="AW707" i="15"/>
  <c r="AW706" i="15"/>
  <c r="AW705" i="15"/>
  <c r="AW704" i="15"/>
  <c r="AW703" i="15"/>
  <c r="AW702" i="15"/>
  <c r="AW701" i="15"/>
  <c r="AW700" i="15"/>
  <c r="AW699" i="15"/>
  <c r="AW698" i="15"/>
  <c r="AW697" i="15"/>
  <c r="AW696" i="15"/>
  <c r="AW695" i="15"/>
  <c r="AW694" i="15"/>
  <c r="AW693" i="15"/>
  <c r="AW692" i="15"/>
  <c r="AW691" i="15"/>
  <c r="AW690" i="15"/>
  <c r="AW689" i="15"/>
  <c r="AW688" i="15"/>
  <c r="AW687" i="15"/>
  <c r="AW686" i="15"/>
  <c r="AW685" i="15"/>
  <c r="AW684" i="15"/>
  <c r="AW683" i="15"/>
  <c r="AW682" i="15"/>
  <c r="AW681" i="15"/>
  <c r="AW680" i="15"/>
  <c r="AW679" i="15"/>
  <c r="AW678" i="15"/>
  <c r="AW677" i="15"/>
  <c r="AW676" i="15"/>
  <c r="AW675" i="15"/>
  <c r="AW674" i="15"/>
  <c r="AW673" i="15"/>
  <c r="AW672" i="15"/>
  <c r="AW671" i="15"/>
  <c r="AW670" i="15"/>
  <c r="AW669" i="15"/>
  <c r="AW668" i="15"/>
  <c r="AW667" i="15"/>
  <c r="AW666" i="15"/>
  <c r="AW665" i="15"/>
  <c r="AW664" i="15"/>
  <c r="AW663" i="15"/>
  <c r="AW662" i="15"/>
  <c r="AW661" i="15"/>
  <c r="AW660" i="15"/>
  <c r="AW659" i="15"/>
  <c r="AW658" i="15"/>
  <c r="AW657" i="15"/>
  <c r="AW656" i="15"/>
  <c r="AW655" i="15"/>
  <c r="AW654" i="15"/>
  <c r="AW653" i="15"/>
  <c r="AW652" i="15"/>
  <c r="AW651" i="15"/>
  <c r="AW650" i="15"/>
  <c r="AW649" i="15"/>
  <c r="AW648" i="15"/>
  <c r="AW647" i="15"/>
  <c r="AW646" i="15"/>
  <c r="AW645" i="15"/>
  <c r="AW644" i="15"/>
  <c r="AW643" i="15"/>
  <c r="AW642" i="15"/>
  <c r="AW641" i="15"/>
  <c r="AW640" i="15"/>
  <c r="AW639" i="15"/>
  <c r="AW638" i="15"/>
  <c r="AW637" i="15"/>
  <c r="AW636" i="15"/>
  <c r="AW635" i="15"/>
  <c r="AW634" i="15"/>
  <c r="AW633" i="15"/>
  <c r="AW632" i="15"/>
  <c r="AW631" i="15"/>
  <c r="AW630" i="15"/>
  <c r="AW629" i="15"/>
  <c r="AW628" i="15"/>
  <c r="AW627" i="15"/>
  <c r="AW626" i="15"/>
  <c r="AW625" i="15"/>
  <c r="AW624" i="15"/>
  <c r="AW623" i="15"/>
  <c r="AW622" i="15"/>
  <c r="AW621" i="15"/>
  <c r="AW620" i="15"/>
  <c r="AW619" i="15"/>
  <c r="AW618" i="15"/>
  <c r="AW617" i="15"/>
  <c r="AW616" i="15"/>
  <c r="AW615" i="15"/>
  <c r="AW614" i="15"/>
  <c r="AW613" i="15"/>
  <c r="AW612" i="15"/>
  <c r="AW611" i="15"/>
  <c r="AW610" i="15"/>
  <c r="AW609" i="15"/>
  <c r="AW608" i="15"/>
  <c r="AW607" i="15"/>
  <c r="AW606" i="15"/>
  <c r="AW605" i="15"/>
  <c r="AW604" i="15"/>
  <c r="AW603" i="15"/>
  <c r="AW602" i="15"/>
  <c r="AW601" i="15"/>
  <c r="AW600" i="15"/>
  <c r="AW599" i="15"/>
  <c r="AW598" i="15"/>
  <c r="AW597" i="15"/>
  <c r="AW596" i="15"/>
  <c r="AW595" i="15"/>
  <c r="AW594" i="15"/>
  <c r="AW593" i="15"/>
  <c r="AW592" i="15"/>
  <c r="AW591" i="15"/>
  <c r="AW590" i="15"/>
  <c r="AW589" i="15"/>
  <c r="AW588" i="15"/>
  <c r="AW587" i="15"/>
  <c r="AW586" i="15"/>
  <c r="AW585" i="15"/>
  <c r="AW584" i="15"/>
  <c r="AW583" i="15"/>
  <c r="AW582" i="15"/>
  <c r="AW581" i="15"/>
  <c r="AW580" i="15"/>
  <c r="AW579" i="15"/>
  <c r="AW578" i="15"/>
  <c r="AW577" i="15"/>
  <c r="AW576" i="15"/>
  <c r="AW575" i="15"/>
  <c r="AW574" i="15"/>
  <c r="AW573" i="15"/>
  <c r="AW572" i="15"/>
  <c r="AW571" i="15"/>
  <c r="AW570" i="15"/>
  <c r="AW569" i="15"/>
  <c r="AW568" i="15"/>
  <c r="AW567" i="15"/>
  <c r="AW566" i="15"/>
  <c r="AW565" i="15"/>
  <c r="AW564" i="15"/>
  <c r="AW563" i="15"/>
  <c r="AW562" i="15"/>
  <c r="AW561" i="15"/>
  <c r="AW560" i="15"/>
  <c r="AW559" i="15"/>
  <c r="AW558" i="15"/>
  <c r="AW557" i="15"/>
  <c r="AW556" i="15"/>
  <c r="AW555" i="15"/>
  <c r="AW554" i="15"/>
  <c r="AW553" i="15"/>
  <c r="AW552" i="15"/>
  <c r="AW551" i="15"/>
  <c r="AW550" i="15"/>
  <c r="AW549" i="15"/>
  <c r="AW548" i="15"/>
  <c r="AW547" i="15"/>
  <c r="AW546" i="15"/>
  <c r="AW545" i="15"/>
  <c r="AW544" i="15"/>
  <c r="AW543" i="15"/>
  <c r="AW542" i="15"/>
  <c r="AW541" i="15"/>
  <c r="AW540" i="15"/>
  <c r="AW539" i="15"/>
  <c r="AW538" i="15"/>
  <c r="AW537" i="15"/>
  <c r="AW536" i="15"/>
  <c r="AW535" i="15"/>
  <c r="AW534" i="15"/>
  <c r="AW533" i="15"/>
  <c r="AW532" i="15"/>
  <c r="AW531" i="15"/>
  <c r="AW530" i="15"/>
  <c r="AW529" i="15"/>
  <c r="AW528" i="15"/>
  <c r="AW527" i="15"/>
  <c r="AW526" i="15"/>
  <c r="AW525" i="15"/>
  <c r="AW524" i="15"/>
  <c r="AW523" i="15"/>
  <c r="AW522" i="15"/>
  <c r="AW521" i="15"/>
  <c r="AW520" i="15"/>
  <c r="AW519" i="15"/>
  <c r="AW518" i="15"/>
  <c r="AW517" i="15"/>
  <c r="AW516" i="15"/>
  <c r="AW515" i="15"/>
  <c r="AW514" i="15"/>
  <c r="AW513" i="15"/>
  <c r="AW512" i="15"/>
  <c r="AW511" i="15"/>
  <c r="AW510" i="15"/>
  <c r="AW509" i="15"/>
  <c r="AW508" i="15"/>
  <c r="AW507" i="15"/>
  <c r="AW506" i="15"/>
  <c r="AW505" i="15"/>
  <c r="AW504" i="15"/>
  <c r="AW503" i="15"/>
  <c r="AW502" i="15"/>
  <c r="AW501" i="15"/>
  <c r="AW500" i="15"/>
  <c r="AW499" i="15"/>
  <c r="AW498" i="15"/>
  <c r="AW497" i="15"/>
  <c r="AW496" i="15"/>
  <c r="AW495" i="15"/>
  <c r="AW494" i="15"/>
  <c r="AW493" i="15"/>
  <c r="AW492" i="15"/>
  <c r="AW491" i="15"/>
  <c r="AW490" i="15"/>
  <c r="AW489" i="15"/>
  <c r="AW488" i="15"/>
  <c r="AW487" i="15"/>
  <c r="AW486" i="15"/>
  <c r="AW485" i="15"/>
  <c r="AW484" i="15"/>
  <c r="AW483" i="15"/>
  <c r="AW482" i="15"/>
  <c r="AW481" i="15"/>
  <c r="AW480" i="15"/>
  <c r="AW479" i="15"/>
  <c r="AW478" i="15"/>
  <c r="AW477" i="15"/>
  <c r="AW476" i="15"/>
  <c r="AW475" i="15"/>
  <c r="AW474" i="15"/>
  <c r="AW473" i="15"/>
  <c r="AW472" i="15"/>
  <c r="AW471" i="15"/>
  <c r="AW470" i="15"/>
  <c r="AW469" i="15"/>
  <c r="AW468" i="15"/>
  <c r="AW467" i="15"/>
  <c r="AW466" i="15"/>
  <c r="AW465" i="15"/>
  <c r="AW464" i="15"/>
  <c r="AW463" i="15"/>
  <c r="AW462" i="15"/>
  <c r="AW461" i="15"/>
  <c r="AW460" i="15"/>
  <c r="AW459" i="15"/>
  <c r="AW458" i="15"/>
  <c r="AW457" i="15"/>
  <c r="AW456" i="15"/>
  <c r="AW455" i="15"/>
  <c r="AW454" i="15"/>
  <c r="AW453" i="15"/>
  <c r="AW452" i="15"/>
  <c r="AW451" i="15"/>
  <c r="AW450" i="15"/>
  <c r="AW449" i="15"/>
  <c r="AW448" i="15"/>
  <c r="AW447" i="15"/>
  <c r="AW446" i="15"/>
  <c r="AW445" i="15"/>
  <c r="AW444" i="15"/>
  <c r="AW443" i="15"/>
  <c r="AW442" i="15"/>
  <c r="AW441" i="15"/>
  <c r="AW440" i="15"/>
  <c r="AW439" i="15"/>
  <c r="AW438" i="15"/>
  <c r="AW437" i="15"/>
  <c r="AW436" i="15"/>
  <c r="AW435" i="15"/>
  <c r="AW434" i="15"/>
  <c r="AW433" i="15"/>
  <c r="AW432" i="15"/>
  <c r="AW431" i="15"/>
  <c r="AW430" i="15"/>
  <c r="AW429" i="15"/>
  <c r="AW428" i="15"/>
  <c r="AW427" i="15"/>
  <c r="AW426" i="15"/>
  <c r="AW425" i="15"/>
  <c r="AW424" i="15"/>
  <c r="AW423" i="15"/>
  <c r="AW422" i="15"/>
  <c r="AW421" i="15"/>
  <c r="AW420" i="15"/>
  <c r="AW419" i="15"/>
  <c r="AW418" i="15"/>
  <c r="AW417" i="15"/>
  <c r="AW416" i="15"/>
  <c r="AW415" i="15"/>
  <c r="AW414" i="15"/>
  <c r="AW413" i="15"/>
  <c r="AW412" i="15"/>
  <c r="AW411" i="15"/>
  <c r="AW410" i="15"/>
  <c r="AW409" i="15"/>
  <c r="AW408" i="15"/>
  <c r="AW407" i="15"/>
  <c r="AW406" i="15"/>
  <c r="AW405" i="15"/>
  <c r="AW404" i="15"/>
  <c r="AW403" i="15"/>
  <c r="AW402" i="15"/>
  <c r="AW401" i="15"/>
  <c r="AW400" i="15"/>
  <c r="AW399" i="15"/>
  <c r="AW398" i="15"/>
  <c r="AW397" i="15"/>
  <c r="AW396" i="15"/>
  <c r="AW395" i="15"/>
  <c r="AW394" i="15"/>
  <c r="AW393" i="15"/>
  <c r="AW392" i="15"/>
  <c r="AW391" i="15"/>
  <c r="AW390" i="15"/>
  <c r="AW389" i="15"/>
  <c r="AW388" i="15"/>
  <c r="AW387" i="15"/>
  <c r="AW386" i="15"/>
  <c r="AW385" i="15"/>
  <c r="AW384" i="15"/>
  <c r="AW383" i="15"/>
  <c r="AW382" i="15"/>
  <c r="AW381" i="15"/>
  <c r="AW380" i="15"/>
  <c r="AW379" i="15"/>
  <c r="AW378" i="15"/>
  <c r="AW377" i="15"/>
  <c r="AW376" i="15"/>
  <c r="AW375" i="15"/>
  <c r="AW374" i="15"/>
  <c r="AW373" i="15"/>
  <c r="AW372" i="15"/>
  <c r="AW371" i="15"/>
  <c r="AW370" i="15"/>
  <c r="AW369" i="15"/>
  <c r="AW368" i="15"/>
  <c r="AW367" i="15"/>
  <c r="AW366" i="15"/>
  <c r="AW365" i="15"/>
  <c r="AW364" i="15"/>
  <c r="AW363" i="15"/>
  <c r="AW362" i="15"/>
  <c r="AW361" i="15"/>
  <c r="AW360" i="15"/>
  <c r="AW359" i="15"/>
  <c r="AW358" i="15"/>
  <c r="AW357" i="15"/>
  <c r="AW356" i="15"/>
  <c r="AW355" i="15"/>
  <c r="AW354" i="15"/>
  <c r="AW353" i="15"/>
  <c r="AW352" i="15"/>
  <c r="AW351" i="15"/>
  <c r="AW350" i="15"/>
  <c r="AW349" i="15"/>
  <c r="AW348" i="15"/>
  <c r="AW347" i="15"/>
  <c r="AW346" i="15"/>
  <c r="AW345" i="15"/>
  <c r="AW344" i="15"/>
  <c r="AW343" i="15"/>
  <c r="AW342" i="15"/>
  <c r="AW341" i="15"/>
  <c r="AW340" i="15"/>
  <c r="AW339" i="15"/>
  <c r="AW338" i="15"/>
  <c r="AW337" i="15"/>
  <c r="AW336" i="15"/>
  <c r="AW335" i="15"/>
  <c r="AW334" i="15"/>
  <c r="AW333" i="15"/>
  <c r="AW332" i="15"/>
  <c r="AW331" i="15"/>
  <c r="AW330" i="15"/>
  <c r="AW329" i="15"/>
  <c r="AW328" i="15"/>
  <c r="AW327" i="15"/>
  <c r="AW326" i="15"/>
  <c r="AW325" i="15"/>
  <c r="AW324" i="15"/>
  <c r="AW323" i="15"/>
  <c r="AW322" i="15"/>
  <c r="AW321" i="15"/>
  <c r="AW320" i="15"/>
  <c r="AW319" i="15"/>
  <c r="AW318" i="15"/>
  <c r="AW317" i="15"/>
  <c r="AW316" i="15"/>
  <c r="AW315" i="15"/>
  <c r="AW314" i="15"/>
  <c r="AW313" i="15"/>
  <c r="AW312" i="15"/>
  <c r="AW311" i="15"/>
  <c r="AW310" i="15"/>
  <c r="AW309" i="15"/>
  <c r="AW308" i="15"/>
  <c r="AW307" i="15"/>
  <c r="AW306" i="15"/>
  <c r="AW305" i="15"/>
  <c r="AW304" i="15"/>
  <c r="AW303" i="15"/>
  <c r="AW302" i="15"/>
  <c r="AW301" i="15"/>
  <c r="AW300" i="15"/>
  <c r="AW299" i="15"/>
  <c r="AW298" i="15"/>
  <c r="AW297" i="15"/>
  <c r="AW296" i="15"/>
  <c r="AW295" i="15"/>
  <c r="AW294" i="15"/>
  <c r="AW293" i="15"/>
  <c r="AW292" i="15"/>
  <c r="AW291" i="15"/>
  <c r="AW290" i="15"/>
  <c r="AW289" i="15"/>
  <c r="AW288" i="15"/>
  <c r="AW287" i="15"/>
  <c r="AW286" i="15"/>
  <c r="AW285" i="15"/>
  <c r="AW284" i="15"/>
  <c r="AW283" i="15"/>
  <c r="AW282" i="15"/>
  <c r="AW281" i="15"/>
  <c r="AW280" i="15"/>
  <c r="AW279" i="15"/>
  <c r="AW278" i="15"/>
  <c r="AW277" i="15"/>
  <c r="AW276" i="15"/>
  <c r="AW275" i="15"/>
  <c r="AW274" i="15"/>
  <c r="AW273" i="15"/>
  <c r="AW272" i="15"/>
  <c r="AW271" i="15"/>
  <c r="AW270" i="15"/>
  <c r="AW269" i="15"/>
  <c r="AW268" i="15"/>
  <c r="AW267" i="15"/>
  <c r="AW266" i="15"/>
  <c r="AW265" i="15"/>
  <c r="AW264" i="15"/>
  <c r="AW263" i="15"/>
  <c r="AW262" i="15"/>
  <c r="AW261" i="15"/>
  <c r="AW260" i="15"/>
  <c r="AW259" i="15"/>
  <c r="AW258" i="15"/>
  <c r="AW257" i="15"/>
  <c r="AW256" i="15"/>
  <c r="AW255" i="15"/>
  <c r="AW254" i="15"/>
  <c r="AW253" i="15"/>
  <c r="AW252" i="15"/>
  <c r="AW251" i="15"/>
  <c r="AW250" i="15"/>
  <c r="AW249" i="15"/>
  <c r="AW248" i="15"/>
  <c r="AW247" i="15"/>
  <c r="AW246" i="15"/>
  <c r="AW245" i="15"/>
  <c r="AW244" i="15"/>
  <c r="AW243" i="15"/>
  <c r="AW242" i="15"/>
  <c r="AW241" i="15"/>
  <c r="AW240" i="15"/>
  <c r="AW239" i="15"/>
  <c r="AW238" i="15"/>
  <c r="AW237" i="15"/>
  <c r="AW236" i="15"/>
  <c r="AW235" i="15"/>
  <c r="AW234" i="15"/>
  <c r="AW233" i="15"/>
  <c r="AW232" i="15"/>
  <c r="AW231" i="15"/>
  <c r="AW230" i="15"/>
  <c r="AW229" i="15"/>
  <c r="AW228" i="15"/>
  <c r="AW227" i="15"/>
  <c r="AW226" i="15"/>
  <c r="AW225" i="15"/>
  <c r="AW224" i="15"/>
  <c r="AW223" i="15"/>
  <c r="AW222" i="15"/>
  <c r="AW221" i="15"/>
  <c r="AW220" i="15"/>
  <c r="AW219" i="15"/>
  <c r="AW218" i="15"/>
  <c r="AW217" i="15"/>
  <c r="AW216" i="15"/>
  <c r="AW215" i="15"/>
  <c r="AW214" i="15"/>
  <c r="AW213" i="15"/>
  <c r="AW212" i="15"/>
  <c r="AW211" i="15"/>
  <c r="AW210" i="15"/>
  <c r="AW209" i="15"/>
  <c r="AW208" i="15"/>
  <c r="AW207" i="15"/>
  <c r="AW206" i="15"/>
  <c r="AW205" i="15"/>
  <c r="AW204" i="15"/>
  <c r="AW203" i="15"/>
  <c r="AW202" i="15"/>
  <c r="AW201" i="15"/>
  <c r="AW200" i="15"/>
  <c r="AW199" i="15"/>
  <c r="AW198" i="15"/>
  <c r="AW197" i="15"/>
  <c r="AW196" i="15"/>
  <c r="AW195" i="15"/>
  <c r="AW194" i="15"/>
  <c r="AW193" i="15"/>
  <c r="AW192" i="15"/>
  <c r="AW191" i="15"/>
  <c r="AW190" i="15"/>
  <c r="AW189" i="15"/>
  <c r="AW188" i="15"/>
  <c r="AW187" i="15"/>
  <c r="AW186" i="15"/>
  <c r="AW185" i="15"/>
  <c r="AW184" i="15"/>
  <c r="AW183" i="15"/>
  <c r="AW182" i="15"/>
  <c r="AW181" i="15"/>
  <c r="AW180" i="15"/>
  <c r="AW179" i="15"/>
  <c r="AW178" i="15"/>
  <c r="AW177" i="15"/>
  <c r="AW176" i="15"/>
  <c r="AW175" i="15"/>
  <c r="AW174" i="15"/>
  <c r="AW173" i="15"/>
  <c r="AW172" i="15"/>
  <c r="AW171" i="15"/>
  <c r="AW170" i="15"/>
  <c r="AW169" i="15"/>
  <c r="AW168" i="15"/>
  <c r="AW167" i="15"/>
  <c r="AW166" i="15"/>
  <c r="AW165" i="15"/>
  <c r="AW164" i="15"/>
  <c r="AW163" i="15"/>
  <c r="AW162" i="15"/>
  <c r="AW161" i="15"/>
  <c r="AW160" i="15"/>
  <c r="AW159" i="15"/>
  <c r="AW158" i="15"/>
  <c r="AW157" i="15"/>
  <c r="AW156" i="15"/>
  <c r="AW155" i="15"/>
  <c r="AW154" i="15"/>
  <c r="AW153" i="15"/>
  <c r="AW152" i="15"/>
  <c r="AW151" i="15"/>
  <c r="AW150" i="15"/>
  <c r="AW149" i="15"/>
  <c r="AW148" i="15"/>
  <c r="AW147" i="15"/>
  <c r="AW146" i="15"/>
  <c r="AW145" i="15"/>
  <c r="AW144" i="15"/>
  <c r="AW143" i="15"/>
  <c r="AW142" i="15"/>
  <c r="AW141" i="15"/>
  <c r="AW140" i="15"/>
  <c r="AW139" i="15"/>
  <c r="AW138" i="15"/>
  <c r="AW137" i="15"/>
  <c r="AW136" i="15"/>
  <c r="AW135" i="15"/>
  <c r="AW134" i="15"/>
  <c r="AW133" i="15"/>
  <c r="AW132" i="15"/>
  <c r="AW131" i="15"/>
  <c r="AW130" i="15"/>
  <c r="AW129" i="15"/>
  <c r="AW128" i="15"/>
  <c r="AW127" i="15"/>
  <c r="AW126" i="15"/>
  <c r="AW125" i="15"/>
  <c r="AW124" i="15"/>
  <c r="AW123" i="15"/>
  <c r="AW122" i="15"/>
  <c r="AW121" i="15"/>
  <c r="AW120" i="15"/>
  <c r="AW119" i="15"/>
  <c r="AW118" i="15"/>
  <c r="AW117" i="15"/>
  <c r="AW116" i="15"/>
  <c r="AW115" i="15"/>
  <c r="AW114" i="15"/>
  <c r="AW113" i="15"/>
  <c r="AW112" i="15"/>
  <c r="AW111" i="15"/>
  <c r="AW110" i="15"/>
  <c r="AW109" i="15"/>
  <c r="AW108" i="15"/>
  <c r="AW107" i="15"/>
  <c r="AW106" i="15"/>
  <c r="AW105" i="15"/>
  <c r="AW104" i="15"/>
  <c r="AW103" i="15"/>
  <c r="AW102" i="15"/>
  <c r="AW101" i="15"/>
  <c r="AW100" i="15"/>
  <c r="AW99" i="15"/>
  <c r="AW98" i="15"/>
  <c r="AW97" i="15"/>
  <c r="AW96" i="15"/>
  <c r="AW95" i="15"/>
  <c r="AW94" i="15"/>
  <c r="AW93" i="15"/>
  <c r="AW92" i="15"/>
  <c r="AW91" i="15"/>
  <c r="AW90" i="15"/>
  <c r="AW89" i="15"/>
  <c r="AW88" i="15"/>
  <c r="AW87" i="15"/>
  <c r="AW86" i="15"/>
  <c r="AW85" i="15"/>
  <c r="AW84" i="15"/>
  <c r="AW83" i="15"/>
  <c r="AW82" i="15"/>
  <c r="AW81" i="15"/>
  <c r="AW80" i="15"/>
  <c r="AW79" i="15"/>
  <c r="AW78" i="15"/>
  <c r="AW77" i="15"/>
  <c r="AW76" i="15"/>
  <c r="AW75" i="15"/>
  <c r="AW74" i="15"/>
  <c r="AW73" i="15"/>
  <c r="AW72" i="15"/>
  <c r="AW71" i="15"/>
  <c r="AW70" i="15"/>
  <c r="AW69" i="15"/>
  <c r="AW68" i="15"/>
  <c r="AW67" i="15"/>
  <c r="AW66" i="15"/>
  <c r="AW65" i="15"/>
  <c r="AW64" i="15"/>
  <c r="AW63" i="15"/>
  <c r="AW62" i="15"/>
  <c r="AW61" i="15"/>
  <c r="AW60" i="15"/>
  <c r="AW59" i="15"/>
  <c r="AW58" i="15"/>
  <c r="AW57" i="15"/>
  <c r="AW56" i="15"/>
  <c r="AW55" i="15"/>
  <c r="AW54" i="15"/>
  <c r="AW53" i="15"/>
  <c r="AW52" i="15"/>
  <c r="AW51" i="15"/>
  <c r="AW50" i="15"/>
  <c r="AW49" i="15"/>
  <c r="AW48" i="15"/>
  <c r="AW47" i="15"/>
  <c r="AW46" i="15"/>
  <c r="AW45" i="15"/>
  <c r="AW44" i="15"/>
  <c r="AW43" i="15"/>
  <c r="AW42" i="15"/>
  <c r="AW41" i="15"/>
  <c r="AW40" i="15"/>
  <c r="AW39" i="15"/>
  <c r="AW38" i="15"/>
  <c r="AW37" i="15"/>
  <c r="AW36" i="15"/>
  <c r="AW35" i="15"/>
  <c r="AW34" i="15"/>
  <c r="AW33" i="15"/>
  <c r="AW32" i="15"/>
  <c r="AW31" i="15"/>
  <c r="AW30" i="15"/>
  <c r="AW29" i="15"/>
  <c r="AW28" i="15"/>
  <c r="AW27" i="15"/>
  <c r="AW26" i="15"/>
  <c r="AW25" i="15"/>
  <c r="AW24" i="15"/>
  <c r="AW23" i="15"/>
  <c r="AW22" i="15"/>
  <c r="AW21" i="15"/>
  <c r="AW20" i="15"/>
  <c r="AW19" i="15"/>
  <c r="AW18" i="15"/>
  <c r="AW17" i="15"/>
  <c r="AW16" i="15"/>
  <c r="AW15" i="15"/>
  <c r="AW14" i="15"/>
  <c r="AW13" i="15"/>
  <c r="AW12" i="15"/>
  <c r="AW11" i="15"/>
  <c r="AW10" i="15"/>
  <c r="AW9" i="15"/>
  <c r="AW8" i="15"/>
  <c r="AW7" i="15"/>
  <c r="AW6" i="15"/>
  <c r="AW5" i="15"/>
  <c r="AW4" i="15"/>
  <c r="AW3" i="15"/>
  <c r="AM794" i="15"/>
  <c r="AM793" i="15"/>
  <c r="AM792" i="15"/>
  <c r="AM791" i="15"/>
  <c r="AM790" i="15"/>
  <c r="AM789" i="15"/>
  <c r="AM788" i="15"/>
  <c r="AM787" i="15"/>
  <c r="AM786" i="15"/>
  <c r="AM785" i="15"/>
  <c r="AM784" i="15"/>
  <c r="AM783" i="15"/>
  <c r="AM782" i="15"/>
  <c r="AM781" i="15"/>
  <c r="AM780" i="15"/>
  <c r="AM779" i="15"/>
  <c r="AM778" i="15"/>
  <c r="AM777" i="15"/>
  <c r="AM776" i="15"/>
  <c r="AM775" i="15"/>
  <c r="AM774" i="15"/>
  <c r="AM773" i="15"/>
  <c r="AM772" i="15"/>
  <c r="AM771" i="15"/>
  <c r="AM770" i="15"/>
  <c r="AM769" i="15"/>
  <c r="AM768" i="15"/>
  <c r="AM767" i="15"/>
  <c r="AM766" i="15"/>
  <c r="AM765" i="15"/>
  <c r="AM764" i="15"/>
  <c r="AM763" i="15"/>
  <c r="AM762" i="15"/>
  <c r="AM761" i="15"/>
  <c r="AM760" i="15"/>
  <c r="AM759" i="15"/>
  <c r="AM758" i="15"/>
  <c r="AM757" i="15"/>
  <c r="AM756" i="15"/>
  <c r="AM755" i="15"/>
  <c r="AM754" i="15"/>
  <c r="AM753" i="15"/>
  <c r="AM752" i="15"/>
  <c r="AM751" i="15"/>
  <c r="AM750" i="15"/>
  <c r="AM749" i="15"/>
  <c r="AM748" i="15"/>
  <c r="AM747" i="15"/>
  <c r="AM746" i="15"/>
  <c r="AM745" i="15"/>
  <c r="AM744" i="15"/>
  <c r="AM743" i="15"/>
  <c r="AM742" i="15"/>
  <c r="AM741" i="15"/>
  <c r="AM740" i="15"/>
  <c r="AM739" i="15"/>
  <c r="AM738" i="15"/>
  <c r="AM737" i="15"/>
  <c r="AM736" i="15"/>
  <c r="AM735" i="15"/>
  <c r="AM734" i="15"/>
  <c r="AM733" i="15"/>
  <c r="AM732" i="15"/>
  <c r="AM731" i="15"/>
  <c r="AM730" i="15"/>
  <c r="AM729" i="15"/>
  <c r="AM728" i="15"/>
  <c r="AM727" i="15"/>
  <c r="AM726" i="15"/>
  <c r="AM725" i="15"/>
  <c r="AM724" i="15"/>
  <c r="AM723" i="15"/>
  <c r="AM722" i="15"/>
  <c r="AM721" i="15"/>
  <c r="AM720" i="15"/>
  <c r="AM719" i="15"/>
  <c r="AM718" i="15"/>
  <c r="AM717" i="15"/>
  <c r="AM716" i="15"/>
  <c r="AM715" i="15"/>
  <c r="AM714" i="15"/>
  <c r="AM713" i="15"/>
  <c r="AM712" i="15"/>
  <c r="AM711" i="15"/>
  <c r="AM710" i="15"/>
  <c r="AM709" i="15"/>
  <c r="AM708" i="15"/>
  <c r="AM707" i="15"/>
  <c r="AM706" i="15"/>
  <c r="AM705" i="15"/>
  <c r="AM704" i="15"/>
  <c r="AM703" i="15"/>
  <c r="AM702" i="15"/>
  <c r="AM701" i="15"/>
  <c r="AM700" i="15"/>
  <c r="AM699" i="15"/>
  <c r="AM698" i="15"/>
  <c r="AM697" i="15"/>
  <c r="AM696" i="15"/>
  <c r="AM695" i="15"/>
  <c r="AM694" i="15"/>
  <c r="AM693" i="15"/>
  <c r="AM692" i="15"/>
  <c r="AM691" i="15"/>
  <c r="AM690" i="15"/>
  <c r="AM689" i="15"/>
  <c r="AM688" i="15"/>
  <c r="AM687" i="15"/>
  <c r="AM686" i="15"/>
  <c r="AM685" i="15"/>
  <c r="AM684" i="15"/>
  <c r="AM683" i="15"/>
  <c r="AM682" i="15"/>
  <c r="AM681" i="15"/>
  <c r="AM680" i="15"/>
  <c r="AM679" i="15"/>
  <c r="AM678" i="15"/>
  <c r="AM677" i="15"/>
  <c r="AM676" i="15"/>
  <c r="AM675" i="15"/>
  <c r="AM674" i="15"/>
  <c r="AM673" i="15"/>
  <c r="AM672" i="15"/>
  <c r="AM671" i="15"/>
  <c r="AM670" i="15"/>
  <c r="AM669" i="15"/>
  <c r="AM668" i="15"/>
  <c r="AM667" i="15"/>
  <c r="AM666" i="15"/>
  <c r="AM665" i="15"/>
  <c r="AM664" i="15"/>
  <c r="AM663" i="15"/>
  <c r="AM662" i="15"/>
  <c r="AM661" i="15"/>
  <c r="AM660" i="15"/>
  <c r="AM659" i="15"/>
  <c r="AM658" i="15"/>
  <c r="AM657" i="15"/>
  <c r="AM656" i="15"/>
  <c r="AM655" i="15"/>
  <c r="AM654" i="15"/>
  <c r="AM653" i="15"/>
  <c r="AM652" i="15"/>
  <c r="AM651" i="15"/>
  <c r="AM650" i="15"/>
  <c r="AM649" i="15"/>
  <c r="AM648" i="15"/>
  <c r="AM647" i="15"/>
  <c r="AM646" i="15"/>
  <c r="AM645" i="15"/>
  <c r="AM644" i="15"/>
  <c r="AM643" i="15"/>
  <c r="AM642" i="15"/>
  <c r="AM641" i="15"/>
  <c r="AM640" i="15"/>
  <c r="AM639" i="15"/>
  <c r="AM638" i="15"/>
  <c r="AM637" i="15"/>
  <c r="AM636" i="15"/>
  <c r="AM635" i="15"/>
  <c r="AM634" i="15"/>
  <c r="AM633" i="15"/>
  <c r="AM632" i="15"/>
  <c r="AM631" i="15"/>
  <c r="AM630" i="15"/>
  <c r="AM629" i="15"/>
  <c r="AM628" i="15"/>
  <c r="AM627" i="15"/>
  <c r="AM626" i="15"/>
  <c r="AM625" i="15"/>
  <c r="AM624" i="15"/>
  <c r="AM623" i="15"/>
  <c r="AM622" i="15"/>
  <c r="AM621" i="15"/>
  <c r="AM620" i="15"/>
  <c r="AM619" i="15"/>
  <c r="AM618" i="15"/>
  <c r="AM617" i="15"/>
  <c r="AM616" i="15"/>
  <c r="AM615" i="15"/>
  <c r="AM614" i="15"/>
  <c r="AM613" i="15"/>
  <c r="AM612" i="15"/>
  <c r="AM611" i="15"/>
  <c r="AM610" i="15"/>
  <c r="AM609" i="15"/>
  <c r="AM608" i="15"/>
  <c r="AM607" i="15"/>
  <c r="AM606" i="15"/>
  <c r="AM605" i="15"/>
  <c r="AM604" i="15"/>
  <c r="AM603" i="15"/>
  <c r="AM602" i="15"/>
  <c r="AM601" i="15"/>
  <c r="AM600" i="15"/>
  <c r="AM599" i="15"/>
  <c r="AM598" i="15"/>
  <c r="AM597" i="15"/>
  <c r="AM596" i="15"/>
  <c r="AM595" i="15"/>
  <c r="AM594" i="15"/>
  <c r="AM593" i="15"/>
  <c r="AM592" i="15"/>
  <c r="AM591" i="15"/>
  <c r="AM590" i="15"/>
  <c r="AM589" i="15"/>
  <c r="AM588" i="15"/>
  <c r="AM587" i="15"/>
  <c r="AM586" i="15"/>
  <c r="AM585" i="15"/>
  <c r="AM584" i="15"/>
  <c r="AM583" i="15"/>
  <c r="AM582" i="15"/>
  <c r="AM581" i="15"/>
  <c r="AM580" i="15"/>
  <c r="AM579" i="15"/>
  <c r="AM578" i="15"/>
  <c r="AM577" i="15"/>
  <c r="AM576" i="15"/>
  <c r="AM575" i="15"/>
  <c r="AM574" i="15"/>
  <c r="AM573" i="15"/>
  <c r="AM572" i="15"/>
  <c r="AM571" i="15"/>
  <c r="AM570" i="15"/>
  <c r="AM569" i="15"/>
  <c r="AM568" i="15"/>
  <c r="AM567" i="15"/>
  <c r="AM566" i="15"/>
  <c r="AM565" i="15"/>
  <c r="AM564" i="15"/>
  <c r="AM563" i="15"/>
  <c r="AM562" i="15"/>
  <c r="AM561" i="15"/>
  <c r="AM560" i="15"/>
  <c r="AM559" i="15"/>
  <c r="AM558" i="15"/>
  <c r="AM557" i="15"/>
  <c r="AM556" i="15"/>
  <c r="AM555" i="15"/>
  <c r="AM554" i="15"/>
  <c r="AM553" i="15"/>
  <c r="AM552" i="15"/>
  <c r="AM551" i="15"/>
  <c r="AM550" i="15"/>
  <c r="AM549" i="15"/>
  <c r="AM548" i="15"/>
  <c r="AM547" i="15"/>
  <c r="AM546" i="15"/>
  <c r="AM545" i="15"/>
  <c r="AM544" i="15"/>
  <c r="AM543" i="15"/>
  <c r="AM542" i="15"/>
  <c r="AM541" i="15"/>
  <c r="AM540" i="15"/>
  <c r="AM539" i="15"/>
  <c r="AM538" i="15"/>
  <c r="AM537" i="15"/>
  <c r="AM536" i="15"/>
  <c r="AM535" i="15"/>
  <c r="AM534" i="15"/>
  <c r="AM533" i="15"/>
  <c r="AM532" i="15"/>
  <c r="AM531" i="15"/>
  <c r="AM530" i="15"/>
  <c r="AM529" i="15"/>
  <c r="AM528" i="15"/>
  <c r="AM527" i="15"/>
  <c r="AM526" i="15"/>
  <c r="AM525" i="15"/>
  <c r="AM524" i="15"/>
  <c r="AM523" i="15"/>
  <c r="AM522" i="15"/>
  <c r="AM521" i="15"/>
  <c r="AM520" i="15"/>
  <c r="AM519" i="15"/>
  <c r="AM518" i="15"/>
  <c r="AM517" i="15"/>
  <c r="AM516" i="15"/>
  <c r="AM515" i="15"/>
  <c r="AM514" i="15"/>
  <c r="AM513" i="15"/>
  <c r="AM512" i="15"/>
  <c r="AM511" i="15"/>
  <c r="AM510" i="15"/>
  <c r="AM509" i="15"/>
  <c r="AM508" i="15"/>
  <c r="AM507" i="15"/>
  <c r="AM506" i="15"/>
  <c r="AM505" i="15"/>
  <c r="AM504" i="15"/>
  <c r="AM503" i="15"/>
  <c r="AM502" i="15"/>
  <c r="AM501" i="15"/>
  <c r="AM500" i="15"/>
  <c r="AM499" i="15"/>
  <c r="AM498" i="15"/>
  <c r="AM497" i="15"/>
  <c r="AM496" i="15"/>
  <c r="AM495" i="15"/>
  <c r="AM494" i="15"/>
  <c r="AM493" i="15"/>
  <c r="AM492" i="15"/>
  <c r="AM491" i="15"/>
  <c r="AM490" i="15"/>
  <c r="AM489" i="15"/>
  <c r="AM488" i="15"/>
  <c r="AM487" i="15"/>
  <c r="AM486" i="15"/>
  <c r="AM485" i="15"/>
  <c r="AM484" i="15"/>
  <c r="AM483" i="15"/>
  <c r="AM482" i="15"/>
  <c r="AM481" i="15"/>
  <c r="AM480" i="15"/>
  <c r="AM479" i="15"/>
  <c r="AM478" i="15"/>
  <c r="AM477" i="15"/>
  <c r="AM476" i="15"/>
  <c r="AM475" i="15"/>
  <c r="AM474" i="15"/>
  <c r="AM473" i="15"/>
  <c r="AM472" i="15"/>
  <c r="AM471" i="15"/>
  <c r="AM470" i="15"/>
  <c r="AM469" i="15"/>
  <c r="AM468" i="15"/>
  <c r="AM467" i="15"/>
  <c r="AM466" i="15"/>
  <c r="AM465" i="15"/>
  <c r="AM464" i="15"/>
  <c r="AM463" i="15"/>
  <c r="AM462" i="15"/>
  <c r="AM461" i="15"/>
  <c r="AM460" i="15"/>
  <c r="AM459" i="15"/>
  <c r="AM458" i="15"/>
  <c r="AM457" i="15"/>
  <c r="AM456" i="15"/>
  <c r="AM455" i="15"/>
  <c r="AM454" i="15"/>
  <c r="AM453" i="15"/>
  <c r="AM452" i="15"/>
  <c r="AM451" i="15"/>
  <c r="AM450" i="15"/>
  <c r="AM449" i="15"/>
  <c r="AM448" i="15"/>
  <c r="AM447" i="15"/>
  <c r="AM446" i="15"/>
  <c r="AM445" i="15"/>
  <c r="AM444" i="15"/>
  <c r="AM443" i="15"/>
  <c r="AM442" i="15"/>
  <c r="AM441" i="15"/>
  <c r="AM440" i="15"/>
  <c r="AM439" i="15"/>
  <c r="AM438" i="15"/>
  <c r="AM437" i="15"/>
  <c r="AM436" i="15"/>
  <c r="AM435" i="15"/>
  <c r="AM434" i="15"/>
  <c r="AM433" i="15"/>
  <c r="AM432" i="15"/>
  <c r="AM431" i="15"/>
  <c r="AM430" i="15"/>
  <c r="AM429" i="15"/>
  <c r="AM428" i="15"/>
  <c r="AM427" i="15"/>
  <c r="AM426" i="15"/>
  <c r="AM425" i="15"/>
  <c r="AM424" i="15"/>
  <c r="AM423" i="15"/>
  <c r="AM422" i="15"/>
  <c r="AM421" i="15"/>
  <c r="AM420" i="15"/>
  <c r="AM419" i="15"/>
  <c r="AM418" i="15"/>
  <c r="AM417" i="15"/>
  <c r="AM416" i="15"/>
  <c r="AM415" i="15"/>
  <c r="AM414" i="15"/>
  <c r="AM413" i="15"/>
  <c r="AM412" i="15"/>
  <c r="AM411" i="15"/>
  <c r="AM410" i="15"/>
  <c r="AM409" i="15"/>
  <c r="AM408" i="15"/>
  <c r="AM407" i="15"/>
  <c r="AM406" i="15"/>
  <c r="AM405" i="15"/>
  <c r="AM404" i="15"/>
  <c r="AM403" i="15"/>
  <c r="AM402" i="15"/>
  <c r="AM401" i="15"/>
  <c r="AM400" i="15"/>
  <c r="AM399" i="15"/>
  <c r="AM398" i="15"/>
  <c r="AM397" i="15"/>
  <c r="AM396" i="15"/>
  <c r="AM395" i="15"/>
  <c r="AM394" i="15"/>
  <c r="AM393" i="15"/>
  <c r="AM392" i="15"/>
  <c r="AM391" i="15"/>
  <c r="AM390" i="15"/>
  <c r="AM389" i="15"/>
  <c r="AM388" i="15"/>
  <c r="AM387" i="15"/>
  <c r="AM386" i="15"/>
  <c r="AM385" i="15"/>
  <c r="AM384" i="15"/>
  <c r="AM383" i="15"/>
  <c r="AM382" i="15"/>
  <c r="AM381" i="15"/>
  <c r="AM380" i="15"/>
  <c r="AM379" i="15"/>
  <c r="AM378" i="15"/>
  <c r="AM377" i="15"/>
  <c r="AM376" i="15"/>
  <c r="AM375" i="15"/>
  <c r="AM374" i="15"/>
  <c r="AM373" i="15"/>
  <c r="AM372" i="15"/>
  <c r="AM371" i="15"/>
  <c r="AM370" i="15"/>
  <c r="AM369" i="15"/>
  <c r="AM368" i="15"/>
  <c r="AM367" i="15"/>
  <c r="AM366" i="15"/>
  <c r="AM365" i="15"/>
  <c r="AM364" i="15"/>
  <c r="AM363" i="15"/>
  <c r="AM362" i="15"/>
  <c r="AM361" i="15"/>
  <c r="AM360" i="15"/>
  <c r="AM359" i="15"/>
  <c r="AM358" i="15"/>
  <c r="AM357" i="15"/>
  <c r="AM356" i="15"/>
  <c r="AM355" i="15"/>
  <c r="AM354" i="15"/>
  <c r="AM353" i="15"/>
  <c r="AM352" i="15"/>
  <c r="AM351" i="15"/>
  <c r="AM350" i="15"/>
  <c r="AM349" i="15"/>
  <c r="AM348" i="15"/>
  <c r="AM347" i="15"/>
  <c r="AM346" i="15"/>
  <c r="AM345" i="15"/>
  <c r="AM344" i="15"/>
  <c r="AM343" i="15"/>
  <c r="AM342" i="15"/>
  <c r="AM341" i="15"/>
  <c r="AM340" i="15"/>
  <c r="AM339" i="15"/>
  <c r="AM338" i="15"/>
  <c r="AM337" i="15"/>
  <c r="AM336" i="15"/>
  <c r="AM335" i="15"/>
  <c r="AM334" i="15"/>
  <c r="AM333" i="15"/>
  <c r="AM332" i="15"/>
  <c r="AM331" i="15"/>
  <c r="AM330" i="15"/>
  <c r="AM329" i="15"/>
  <c r="AM328" i="15"/>
  <c r="AM327" i="15"/>
  <c r="AM326" i="15"/>
  <c r="AM325" i="15"/>
  <c r="AM324" i="15"/>
  <c r="AM323" i="15"/>
  <c r="AM322" i="15"/>
  <c r="AM321" i="15"/>
  <c r="AM320" i="15"/>
  <c r="AM319" i="15"/>
  <c r="AM318" i="15"/>
  <c r="AM317" i="15"/>
  <c r="AM316" i="15"/>
  <c r="AM315" i="15"/>
  <c r="AM314" i="15"/>
  <c r="AM313" i="15"/>
  <c r="AM312" i="15"/>
  <c r="AM311" i="15"/>
  <c r="AM310" i="15"/>
  <c r="AM309" i="15"/>
  <c r="AM308" i="15"/>
  <c r="AM307" i="15"/>
  <c r="AM306" i="15"/>
  <c r="AM305" i="15"/>
  <c r="AM304" i="15"/>
  <c r="AM303" i="15"/>
  <c r="AM302" i="15"/>
  <c r="AM301" i="15"/>
  <c r="AM300" i="15"/>
  <c r="AM299" i="15"/>
  <c r="AM298" i="15"/>
  <c r="AM297" i="15"/>
  <c r="AM296" i="15"/>
  <c r="AM295" i="15"/>
  <c r="AM294" i="15"/>
  <c r="AM293" i="15"/>
  <c r="AM292" i="15"/>
  <c r="AM291" i="15"/>
  <c r="AM290" i="15"/>
  <c r="AM289" i="15"/>
  <c r="AM288" i="15"/>
  <c r="AM287" i="15"/>
  <c r="AM286" i="15"/>
  <c r="AM285" i="15"/>
  <c r="AM284" i="15"/>
  <c r="AM283" i="15"/>
  <c r="AM282" i="15"/>
  <c r="AM281" i="15"/>
  <c r="AM280" i="15"/>
  <c r="AM279" i="15"/>
  <c r="AM278" i="15"/>
  <c r="AM277" i="15"/>
  <c r="AM276" i="15"/>
  <c r="AM275" i="15"/>
  <c r="AM274" i="15"/>
  <c r="AM273" i="15"/>
  <c r="AM272" i="15"/>
  <c r="AM271" i="15"/>
  <c r="AM270" i="15"/>
  <c r="AM269" i="15"/>
  <c r="AM268" i="15"/>
  <c r="AM267" i="15"/>
  <c r="AM266" i="15"/>
  <c r="AM265" i="15"/>
  <c r="AM264" i="15"/>
  <c r="AM263" i="15"/>
  <c r="AM262" i="15"/>
  <c r="AM261" i="15"/>
  <c r="AM260" i="15"/>
  <c r="AM259" i="15"/>
  <c r="AM258" i="15"/>
  <c r="AM257" i="15"/>
  <c r="AM256" i="15"/>
  <c r="AM255" i="15"/>
  <c r="AM254" i="15"/>
  <c r="AM253" i="15"/>
  <c r="AM252" i="15"/>
  <c r="AM251" i="15"/>
  <c r="AM250" i="15"/>
  <c r="AM249" i="15"/>
  <c r="AM248" i="15"/>
  <c r="AM247" i="15"/>
  <c r="AM246" i="15"/>
  <c r="AM245" i="15"/>
  <c r="AM244" i="15"/>
  <c r="AM243" i="15"/>
  <c r="AM242" i="15"/>
  <c r="AM241" i="15"/>
  <c r="AM240" i="15"/>
  <c r="AM239" i="15"/>
  <c r="AM238" i="15"/>
  <c r="AM237" i="15"/>
  <c r="AM236" i="15"/>
  <c r="AM235" i="15"/>
  <c r="AM234" i="15"/>
  <c r="AM233" i="15"/>
  <c r="AM232" i="15"/>
  <c r="AM231" i="15"/>
  <c r="AM230" i="15"/>
  <c r="AM229" i="15"/>
  <c r="AM228" i="15"/>
  <c r="AM227" i="15"/>
  <c r="AM226" i="15"/>
  <c r="AM225" i="15"/>
  <c r="AM224" i="15"/>
  <c r="AM223" i="15"/>
  <c r="AM222" i="15"/>
  <c r="AM221" i="15"/>
  <c r="AM220" i="15"/>
  <c r="AM219" i="15"/>
  <c r="AM218" i="15"/>
  <c r="AM217" i="15"/>
  <c r="AM216" i="15"/>
  <c r="AM215" i="15"/>
  <c r="AM214" i="15"/>
  <c r="AM213" i="15"/>
  <c r="AM212" i="15"/>
  <c r="AM211" i="15"/>
  <c r="AM210" i="15"/>
  <c r="AM209" i="15"/>
  <c r="AM208" i="15"/>
  <c r="AM207" i="15"/>
  <c r="AM206" i="15"/>
  <c r="AM205" i="15"/>
  <c r="AM204" i="15"/>
  <c r="AM203" i="15"/>
  <c r="AM202" i="15"/>
  <c r="AM201" i="15"/>
  <c r="AM200" i="15"/>
  <c r="AM199" i="15"/>
  <c r="AM198" i="15"/>
  <c r="AM197" i="15"/>
  <c r="AM196" i="15"/>
  <c r="AM195" i="15"/>
  <c r="AM194" i="15"/>
  <c r="AM193" i="15"/>
  <c r="AM192" i="15"/>
  <c r="AM191" i="15"/>
  <c r="AM190" i="15"/>
  <c r="AM189" i="15"/>
  <c r="AM188" i="15"/>
  <c r="AM187" i="15"/>
  <c r="AM186" i="15"/>
  <c r="AM185" i="15"/>
  <c r="AM184" i="15"/>
  <c r="AM183" i="15"/>
  <c r="AM182" i="15"/>
  <c r="AM181" i="15"/>
  <c r="AM180" i="15"/>
  <c r="AM179" i="15"/>
  <c r="AM178" i="15"/>
  <c r="AM177" i="15"/>
  <c r="AM176" i="15"/>
  <c r="AM175" i="15"/>
  <c r="AM174" i="15"/>
  <c r="AM173" i="15"/>
  <c r="AM172" i="15"/>
  <c r="AM171" i="15"/>
  <c r="AM170" i="15"/>
  <c r="AM169" i="15"/>
  <c r="AM168" i="15"/>
  <c r="AM167" i="15"/>
  <c r="AM166" i="15"/>
  <c r="AM165" i="15"/>
  <c r="AM164" i="15"/>
  <c r="AM163" i="15"/>
  <c r="AM162" i="15"/>
  <c r="AM161" i="15"/>
  <c r="AM160" i="15"/>
  <c r="AM159" i="15"/>
  <c r="AM158" i="15"/>
  <c r="AM157" i="15"/>
  <c r="AM156" i="15"/>
  <c r="AM155" i="15"/>
  <c r="AM154" i="15"/>
  <c r="AM153" i="15"/>
  <c r="AM152" i="15"/>
  <c r="AM151" i="15"/>
  <c r="AM150" i="15"/>
  <c r="AM149" i="15"/>
  <c r="AM148" i="15"/>
  <c r="AM147" i="15"/>
  <c r="AM146" i="15"/>
  <c r="AM145" i="15"/>
  <c r="AM144" i="15"/>
  <c r="AM143" i="15"/>
  <c r="AM142" i="15"/>
  <c r="AM141" i="15"/>
  <c r="AM140" i="15"/>
  <c r="AM139" i="15"/>
  <c r="AM138" i="15"/>
  <c r="AM137" i="15"/>
  <c r="AM136" i="15"/>
  <c r="AM135" i="15"/>
  <c r="AM134" i="15"/>
  <c r="AM133" i="15"/>
  <c r="AM132" i="15"/>
  <c r="AM131" i="15"/>
  <c r="AM130" i="15"/>
  <c r="AM129" i="15"/>
  <c r="AM128" i="15"/>
  <c r="AM127" i="15"/>
  <c r="AM126" i="15"/>
  <c r="AM125" i="15"/>
  <c r="AM124" i="15"/>
  <c r="AM123" i="15"/>
  <c r="AM122" i="15"/>
  <c r="AM121" i="15"/>
  <c r="AM120" i="15"/>
  <c r="AM119" i="15"/>
  <c r="AM118" i="15"/>
  <c r="AM117" i="15"/>
  <c r="AM116" i="15"/>
  <c r="AM115" i="15"/>
  <c r="AM114" i="15"/>
  <c r="AM113" i="15"/>
  <c r="AM112" i="15"/>
  <c r="AM111" i="15"/>
  <c r="AM110" i="15"/>
  <c r="AM109" i="15"/>
  <c r="AM108" i="15"/>
  <c r="AM107" i="15"/>
  <c r="AM106" i="15"/>
  <c r="AM105" i="15"/>
  <c r="AM104" i="15"/>
  <c r="AM103" i="15"/>
  <c r="AM102" i="15"/>
  <c r="AM101" i="15"/>
  <c r="AM100" i="15"/>
  <c r="AM99" i="15"/>
  <c r="AM98" i="15"/>
  <c r="AM97" i="15"/>
  <c r="AM96" i="15"/>
  <c r="AM95" i="15"/>
  <c r="AM94" i="15"/>
  <c r="AM93" i="15"/>
  <c r="AM92" i="15"/>
  <c r="AM91" i="15"/>
  <c r="AM90" i="15"/>
  <c r="AM89" i="15"/>
  <c r="AM88" i="15"/>
  <c r="AM87" i="15"/>
  <c r="AM86" i="15"/>
  <c r="AM85" i="15"/>
  <c r="AM84" i="15"/>
  <c r="AM83" i="15"/>
  <c r="AM82" i="15"/>
  <c r="AM81" i="15"/>
  <c r="AM80" i="15"/>
  <c r="AM79" i="15"/>
  <c r="AM78" i="15"/>
  <c r="AM77" i="15"/>
  <c r="AM76" i="15"/>
  <c r="AM75" i="15"/>
  <c r="AM74" i="15"/>
  <c r="AM73" i="15"/>
  <c r="AM72" i="15"/>
  <c r="AM71" i="15"/>
  <c r="AM70" i="15"/>
  <c r="AM69" i="15"/>
  <c r="AM68" i="15"/>
  <c r="AM67" i="15"/>
  <c r="AM66" i="15"/>
  <c r="AM65" i="15"/>
  <c r="AM64" i="15"/>
  <c r="AM63" i="15"/>
  <c r="AM62" i="15"/>
  <c r="AM61" i="15"/>
  <c r="AM60" i="15"/>
  <c r="AM59" i="15"/>
  <c r="AM58" i="15"/>
  <c r="AM57" i="15"/>
  <c r="AM56" i="15"/>
  <c r="AM55" i="15"/>
  <c r="AM54" i="15"/>
  <c r="AM53" i="15"/>
  <c r="AM52" i="15"/>
  <c r="AM51" i="15"/>
  <c r="AM50" i="15"/>
  <c r="AM49" i="15"/>
  <c r="AM48" i="15"/>
  <c r="AM47" i="15"/>
  <c r="AM46" i="15"/>
  <c r="AM45" i="15"/>
  <c r="AM44" i="15"/>
  <c r="AM43" i="15"/>
  <c r="AM42" i="15"/>
  <c r="AM41" i="15"/>
  <c r="AM40" i="15"/>
  <c r="AM39" i="15"/>
  <c r="AM38" i="15"/>
  <c r="AM37" i="15"/>
  <c r="AM36" i="15"/>
  <c r="AM35" i="15"/>
  <c r="AM34" i="15"/>
  <c r="AM33" i="15"/>
  <c r="AM32" i="15"/>
  <c r="AM31" i="15"/>
  <c r="AM30" i="15"/>
  <c r="AM29" i="15"/>
  <c r="AM28" i="15"/>
  <c r="AM27" i="15"/>
  <c r="AM26" i="15"/>
  <c r="AM25" i="15"/>
  <c r="AM24" i="15"/>
  <c r="AM23" i="15"/>
  <c r="AM22" i="15"/>
  <c r="AM21" i="15"/>
  <c r="AM20" i="15"/>
  <c r="AM19" i="15"/>
  <c r="AM18" i="15"/>
  <c r="AM17" i="15"/>
  <c r="AM16" i="15"/>
  <c r="AM15" i="15"/>
  <c r="AM14" i="15"/>
  <c r="AM13" i="15"/>
  <c r="AM12" i="15"/>
  <c r="AM11" i="15"/>
  <c r="AM10" i="15"/>
  <c r="AM9" i="15"/>
  <c r="AM8" i="15"/>
  <c r="AM7" i="15"/>
  <c r="AM6" i="15"/>
  <c r="AM5" i="15"/>
  <c r="AM4" i="15"/>
  <c r="AM3" i="15"/>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X794" i="15" l="1"/>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P15" i="12"/>
  <c r="O12" i="12"/>
  <c r="P12" i="12" s="1"/>
  <c r="Q6" i="12"/>
  <c r="Q68" i="12"/>
  <c r="Q34" i="12"/>
  <c r="P34" i="12" s="1"/>
  <c r="Q66" i="12"/>
  <c r="Q40" i="12"/>
  <c r="P40" i="12" s="1"/>
  <c r="Q80" i="12"/>
  <c r="Q64" i="12"/>
  <c r="Q71" i="12"/>
  <c r="Q9" i="12"/>
  <c r="Q10" i="12"/>
  <c r="Q59" i="12"/>
  <c r="Q53" i="12"/>
  <c r="Q58" i="12"/>
  <c r="Q45" i="12"/>
  <c r="Q17" i="12"/>
  <c r="P17" i="12" s="1"/>
  <c r="Q62" i="12"/>
  <c r="Q57" i="12"/>
  <c r="Q50" i="12"/>
  <c r="Q11" i="12"/>
  <c r="Q22" i="12"/>
  <c r="Q43" i="12"/>
  <c r="Q39" i="12"/>
  <c r="P39" i="12" s="1"/>
  <c r="Q67" i="12"/>
  <c r="Q36" i="12"/>
  <c r="P309" i="12" l="1"/>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4" i="16" l="1"/>
  <c r="I172" i="16"/>
  <c r="I170" i="16"/>
  <c r="I168" i="16"/>
  <c r="I165" i="16"/>
  <c r="I163" i="16"/>
  <c r="I158" i="16"/>
  <c r="I156" i="16"/>
  <c r="I155" i="16"/>
  <c r="I154" i="16"/>
  <c r="I153" i="16"/>
  <c r="I152" i="16"/>
  <c r="I151" i="16"/>
  <c r="I150" i="16"/>
  <c r="I149" i="16"/>
  <c r="I148" i="16"/>
  <c r="I147" i="16"/>
  <c r="I145" i="16"/>
  <c r="I144" i="16"/>
  <c r="I143" i="16"/>
  <c r="I142" i="16"/>
  <c r="I141" i="16"/>
  <c r="I139"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<sst xmlns="http://schemas.openxmlformats.org/spreadsheetml/2006/main" count="17824" uniqueCount="2724">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</sst>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5" sqref="D1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6</v>
      </c>
      <c r="C3" s="4">
        <f>+VLOOKUP(B3,$K$3:$L$14,2,0)</f>
        <v>1</v>
      </c>
      <c r="G3" s="3"/>
      <c r="K3" s="5" t="s">
        <v>6</v>
      </c>
      <c r="L3" s="4">
        <v>1</v>
      </c>
      <c r="M3" s="4" t="str">
        <f t="shared" ref="M3:M14" si="0">+IF($K3=$B$3,"X","")</f>
        <v>X</v>
      </c>
      <c r="N3" s="4" t="str">
        <f t="shared" ref="N3:N14" si="1">+IF(K3=B3,"X",IF(L3&lt;=$C$3,"X",""))</f>
        <v>X</v>
      </c>
    </row>
    <row r="4" spans="1:14">
      <c r="A4" s="1" t="s">
        <v>7</v>
      </c>
      <c r="B4" s="2">
        <v>2026</v>
      </c>
      <c r="K4" s="5" t="s">
        <v>8</v>
      </c>
      <c r="L4" s="4">
        <v>2</v>
      </c>
      <c r="M4" s="4" t="str">
        <f t="shared" si="0"/>
        <v/>
      </c>
      <c r="N4" s="4" t="str">
        <f t="shared" si="1"/>
        <v/>
      </c>
    </row>
    <row r="5" spans="1:14" ht="15" customHeight="1">
      <c r="K5" s="5" t="s">
        <v>9</v>
      </c>
      <c r="L5" s="4">
        <v>3</v>
      </c>
      <c r="M5" s="4" t="str">
        <f t="shared" si="0"/>
        <v/>
      </c>
      <c r="N5" s="4" t="str">
        <f t="shared" si="1"/>
        <v/>
      </c>
    </row>
    <row r="6" spans="1:14">
      <c r="A6" s="1"/>
      <c r="B6" s="6"/>
      <c r="K6" s="5" t="s">
        <v>10</v>
      </c>
      <c r="L6" s="4">
        <v>4</v>
      </c>
      <c r="M6" s="4" t="str">
        <f t="shared" si="0"/>
        <v/>
      </c>
      <c r="N6" s="4" t="str">
        <f t="shared" si="1"/>
        <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D37" sqref="D3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6834862.5800000001</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6834862.5800000001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0</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277134.2</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-57745.72</v>
      </c>
      <c r="C10" s="15"/>
      <c r="D10" s="20" t="s">
        <v>29</v>
      </c>
      <c r="E10" s="21">
        <f>-SUMIFS(BV_Data_An_Cour!$AN:$AN,BV_Data_An_Cour!$AP:$AP,$A$1,BV_Data_An_Cour!$AQ:$AQ,$D10)</f>
        <v>579976.67999999993</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562777.47999999986</v>
      </c>
      <c r="C11" s="15"/>
      <c r="D11" s="20" t="s">
        <v>31</v>
      </c>
      <c r="E11" s="21">
        <f>-SUMIFS(BV_Data_An_Cour!$AN:$AN,BV_Data_An_Cour!$AP:$AP,$A$1,BV_Data_An_Cour!$AQ:$AQ,$D11)</f>
        <v>85936.840000000011</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-182167.43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2718.8</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-6660660.4699999997</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-12764.38</v>
      </c>
      <c r="F15" s="3"/>
      <c r="G15" s="3"/>
      <c r="H15" s="3"/>
      <c r="I15" s="3"/>
      <c r="J15" s="3"/>
      <c r="K15" s="3"/>
      <c r="L15" s="3"/>
      <c r="M15" s="3"/>
      <c r="N15" s="3"/>
      <c r="O15" s="3"/>
      <c r="P15" s="3"/>
      <c r="Q15" s="3"/>
      <c r="R15" s="3"/>
      <c r="S15" s="3"/>
      <c r="T15" s="3"/>
      <c r="U15" s="3"/>
      <c r="V15" s="3"/>
      <c r="W15" s="3"/>
      <c r="X15" s="3"/>
      <c r="Y15" s="3"/>
    </row>
    <row r="16" spans="1:25">
      <c r="A16" s="17" t="s">
        <v>40</v>
      </c>
      <c r="B16" s="18">
        <f>+SUM(B8:B15)</f>
        <v>-5851637.1299999999</v>
      </c>
      <c r="C16" s="19"/>
      <c r="D16" s="17" t="s">
        <v>41</v>
      </c>
      <c r="E16" s="18">
        <f>+SUM(E10:E15)</f>
        <v>473700.50999999989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8094020.1499999994</v>
      </c>
      <c r="C18" s="15"/>
      <c r="D18" s="20" t="s">
        <v>43</v>
      </c>
      <c r="E18" s="21">
        <f>-SUMIFS(BV_Data_An_Cour!$AN:$AN,BV_Data_An_Cour!$AP:$AP,$A$1,BV_Data_An_Cour!$AQ:$AQ,$D18)</f>
        <v>8896733.6900000013</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691793.62</v>
      </c>
      <c r="C19" s="15"/>
      <c r="D19" s="20" t="s">
        <v>45</v>
      </c>
      <c r="E19" s="21">
        <f>-SUMIFS(BV_Data_An_Cour!$AN:$AN,BV_Data_An_Cour!$AP:$AP,$A$1,BV_Data_An_Cour!$AQ:$AQ,$D19)</f>
        <v>564098</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241223.92</v>
      </c>
      <c r="C20" s="15"/>
      <c r="D20" s="17" t="s">
        <v>47</v>
      </c>
      <c r="E20" s="18">
        <f>+SUM(E18:E19)</f>
        <v>9460831.6900000013</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9027037.6899999995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373612.14</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97645.81</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9041.77</v>
      </c>
      <c r="C24" s="15"/>
      <c r="D24" s="20" t="s">
        <v>53</v>
      </c>
      <c r="E24" s="21">
        <f>-SUMIFS(BV_Data_An_Cour!$AN:$AN,BV_Data_An_Cour!$AP:$AP,$A$1,BV_Data_An_Cour!$AQ:$AQ,$D24)</f>
        <v>117408.15</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-2385.98</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301355.73</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588666.1</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308011.51999999996</v>
      </c>
      <c r="C30" s="19"/>
      <c r="D30" s="23" t="s">
        <v>59</v>
      </c>
      <c r="E30" s="24">
        <f>+E5+E7+E16+E20+E28</f>
        <v>10523198.300000001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10318274.66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28527.389999999985</v>
      </c>
      <c r="C37" s="15"/>
      <c r="D37" s="20" t="s">
        <v>67</v>
      </c>
      <c r="E37" s="21">
        <f>-SUMIFS(BV_Data_An_Cour!$AN:$AN,BV_Data_An_Cour!$AP:$AP,$A$1,BV_Data_An_Cour!$AQ:$AQ,$D37)</f>
        <v>3440016.62</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116197.80000000005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55264.450000000012</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8351.6499999999942</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3440016.62</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8692.5200000000041</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217033.81000000006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13963214.920000002</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3290572.5500000003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6935632.8100000005</v>
      </c>
      <c r="C53" s="19"/>
      <c r="D53" s="23" t="s">
        <v>85</v>
      </c>
      <c r="E53" s="24">
        <f>SUM(E48:E51)</f>
        <v>3290692.5500000003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17253907.469999999</v>
      </c>
      <c r="C56" s="19"/>
      <c r="D56" s="23" t="s">
        <v>87</v>
      </c>
      <c r="E56" s="24">
        <f>+E53+E45</f>
        <v>17253907.470000003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Janvier 2026</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47</v>
      </c>
      <c r="D4" s="160">
        <f>+Print_Mois!$D$13+Print_Mois!$D$15</f>
        <v>0</v>
      </c>
      <c r="E4" s="160">
        <f>+Print_Mois!$O$13+Print_Mois!$O$15</f>
        <v>82</v>
      </c>
      <c r="F4" s="161">
        <f t="shared" ref="F4:F15" si="0">+IFERROR($C4-D4,"")</f>
        <v>47</v>
      </c>
      <c r="G4" s="162">
        <f t="shared" ref="G4:G15" si="1">+IFERROR($C4-E4,"")</f>
        <v>-35</v>
      </c>
      <c r="H4" s="163" t="str">
        <f t="shared" ref="H4:H15" si="2">+IFERROR(F4/ABS($D4),"")</f>
        <v/>
      </c>
      <c r="I4" s="164">
        <f t="shared" ref="I4:I15" si="3">+IFERROR(G4/ABS($E4),"")</f>
        <v>-0.42682926829268292</v>
      </c>
      <c r="J4" s="1050" t="s">
        <v>1101</v>
      </c>
      <c r="K4" s="3"/>
      <c r="L4" s="3"/>
      <c r="M4" s="3"/>
      <c r="N4" s="3"/>
      <c r="O4" s="3"/>
      <c r="P4" s="3"/>
      <c r="Q4" s="3"/>
      <c r="R4" s="3"/>
      <c r="S4" s="3"/>
      <c r="T4" s="3"/>
      <c r="U4" s="3"/>
      <c r="V4" s="3"/>
      <c r="W4" s="3"/>
    </row>
    <row r="5" spans="1:23">
      <c r="A5" s="3"/>
      <c r="B5" s="165" t="s">
        <v>287</v>
      </c>
      <c r="C5" s="166">
        <f>+Print_Mois!$L$13+Print_Mois!$L$15</f>
        <v>79535.889999999868</v>
      </c>
      <c r="D5" s="166">
        <f>+Print_Mois!$F$13+Print_Mois!$F$15</f>
        <v>0</v>
      </c>
      <c r="E5" s="166">
        <f>+Print_Mois!$Q$13+Print_Mois!$Q$15</f>
        <v>176884.60000000044</v>
      </c>
      <c r="F5" s="167">
        <f t="shared" si="0"/>
        <v>79535.889999999868</v>
      </c>
      <c r="G5" s="168">
        <f t="shared" si="1"/>
        <v>-97348.710000000574</v>
      </c>
      <c r="H5" s="170" t="str">
        <f t="shared" si="2"/>
        <v/>
      </c>
      <c r="I5" s="171">
        <f t="shared" si="3"/>
        <v>-0.5503515286237487</v>
      </c>
      <c r="J5" s="1051"/>
      <c r="K5" s="3"/>
      <c r="L5" s="3"/>
      <c r="M5" s="3"/>
      <c r="N5" s="3"/>
      <c r="O5" s="3"/>
      <c r="P5" s="3"/>
      <c r="Q5" s="3"/>
      <c r="R5" s="3"/>
      <c r="S5" s="3"/>
      <c r="T5" s="3"/>
      <c r="U5" s="3"/>
      <c r="V5" s="3"/>
      <c r="W5" s="3"/>
    </row>
    <row r="6" spans="1:23">
      <c r="A6" s="3"/>
      <c r="B6" s="165" t="s">
        <v>288</v>
      </c>
      <c r="C6" s="166">
        <f t="shared" ref="C6:E6" si="4">+C5/C4</f>
        <v>1692.2529787234014</v>
      </c>
      <c r="D6" s="166" t="e">
        <f t="shared" si="4"/>
        <v>#DIV/0!</v>
      </c>
      <c r="E6" s="166">
        <f t="shared" si="4"/>
        <v>2157.1292682926883</v>
      </c>
      <c r="F6" s="167" t="str">
        <f t="shared" si="0"/>
        <v/>
      </c>
      <c r="G6" s="168">
        <f t="shared" si="1"/>
        <v>-464.87628956928688</v>
      </c>
      <c r="H6" s="170" t="str">
        <f t="shared" si="2"/>
        <v/>
      </c>
      <c r="I6" s="171">
        <f t="shared" si="3"/>
        <v>-0.2155069222797317</v>
      </c>
      <c r="J6" s="1051"/>
      <c r="K6" s="3"/>
      <c r="L6" s="3"/>
      <c r="M6" s="3"/>
      <c r="N6" s="3"/>
      <c r="O6" s="3"/>
      <c r="P6" s="3"/>
      <c r="Q6" s="3"/>
      <c r="R6" s="3"/>
      <c r="S6" s="3"/>
      <c r="T6" s="3"/>
      <c r="U6" s="3"/>
      <c r="V6" s="3"/>
      <c r="W6" s="3"/>
    </row>
    <row r="7" spans="1:23">
      <c r="A7" s="3"/>
      <c r="B7" s="165" t="s">
        <v>289</v>
      </c>
      <c r="C7" s="166">
        <f>+Print_Mois!$L$31</f>
        <v>42917.14</v>
      </c>
      <c r="D7" s="166">
        <f>+Print_Mois!$F$31</f>
        <v>0</v>
      </c>
      <c r="E7" s="166">
        <f>+Print_Mois!$Q$31</f>
        <v>59450.03</v>
      </c>
      <c r="F7" s="167">
        <f t="shared" si="0"/>
        <v>42917.14</v>
      </c>
      <c r="G7" s="168">
        <f t="shared" si="1"/>
        <v>-16532.89</v>
      </c>
      <c r="H7" s="170" t="str">
        <f t="shared" si="2"/>
        <v/>
      </c>
      <c r="I7" s="171">
        <f t="shared" si="3"/>
        <v>-0.27809725243200045</v>
      </c>
      <c r="J7" s="1051"/>
      <c r="K7" s="3"/>
      <c r="L7" s="3"/>
      <c r="M7" s="3"/>
      <c r="N7" s="3"/>
      <c r="O7" s="3"/>
      <c r="P7" s="3"/>
      <c r="Q7" s="3"/>
      <c r="R7" s="3"/>
      <c r="S7" s="3"/>
      <c r="T7" s="3"/>
      <c r="U7" s="3"/>
      <c r="V7" s="3"/>
      <c r="W7" s="3"/>
    </row>
    <row r="8" spans="1:23">
      <c r="A8" s="3"/>
      <c r="B8" s="165" t="s">
        <v>290</v>
      </c>
      <c r="C8" s="169">
        <f t="shared" ref="C8:E8" si="5">+C7/C5</f>
        <v>0.53959464085961784</v>
      </c>
      <c r="D8" s="169" t="e">
        <f t="shared" si="5"/>
        <v>#DIV/0!</v>
      </c>
      <c r="E8" s="169">
        <f t="shared" si="5"/>
        <v>0.33609500205218457</v>
      </c>
      <c r="F8" s="172" t="str">
        <f t="shared" si="0"/>
        <v/>
      </c>
      <c r="G8" s="173">
        <f t="shared" si="1"/>
        <v>0.20349963880743327</v>
      </c>
      <c r="H8" s="170" t="str">
        <f t="shared" si="2"/>
        <v/>
      </c>
      <c r="I8" s="171">
        <f t="shared" si="3"/>
        <v>0.60548249026278711</v>
      </c>
      <c r="J8" s="1051"/>
      <c r="K8" s="3"/>
      <c r="L8" s="3"/>
      <c r="M8" s="3"/>
      <c r="N8" s="3"/>
      <c r="O8" s="3"/>
      <c r="P8" s="3"/>
      <c r="Q8" s="3"/>
      <c r="R8" s="3"/>
      <c r="S8" s="3"/>
      <c r="T8" s="3"/>
      <c r="U8" s="3"/>
      <c r="V8" s="3"/>
      <c r="W8" s="3"/>
    </row>
    <row r="9" spans="1:23">
      <c r="A9" s="3"/>
      <c r="B9" s="165" t="s">
        <v>291</v>
      </c>
      <c r="C9" s="166">
        <f>+Print_Mois!$L$24</f>
        <v>71405.740000000005</v>
      </c>
      <c r="D9" s="166">
        <f>+Print_Mois!$F$24</f>
        <v>0</v>
      </c>
      <c r="E9" s="166">
        <f>+Print_Mois!$Q$24</f>
        <v>87350.32</v>
      </c>
      <c r="F9" s="167">
        <f t="shared" si="0"/>
        <v>71405.740000000005</v>
      </c>
      <c r="G9" s="168">
        <f t="shared" si="1"/>
        <v>-15944.580000000002</v>
      </c>
      <c r="H9" s="170" t="str">
        <f t="shared" si="2"/>
        <v/>
      </c>
      <c r="I9" s="171">
        <f t="shared" si="3"/>
        <v>-0.18253602276442721</v>
      </c>
      <c r="J9" s="1051"/>
      <c r="K9" s="3"/>
      <c r="L9" s="3"/>
      <c r="M9" s="3"/>
      <c r="N9" s="3"/>
      <c r="O9" s="3"/>
      <c r="P9" s="3"/>
      <c r="Q9" s="3"/>
      <c r="R9" s="3"/>
      <c r="S9" s="3"/>
      <c r="T9" s="3"/>
      <c r="U9" s="3"/>
      <c r="V9" s="3"/>
      <c r="W9" s="3"/>
    </row>
    <row r="10" spans="1:23">
      <c r="A10" s="3"/>
      <c r="B10" s="165" t="s">
        <v>292</v>
      </c>
      <c r="C10" s="166">
        <f t="shared" ref="C10:E10" si="6">+C9/C4</f>
        <v>1519.2710638297874</v>
      </c>
      <c r="D10" s="166" t="e">
        <f t="shared" si="6"/>
        <v>#DIV/0!</v>
      </c>
      <c r="E10" s="166">
        <f t="shared" si="6"/>
        <v>1065.2478048780488</v>
      </c>
      <c r="F10" s="167" t="str">
        <f t="shared" si="0"/>
        <v/>
      </c>
      <c r="G10" s="168">
        <f t="shared" si="1"/>
        <v>454.02325895173863</v>
      </c>
      <c r="H10" s="170" t="str">
        <f t="shared" si="2"/>
        <v/>
      </c>
      <c r="I10" s="171">
        <f t="shared" si="3"/>
        <v>0.4262137475173825</v>
      </c>
      <c r="J10" s="1051"/>
      <c r="K10" s="3"/>
      <c r="L10" s="3"/>
      <c r="M10" s="3"/>
      <c r="N10" s="3"/>
      <c r="O10" s="3"/>
      <c r="P10" s="3"/>
      <c r="Q10" s="3"/>
      <c r="R10" s="3"/>
      <c r="S10" s="3"/>
      <c r="T10" s="3"/>
      <c r="U10" s="3"/>
      <c r="V10" s="3"/>
      <c r="W10" s="3"/>
    </row>
    <row r="11" spans="1:23">
      <c r="A11" s="3"/>
      <c r="B11" s="165" t="s">
        <v>293</v>
      </c>
      <c r="C11" s="166">
        <f>+Print_Mois!$L$32</f>
        <v>22706.92</v>
      </c>
      <c r="D11" s="166">
        <f>+Print_Mois!$F$32</f>
        <v>0</v>
      </c>
      <c r="E11" s="166">
        <f>+Print_Mois!$Q$32</f>
        <v>31176.01</v>
      </c>
      <c r="F11" s="167">
        <f t="shared" si="0"/>
        <v>22706.92</v>
      </c>
      <c r="G11" s="168">
        <f t="shared" si="1"/>
        <v>-8469.09</v>
      </c>
      <c r="H11" s="170" t="str">
        <f t="shared" si="2"/>
        <v/>
      </c>
      <c r="I11" s="171">
        <f t="shared" si="3"/>
        <v>-0.27165406990824037</v>
      </c>
      <c r="J11" s="1051"/>
      <c r="K11" s="3"/>
      <c r="L11" s="3"/>
      <c r="M11" s="3"/>
      <c r="N11" s="3"/>
      <c r="O11" s="3"/>
      <c r="P11" s="3"/>
      <c r="Q11" s="3"/>
      <c r="R11" s="3"/>
      <c r="S11" s="3"/>
      <c r="T11" s="3"/>
      <c r="U11" s="3"/>
      <c r="V11" s="3"/>
      <c r="W11" s="3"/>
    </row>
    <row r="12" spans="1:23">
      <c r="A12" s="3"/>
      <c r="B12" s="165" t="s">
        <v>294</v>
      </c>
      <c r="C12" s="169">
        <f t="shared" ref="C12:E12" si="7">+C11/C9</f>
        <v>0.31799852504854648</v>
      </c>
      <c r="D12" s="169" t="e">
        <f t="shared" si="7"/>
        <v>#DIV/0!</v>
      </c>
      <c r="E12" s="169">
        <f t="shared" si="7"/>
        <v>0.35690779381231796</v>
      </c>
      <c r="F12" s="170" t="str">
        <f t="shared" si="0"/>
        <v/>
      </c>
      <c r="G12" s="174">
        <f t="shared" si="1"/>
        <v>-3.8909268763771487E-2</v>
      </c>
      <c r="H12" s="170" t="str">
        <f t="shared" si="2"/>
        <v/>
      </c>
      <c r="I12" s="171">
        <f t="shared" si="3"/>
        <v>-0.10901770552041279</v>
      </c>
      <c r="J12" s="1051"/>
      <c r="K12" s="3"/>
      <c r="L12" s="3"/>
      <c r="M12" s="3"/>
      <c r="N12" s="3"/>
      <c r="O12" s="3"/>
      <c r="P12" s="3"/>
      <c r="Q12" s="3"/>
      <c r="R12" s="3"/>
      <c r="S12" s="3"/>
      <c r="T12" s="3"/>
      <c r="U12" s="3"/>
      <c r="V12" s="3"/>
      <c r="W12" s="3"/>
    </row>
    <row r="13" spans="1:23">
      <c r="A13" s="3"/>
      <c r="B13" s="165" t="s">
        <v>295</v>
      </c>
      <c r="C13" s="166">
        <f>+Print_Mois!$L$41-C7-C11</f>
        <v>42049.560000000012</v>
      </c>
      <c r="D13" s="166">
        <f>+Print_Mois!$F$41-D7-D11</f>
        <v>0</v>
      </c>
      <c r="E13" s="166">
        <f>+Print_Mois!$Q$41-E7-E11</f>
        <v>52408.090000000011</v>
      </c>
      <c r="F13" s="167">
        <f t="shared" si="0"/>
        <v>42049.560000000012</v>
      </c>
      <c r="G13" s="168">
        <f t="shared" si="1"/>
        <v>-10358.529999999999</v>
      </c>
      <c r="H13" s="170" t="str">
        <f t="shared" si="2"/>
        <v/>
      </c>
      <c r="I13" s="171">
        <f t="shared" si="3"/>
        <v>-0.19765135497210443</v>
      </c>
      <c r="J13" s="1051"/>
      <c r="K13" s="3"/>
      <c r="L13" s="3"/>
      <c r="M13" s="3"/>
      <c r="N13" s="3"/>
      <c r="O13" s="3"/>
      <c r="P13" s="3"/>
      <c r="Q13" s="3"/>
      <c r="R13" s="3"/>
      <c r="S13" s="3"/>
      <c r="T13" s="3"/>
      <c r="U13" s="3"/>
      <c r="V13" s="3"/>
      <c r="W13" s="3"/>
    </row>
    <row r="14" spans="1:23">
      <c r="A14" s="3"/>
      <c r="B14" s="165" t="s">
        <v>296</v>
      </c>
      <c r="C14" s="166">
        <f t="shared" ref="C14:E14" si="8">+C13/C4</f>
        <v>894.67148936170236</v>
      </c>
      <c r="D14" s="166" t="e">
        <f t="shared" si="8"/>
        <v>#DIV/0!</v>
      </c>
      <c r="E14" s="166">
        <f t="shared" si="8"/>
        <v>639.12304878048792</v>
      </c>
      <c r="F14" s="167" t="str">
        <f t="shared" si="0"/>
        <v/>
      </c>
      <c r="G14" s="168">
        <f t="shared" si="1"/>
        <v>255.54844058121444</v>
      </c>
      <c r="H14" s="170" t="str">
        <f t="shared" si="2"/>
        <v/>
      </c>
      <c r="I14" s="171">
        <f t="shared" si="3"/>
        <v>0.39984231685717947</v>
      </c>
      <c r="J14" s="1051"/>
      <c r="K14" s="3"/>
      <c r="L14" s="3"/>
      <c r="M14" s="3"/>
      <c r="N14" s="3"/>
      <c r="O14" s="3"/>
      <c r="P14" s="3"/>
      <c r="Q14" s="3"/>
      <c r="R14" s="3"/>
      <c r="S14" s="3"/>
      <c r="T14" s="3"/>
      <c r="U14" s="3"/>
      <c r="V14" s="3"/>
      <c r="W14" s="3"/>
    </row>
    <row r="15" spans="1:23">
      <c r="A15" s="3"/>
      <c r="B15" s="165" t="s">
        <v>297</v>
      </c>
      <c r="C15" s="166">
        <f>+Print_Mois!$L$83</f>
        <v>43402</v>
      </c>
      <c r="D15" s="166">
        <f>+Print_Mois!$F$83</f>
        <v>0</v>
      </c>
      <c r="E15" s="166">
        <f>+Print_Mois!$Q$83</f>
        <v>116817</v>
      </c>
      <c r="F15" s="167">
        <f t="shared" si="0"/>
        <v>43402</v>
      </c>
      <c r="G15" s="168">
        <f t="shared" si="1"/>
        <v>-73415</v>
      </c>
      <c r="H15" s="170" t="str">
        <f t="shared" si="2"/>
        <v/>
      </c>
      <c r="I15" s="171">
        <f t="shared" si="3"/>
        <v>-0.62846161089567443</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17</v>
      </c>
      <c r="D21" s="160">
        <f>+Print_Mois!$D$97</f>
        <v>0</v>
      </c>
      <c r="E21" s="160">
        <f>+Print_Mois!$O$97</f>
        <v>10</v>
      </c>
      <c r="F21" s="161">
        <f t="shared" ref="F21:F32" si="11">+IFERROR($C21-D21,"")</f>
        <v>17</v>
      </c>
      <c r="G21" s="162">
        <f t="shared" ref="G21:G32" si="12">+IFERROR($C21-E21,"")</f>
        <v>7</v>
      </c>
      <c r="H21" s="163" t="str">
        <f t="shared" ref="H21:H32" si="13">+IFERROR(F21/ABS($D21),"")</f>
        <v/>
      </c>
      <c r="I21" s="164">
        <f t="shared" ref="I21:I32" si="14">+IFERROR(G21/ABS($E21),"")</f>
        <v>0.7</v>
      </c>
      <c r="J21" s="1050" t="s">
        <v>1102</v>
      </c>
      <c r="K21" s="3"/>
      <c r="L21" s="3"/>
      <c r="M21" s="3"/>
      <c r="N21" s="3"/>
      <c r="O21" s="3"/>
      <c r="P21" s="3"/>
      <c r="Q21" s="3"/>
      <c r="R21" s="3"/>
      <c r="S21" s="3"/>
      <c r="T21" s="3"/>
      <c r="U21" s="3"/>
      <c r="V21" s="3"/>
      <c r="W21" s="3"/>
    </row>
    <row r="22" spans="1:23" ht="15.75" customHeight="1">
      <c r="A22" s="3"/>
      <c r="B22" s="165" t="s">
        <v>287</v>
      </c>
      <c r="C22" s="166">
        <f>+Print_Mois!$L$97</f>
        <v>49838.77999999997</v>
      </c>
      <c r="D22" s="166">
        <f>+Print_Mois!$F$97</f>
        <v>0</v>
      </c>
      <c r="E22" s="166">
        <f>+Print_Mois!$Q$97</f>
        <v>12979.089999999997</v>
      </c>
      <c r="F22" s="167">
        <f t="shared" si="11"/>
        <v>49838.77999999997</v>
      </c>
      <c r="G22" s="168">
        <f t="shared" si="12"/>
        <v>36859.689999999973</v>
      </c>
      <c r="H22" s="170" t="str">
        <f t="shared" si="13"/>
        <v/>
      </c>
      <c r="I22" s="171">
        <f t="shared" si="14"/>
        <v>2.8399286852930352</v>
      </c>
      <c r="J22" s="1051"/>
      <c r="K22" s="3"/>
      <c r="L22" s="3"/>
      <c r="M22" s="3"/>
      <c r="N22" s="3"/>
      <c r="O22" s="3"/>
      <c r="P22" s="3"/>
      <c r="Q22" s="3"/>
      <c r="R22" s="3"/>
      <c r="S22" s="3"/>
      <c r="T22" s="3"/>
      <c r="U22" s="3"/>
      <c r="V22" s="3"/>
      <c r="W22" s="3"/>
    </row>
    <row r="23" spans="1:23" ht="15.75" customHeight="1">
      <c r="A23" s="3"/>
      <c r="B23" s="165" t="s">
        <v>288</v>
      </c>
      <c r="C23" s="166">
        <f t="shared" ref="C23:E23" si="15">+C22/C21</f>
        <v>2931.6929411764686</v>
      </c>
      <c r="D23" s="166" t="e">
        <f t="shared" si="15"/>
        <v>#DIV/0!</v>
      </c>
      <c r="E23" s="166">
        <f t="shared" si="15"/>
        <v>1297.9089999999997</v>
      </c>
      <c r="F23" s="167" t="str">
        <f t="shared" si="11"/>
        <v/>
      </c>
      <c r="G23" s="168">
        <f t="shared" si="12"/>
        <v>1633.7839411764689</v>
      </c>
      <c r="H23" s="170" t="str">
        <f t="shared" si="13"/>
        <v/>
      </c>
      <c r="I23" s="171">
        <f t="shared" si="14"/>
        <v>1.2587815795841384</v>
      </c>
      <c r="J23" s="1051"/>
      <c r="K23" s="3"/>
      <c r="L23" s="3"/>
      <c r="M23" s="3"/>
      <c r="N23" s="3"/>
      <c r="O23" s="3"/>
      <c r="P23" s="3"/>
      <c r="Q23" s="3"/>
      <c r="R23" s="3"/>
      <c r="S23" s="3"/>
      <c r="T23" s="3"/>
      <c r="U23" s="3"/>
      <c r="V23" s="3"/>
      <c r="W23" s="3"/>
    </row>
    <row r="24" spans="1:23" ht="15.75" customHeight="1">
      <c r="A24" s="3"/>
      <c r="B24" s="165" t="s">
        <v>289</v>
      </c>
      <c r="C24" s="166">
        <f>+Print_Mois!$L$113</f>
        <v>17104.650000000001</v>
      </c>
      <c r="D24" s="166">
        <f>+Print_Mois!$F$113</f>
        <v>0</v>
      </c>
      <c r="E24" s="166">
        <f>+Print_Mois!$Q$113</f>
        <v>8743.67</v>
      </c>
      <c r="F24" s="167">
        <f t="shared" si="11"/>
        <v>17104.650000000001</v>
      </c>
      <c r="G24" s="168">
        <f t="shared" si="12"/>
        <v>8360.9800000000014</v>
      </c>
      <c r="H24" s="170" t="str">
        <f t="shared" si="13"/>
        <v/>
      </c>
      <c r="I24" s="171">
        <f t="shared" si="14"/>
        <v>0.9562323372222421</v>
      </c>
      <c r="J24" s="1051"/>
      <c r="K24" s="3"/>
      <c r="L24" s="3"/>
      <c r="M24" s="3"/>
      <c r="N24" s="3"/>
      <c r="O24" s="3"/>
      <c r="P24" s="3"/>
      <c r="Q24" s="3"/>
      <c r="R24" s="3"/>
      <c r="S24" s="3"/>
      <c r="T24" s="3"/>
      <c r="U24" s="3"/>
      <c r="V24" s="3"/>
      <c r="W24" s="3"/>
    </row>
    <row r="25" spans="1:23" ht="15.75" customHeight="1">
      <c r="A25" s="3"/>
      <c r="B25" s="165" t="s">
        <v>290</v>
      </c>
      <c r="C25" s="169">
        <f t="shared" ref="C25:E25" si="16">+C24/C22</f>
        <v>0.34319961283161449</v>
      </c>
      <c r="D25" s="169" t="e">
        <f t="shared" si="16"/>
        <v>#DIV/0!</v>
      </c>
      <c r="E25" s="169">
        <f t="shared" si="16"/>
        <v>0.67367357803975492</v>
      </c>
      <c r="F25" s="172" t="str">
        <f t="shared" si="11"/>
        <v/>
      </c>
      <c r="G25" s="173">
        <f t="shared" si="12"/>
        <v>-0.33047396520814043</v>
      </c>
      <c r="H25" s="170" t="str">
        <f t="shared" si="13"/>
        <v/>
      </c>
      <c r="I25" s="171">
        <f t="shared" si="14"/>
        <v>-0.49055503433836389</v>
      </c>
      <c r="J25" s="1051"/>
      <c r="K25" s="3"/>
      <c r="L25" s="3"/>
      <c r="M25" s="3"/>
      <c r="N25" s="3"/>
      <c r="O25" s="3"/>
      <c r="P25" s="3"/>
      <c r="Q25" s="3"/>
      <c r="R25" s="3"/>
      <c r="S25" s="3"/>
      <c r="T25" s="3"/>
      <c r="U25" s="3"/>
      <c r="V25" s="3"/>
      <c r="W25" s="3"/>
    </row>
    <row r="26" spans="1:23" ht="15.75" customHeight="1">
      <c r="A26" s="3"/>
      <c r="B26" s="165" t="s">
        <v>291</v>
      </c>
      <c r="C26" s="166">
        <f>+Print_Mois!$L$106</f>
        <v>26726.230000000003</v>
      </c>
      <c r="D26" s="166">
        <f>+Print_Mois!$F$106</f>
        <v>0</v>
      </c>
      <c r="E26" s="166">
        <f>+Print_Mois!$Q$106</f>
        <v>19481.669999999998</v>
      </c>
      <c r="F26" s="167">
        <f t="shared" si="11"/>
        <v>26726.230000000003</v>
      </c>
      <c r="G26" s="168">
        <f t="shared" si="12"/>
        <v>7244.5600000000049</v>
      </c>
      <c r="H26" s="170" t="str">
        <f t="shared" si="13"/>
        <v/>
      </c>
      <c r="I26" s="171">
        <f t="shared" si="14"/>
        <v>0.37186545095979995</v>
      </c>
      <c r="J26" s="1051"/>
      <c r="K26" s="3"/>
      <c r="L26" s="3"/>
      <c r="M26" s="3"/>
      <c r="N26" s="3"/>
      <c r="O26" s="3"/>
      <c r="P26" s="3"/>
      <c r="Q26" s="3"/>
      <c r="R26" s="3"/>
      <c r="S26" s="3"/>
      <c r="T26" s="3"/>
      <c r="U26" s="3"/>
      <c r="V26" s="3"/>
      <c r="W26" s="3"/>
    </row>
    <row r="27" spans="1:23" ht="15.75" customHeight="1">
      <c r="A27" s="3"/>
      <c r="B27" s="165" t="s">
        <v>292</v>
      </c>
      <c r="C27" s="166">
        <f t="shared" ref="C27:E27" si="17">+C26/C21</f>
        <v>1572.1311764705883</v>
      </c>
      <c r="D27" s="166" t="e">
        <f t="shared" si="17"/>
        <v>#DIV/0!</v>
      </c>
      <c r="E27" s="166">
        <f t="shared" si="17"/>
        <v>1948.1669999999999</v>
      </c>
      <c r="F27" s="167" t="str">
        <f t="shared" si="11"/>
        <v/>
      </c>
      <c r="G27" s="168">
        <f t="shared" si="12"/>
        <v>-376.03582352941157</v>
      </c>
      <c r="H27" s="170" t="str">
        <f t="shared" si="13"/>
        <v/>
      </c>
      <c r="I27" s="171">
        <f t="shared" si="14"/>
        <v>-0.19302032296482366</v>
      </c>
      <c r="J27" s="1051"/>
      <c r="K27" s="3"/>
      <c r="L27" s="3"/>
      <c r="M27" s="3"/>
      <c r="N27" s="3"/>
      <c r="O27" s="3"/>
      <c r="P27" s="3"/>
      <c r="Q27" s="3"/>
      <c r="R27" s="3"/>
      <c r="S27" s="3"/>
      <c r="T27" s="3"/>
      <c r="U27" s="3"/>
      <c r="V27" s="3"/>
      <c r="W27" s="3"/>
    </row>
    <row r="28" spans="1:23" ht="15.75" customHeight="1">
      <c r="A28" s="3"/>
      <c r="B28" s="165" t="s">
        <v>293</v>
      </c>
      <c r="C28" s="166">
        <f>+Print_Mois!$L$114</f>
        <v>5887.37</v>
      </c>
      <c r="D28" s="166">
        <f>+Print_Mois!$F$114</f>
        <v>0</v>
      </c>
      <c r="E28" s="166">
        <f>+Print_Mois!$Q$114</f>
        <v>4911.32</v>
      </c>
      <c r="F28" s="167">
        <f t="shared" si="11"/>
        <v>5887.37</v>
      </c>
      <c r="G28" s="168">
        <f t="shared" si="12"/>
        <v>976.05000000000018</v>
      </c>
      <c r="H28" s="170" t="str">
        <f t="shared" si="13"/>
        <v/>
      </c>
      <c r="I28" s="171">
        <f t="shared" si="14"/>
        <v>0.19873475969800383</v>
      </c>
      <c r="J28" s="1051"/>
      <c r="K28" s="3"/>
      <c r="L28" s="3"/>
      <c r="M28" s="3"/>
      <c r="N28" s="3"/>
      <c r="O28" s="3"/>
      <c r="P28" s="3"/>
      <c r="Q28" s="3"/>
      <c r="R28" s="3"/>
      <c r="S28" s="3"/>
      <c r="T28" s="3"/>
      <c r="U28" s="3"/>
      <c r="V28" s="3"/>
      <c r="W28" s="3"/>
    </row>
    <row r="29" spans="1:23" ht="15.75" customHeight="1">
      <c r="A29" s="3"/>
      <c r="B29" s="165" t="s">
        <v>294</v>
      </c>
      <c r="C29" s="169">
        <f t="shared" ref="C29:E29" si="18">+C28/C26</f>
        <v>0.22028434238573863</v>
      </c>
      <c r="D29" s="169" t="e">
        <f t="shared" si="18"/>
        <v>#DIV/0!</v>
      </c>
      <c r="E29" s="169">
        <f t="shared" si="18"/>
        <v>0.252099537667972</v>
      </c>
      <c r="F29" s="170" t="str">
        <f t="shared" si="11"/>
        <v/>
      </c>
      <c r="G29" s="174">
        <f t="shared" si="12"/>
        <v>-3.1815195282233366E-2</v>
      </c>
      <c r="H29" s="170" t="str">
        <f t="shared" si="13"/>
        <v/>
      </c>
      <c r="I29" s="171">
        <f t="shared" si="14"/>
        <v>-0.126200926731312</v>
      </c>
      <c r="J29" s="1051"/>
      <c r="K29" s="3"/>
      <c r="L29" s="3"/>
      <c r="M29" s="3"/>
      <c r="N29" s="3"/>
      <c r="O29" s="3"/>
      <c r="P29" s="3"/>
      <c r="Q29" s="3"/>
      <c r="R29" s="3"/>
      <c r="S29" s="3"/>
      <c r="T29" s="3"/>
      <c r="U29" s="3"/>
      <c r="V29" s="3"/>
      <c r="W29" s="3"/>
    </row>
    <row r="30" spans="1:23" ht="15.75" customHeight="1">
      <c r="A30" s="3"/>
      <c r="B30" s="165" t="s">
        <v>295</v>
      </c>
      <c r="C30" s="166">
        <f>+Print_Mois!$L$123-C24-C28</f>
        <v>3179.2400000000007</v>
      </c>
      <c r="D30" s="166">
        <f>+Print_Mois!$F$123-D24-D28</f>
        <v>0</v>
      </c>
      <c r="E30" s="166">
        <f>+Print_Mois!$Q$123-E24-E28</f>
        <v>774.76000000000022</v>
      </c>
      <c r="F30" s="167">
        <f t="shared" si="11"/>
        <v>3179.2400000000007</v>
      </c>
      <c r="G30" s="168">
        <f t="shared" si="12"/>
        <v>2404.4800000000005</v>
      </c>
      <c r="H30" s="170" t="str">
        <f t="shared" si="13"/>
        <v/>
      </c>
      <c r="I30" s="171">
        <f t="shared" si="14"/>
        <v>3.103515927513036</v>
      </c>
      <c r="J30" s="1051"/>
      <c r="K30" s="3"/>
      <c r="L30" s="3"/>
      <c r="M30" s="3"/>
      <c r="N30" s="3"/>
      <c r="O30" s="3"/>
      <c r="P30" s="3"/>
      <c r="Q30" s="3"/>
      <c r="R30" s="3"/>
      <c r="S30" s="3"/>
      <c r="T30" s="3"/>
      <c r="U30" s="3"/>
      <c r="V30" s="3"/>
      <c r="W30" s="3"/>
    </row>
    <row r="31" spans="1:23" ht="15.75" customHeight="1">
      <c r="A31" s="3"/>
      <c r="B31" s="165" t="s">
        <v>296</v>
      </c>
      <c r="C31" s="166">
        <f t="shared" ref="C31:E31" si="19">+C30/C21</f>
        <v>187.01411764705887</v>
      </c>
      <c r="D31" s="166" t="e">
        <f t="shared" si="19"/>
        <v>#DIV/0!</v>
      </c>
      <c r="E31" s="166">
        <f t="shared" si="19"/>
        <v>77.476000000000028</v>
      </c>
      <c r="F31" s="167" t="str">
        <f t="shared" si="11"/>
        <v/>
      </c>
      <c r="G31" s="168">
        <f t="shared" si="12"/>
        <v>109.53811764705884</v>
      </c>
      <c r="H31" s="170" t="str">
        <f t="shared" si="13"/>
        <v/>
      </c>
      <c r="I31" s="171">
        <f t="shared" si="14"/>
        <v>1.4138328985370798</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180149.08000000002</v>
      </c>
      <c r="D38" s="200">
        <f>+Print_Mois!$E$195</f>
        <v>0</v>
      </c>
      <c r="E38" s="200">
        <f>+Print_Mois!$P$195</f>
        <v>218292</v>
      </c>
      <c r="F38" s="201">
        <f t="shared" ref="F38:F47" si="22">+IFERROR($C38-D38,"")</f>
        <v>180149.08000000002</v>
      </c>
      <c r="G38" s="202">
        <f t="shared" ref="G38:G47" si="23">+IFERROR($C38-E38,"")</f>
        <v>-38142.919999999984</v>
      </c>
      <c r="H38" s="163" t="str">
        <f t="shared" ref="H38:H47" si="24">+IFERROR(F38/ABS($D38),"")</f>
        <v/>
      </c>
      <c r="I38" s="164">
        <f t="shared" ref="I38:I47" si="25">+IFERROR(G38/ABS($E38),"")</f>
        <v>-0.17473347626115471</v>
      </c>
      <c r="J38" s="1050" t="s">
        <v>1103</v>
      </c>
      <c r="K38" s="3"/>
      <c r="L38" s="3"/>
      <c r="M38" s="3"/>
      <c r="N38" s="3"/>
      <c r="O38" s="3"/>
      <c r="P38" s="3"/>
      <c r="Q38" s="3"/>
      <c r="R38" s="3"/>
      <c r="S38" s="3"/>
      <c r="T38" s="3"/>
      <c r="U38" s="3"/>
      <c r="V38" s="3"/>
      <c r="W38" s="3"/>
    </row>
    <row r="39" spans="1:23" ht="15.75" customHeight="1">
      <c r="A39" s="3"/>
      <c r="B39" s="159" t="s">
        <v>302</v>
      </c>
      <c r="C39" s="200">
        <f>+Print_Mois!$L$195</f>
        <v>115089.2</v>
      </c>
      <c r="D39" s="200">
        <f>+Print_Mois!$F$195</f>
        <v>0</v>
      </c>
      <c r="E39" s="200">
        <f>+Print_Mois!$Q$195</f>
        <v>136993.96000000002</v>
      </c>
      <c r="F39" s="201">
        <f t="shared" si="22"/>
        <v>115089.2</v>
      </c>
      <c r="G39" s="202">
        <f t="shared" si="23"/>
        <v>-21904.760000000024</v>
      </c>
      <c r="H39" s="203" t="str">
        <f t="shared" si="24"/>
        <v/>
      </c>
      <c r="I39" s="204">
        <f t="shared" si="25"/>
        <v>-0.15989580854513602</v>
      </c>
      <c r="J39" s="1051"/>
      <c r="K39" s="3"/>
      <c r="L39" s="3"/>
      <c r="M39" s="3"/>
      <c r="N39" s="3"/>
      <c r="O39" s="3"/>
      <c r="P39" s="3"/>
      <c r="Q39" s="3"/>
      <c r="R39" s="3"/>
      <c r="S39" s="3"/>
      <c r="T39" s="3"/>
      <c r="U39" s="3"/>
      <c r="V39" s="3"/>
      <c r="W39" s="3"/>
    </row>
    <row r="40" spans="1:23" ht="15.75" customHeight="1">
      <c r="A40" s="3"/>
      <c r="B40" s="165" t="s">
        <v>303</v>
      </c>
      <c r="C40" s="166">
        <f>+Print_Mois!$K$173/Print_Mois!$J$173</f>
        <v>113.62905096660809</v>
      </c>
      <c r="D40" s="166" t="str">
        <f>+IFERROR(Print_Mois!$E$173/Print_Mois!$D$173,"")</f>
        <v/>
      </c>
      <c r="E40" s="166">
        <f>+Print_Mois!$P$173/Print_Mois!$O$173</f>
        <v>113.71509836065574</v>
      </c>
      <c r="F40" s="167" t="str">
        <f t="shared" si="22"/>
        <v/>
      </c>
      <c r="G40" s="168">
        <f t="shared" si="23"/>
        <v>-8.6047394047653825E-2</v>
      </c>
      <c r="H40" s="170" t="str">
        <f t="shared" si="24"/>
        <v/>
      </c>
      <c r="I40" s="171">
        <f t="shared" si="25"/>
        <v>-7.566927812413109E-4</v>
      </c>
      <c r="J40" s="1051"/>
      <c r="K40" s="3"/>
      <c r="L40" s="3"/>
      <c r="M40" s="3"/>
      <c r="N40" s="3"/>
      <c r="O40" s="3"/>
      <c r="P40" s="3"/>
      <c r="Q40" s="3"/>
      <c r="R40" s="3"/>
      <c r="S40" s="3"/>
      <c r="T40" s="3"/>
      <c r="U40" s="3"/>
      <c r="V40" s="3"/>
      <c r="W40" s="3"/>
    </row>
    <row r="41" spans="1:23" ht="15.75" customHeight="1">
      <c r="A41" s="3"/>
      <c r="B41" s="165" t="s">
        <v>304</v>
      </c>
      <c r="C41" s="166">
        <f>+Print_Mois!$K$176/Print_Mois!$J$176</f>
        <v>198.63221052631579</v>
      </c>
      <c r="D41" s="166" t="str">
        <f>+IFERROR(Print_Mois!$E$176/Print_Mois!$D$176,"")</f>
        <v/>
      </c>
      <c r="E41" s="166">
        <f>+Print_Mois!$P$176/Print_Mois!$O$176</f>
        <v>170.28968674698797</v>
      </c>
      <c r="F41" s="167" t="str">
        <f t="shared" si="22"/>
        <v/>
      </c>
      <c r="G41" s="168">
        <f t="shared" si="23"/>
        <v>28.34252377932782</v>
      </c>
      <c r="H41" s="170" t="str">
        <f t="shared" si="24"/>
        <v/>
      </c>
      <c r="I41" s="171">
        <f t="shared" si="25"/>
        <v>0.16643711266812306</v>
      </c>
      <c r="J41" s="1051"/>
      <c r="K41" s="3"/>
      <c r="L41" s="3"/>
      <c r="M41" s="3"/>
      <c r="N41" s="3"/>
      <c r="O41" s="3"/>
      <c r="P41" s="3"/>
      <c r="Q41" s="3"/>
      <c r="R41" s="3"/>
      <c r="S41" s="3"/>
      <c r="T41" s="3"/>
      <c r="U41" s="3"/>
      <c r="V41" s="3"/>
      <c r="W41" s="3"/>
    </row>
    <row r="42" spans="1:23" ht="15.75" customHeight="1">
      <c r="A42" s="3"/>
      <c r="B42" s="165" t="s">
        <v>305</v>
      </c>
      <c r="C42" s="166">
        <f>+Print_Mois!$L$185</f>
        <v>-4736.8100000000004</v>
      </c>
      <c r="D42" s="166">
        <f>+Print_Mois!$F$185</f>
        <v>0</v>
      </c>
      <c r="E42" s="166">
        <f>+Print_Mois!$Q$185</f>
        <v>-104.46</v>
      </c>
      <c r="F42" s="167">
        <f t="shared" si="22"/>
        <v>-4736.8100000000004</v>
      </c>
      <c r="G42" s="168">
        <f t="shared" si="23"/>
        <v>-4632.3500000000004</v>
      </c>
      <c r="H42" s="170" t="str">
        <f t="shared" si="24"/>
        <v/>
      </c>
      <c r="I42" s="171">
        <f t="shared" si="25"/>
        <v>-44.345682557916909</v>
      </c>
      <c r="J42" s="1051"/>
      <c r="K42" s="3"/>
      <c r="L42" s="3"/>
      <c r="M42" s="3"/>
      <c r="N42" s="3"/>
      <c r="O42" s="3"/>
      <c r="P42" s="3"/>
      <c r="Q42" s="3"/>
      <c r="R42" s="3"/>
      <c r="S42" s="3"/>
      <c r="T42" s="3"/>
      <c r="U42" s="3"/>
      <c r="V42" s="3"/>
      <c r="W42" s="3"/>
    </row>
    <row r="43" spans="1:23" ht="15.75" customHeight="1">
      <c r="A43" s="3"/>
      <c r="B43" s="165" t="s">
        <v>306</v>
      </c>
      <c r="C43" s="166">
        <f>+Print_Mois!$L$211</f>
        <v>55934.55</v>
      </c>
      <c r="D43" s="166">
        <f>+Print_Mois!$F$211</f>
        <v>0</v>
      </c>
      <c r="E43" s="166">
        <f>+Print_Mois!$Q$211</f>
        <v>79464.929999999993</v>
      </c>
      <c r="F43" s="167">
        <f t="shared" si="22"/>
        <v>55934.55</v>
      </c>
      <c r="G43" s="168">
        <f t="shared" si="23"/>
        <v>-23530.37999999999</v>
      </c>
      <c r="H43" s="170" t="str">
        <f t="shared" si="24"/>
        <v/>
      </c>
      <c r="I43" s="171">
        <f t="shared" si="25"/>
        <v>-0.29611024636905853</v>
      </c>
      <c r="J43" s="1051"/>
      <c r="K43" s="3"/>
      <c r="L43" s="3"/>
      <c r="M43" s="3"/>
      <c r="N43" s="3"/>
      <c r="O43" s="3"/>
      <c r="P43" s="3"/>
      <c r="Q43" s="3"/>
      <c r="R43" s="3"/>
      <c r="S43" s="3"/>
      <c r="T43" s="3"/>
      <c r="U43" s="3"/>
      <c r="V43" s="3"/>
      <c r="W43" s="3"/>
    </row>
    <row r="44" spans="1:23" ht="15.75" customHeight="1">
      <c r="A44" s="3"/>
      <c r="B44" s="181" t="s">
        <v>307</v>
      </c>
      <c r="C44" s="166">
        <f>+SUM(Print_Mois!$L$199:$L$205)</f>
        <v>30032.1</v>
      </c>
      <c r="D44" s="166">
        <f>+SUM(Print_Mois!$F$199:$F$205)</f>
        <v>0</v>
      </c>
      <c r="E44" s="166">
        <f>+SUM(Print_Mois!$Q$199:$Q$205)</f>
        <v>42668.04</v>
      </c>
      <c r="F44" s="167">
        <f t="shared" si="22"/>
        <v>30032.1</v>
      </c>
      <c r="G44" s="168">
        <f t="shared" si="23"/>
        <v>-12635.940000000002</v>
      </c>
      <c r="H44" s="170" t="str">
        <f t="shared" si="24"/>
        <v/>
      </c>
      <c r="I44" s="171">
        <f t="shared" si="25"/>
        <v>-0.29614531157278379</v>
      </c>
      <c r="J44" s="1051"/>
      <c r="K44" s="3"/>
      <c r="L44" s="3"/>
      <c r="M44" s="3"/>
      <c r="N44" s="3"/>
      <c r="O44" s="3"/>
      <c r="P44" s="3"/>
      <c r="Q44" s="3"/>
      <c r="R44" s="3"/>
      <c r="S44" s="3"/>
      <c r="T44" s="3"/>
      <c r="U44" s="3"/>
      <c r="V44" s="3"/>
      <c r="W44" s="3"/>
    </row>
    <row r="45" spans="1:23">
      <c r="A45" s="3"/>
      <c r="B45" s="181" t="s">
        <v>308</v>
      </c>
      <c r="C45" s="166">
        <f>+SUM(Print_Mois!$L$206:$L$210)</f>
        <v>25902.449999999997</v>
      </c>
      <c r="D45" s="166">
        <f>+SUM(Print_Mois!$F$206:$F$210)</f>
        <v>0</v>
      </c>
      <c r="E45" s="166">
        <f>+SUM(Print_Mois!$Q$206:$Q$210)</f>
        <v>36796.89</v>
      </c>
      <c r="F45" s="167">
        <f t="shared" si="22"/>
        <v>25902.449999999997</v>
      </c>
      <c r="G45" s="168">
        <f t="shared" si="23"/>
        <v>-10894.440000000002</v>
      </c>
      <c r="H45" s="170" t="str">
        <f t="shared" si="24"/>
        <v/>
      </c>
      <c r="I45" s="171">
        <f t="shared" si="25"/>
        <v>-0.29606958631558272</v>
      </c>
      <c r="J45" s="1051"/>
      <c r="K45" s="3"/>
      <c r="L45" s="3"/>
      <c r="M45" s="3"/>
      <c r="N45" s="3"/>
      <c r="O45" s="3"/>
      <c r="P45" s="3"/>
      <c r="Q45" s="3"/>
      <c r="R45" s="3"/>
      <c r="S45" s="3"/>
      <c r="T45" s="3"/>
      <c r="U45" s="3"/>
      <c r="V45" s="3"/>
      <c r="W45" s="3"/>
    </row>
    <row r="46" spans="1:23">
      <c r="A46" s="3"/>
      <c r="B46" s="165" t="s">
        <v>309</v>
      </c>
      <c r="C46" s="169">
        <f t="shared" ref="C46:E46" si="26">+C43/C38</f>
        <v>0.31049034499648848</v>
      </c>
      <c r="D46" s="169" t="e">
        <f t="shared" si="26"/>
        <v>#DIV/0!</v>
      </c>
      <c r="E46" s="169">
        <f t="shared" si="26"/>
        <v>0.36403042713429717</v>
      </c>
      <c r="F46" s="172" t="str">
        <f t="shared" si="22"/>
        <v/>
      </c>
      <c r="G46" s="173">
        <f t="shared" si="23"/>
        <v>-5.3540082137808698E-2</v>
      </c>
      <c r="H46" s="170" t="str">
        <f t="shared" si="24"/>
        <v/>
      </c>
      <c r="I46" s="171">
        <f t="shared" si="25"/>
        <v>-0.14707584352023637</v>
      </c>
      <c r="J46" s="1051"/>
      <c r="K46" s="3"/>
      <c r="L46" s="3"/>
      <c r="M46" s="3"/>
      <c r="N46" s="3"/>
      <c r="O46" s="3"/>
      <c r="P46" s="3"/>
      <c r="Q46" s="3"/>
      <c r="R46" s="3"/>
      <c r="S46" s="3"/>
      <c r="T46" s="3"/>
      <c r="U46" s="3"/>
      <c r="V46" s="3"/>
      <c r="W46" s="3"/>
    </row>
    <row r="47" spans="1:23">
      <c r="A47" s="3"/>
      <c r="B47" s="205" t="s">
        <v>127</v>
      </c>
      <c r="C47" s="184">
        <f>+Print_Mois!$L$214</f>
        <v>-26540.560000000001</v>
      </c>
      <c r="D47" s="184">
        <f>+Print_Mois!$F$214</f>
        <v>0</v>
      </c>
      <c r="E47" s="184">
        <f>+Print_Mois!$Q$214</f>
        <v>-4875.7099999999991</v>
      </c>
      <c r="F47" s="185">
        <f t="shared" si="22"/>
        <v>-26540.560000000001</v>
      </c>
      <c r="G47" s="186">
        <f t="shared" si="23"/>
        <v>-21664.850000000002</v>
      </c>
      <c r="H47" s="187" t="str">
        <f t="shared" si="24"/>
        <v/>
      </c>
      <c r="I47" s="188">
        <f t="shared" si="25"/>
        <v>-4.4434246499484189</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807071.70000000007</v>
      </c>
      <c r="D50" s="200">
        <f>+Print_Mois!$D$315</f>
        <v>0</v>
      </c>
      <c r="E50" s="200">
        <f>+Print_Mois!$O$315</f>
        <v>754089.34</v>
      </c>
      <c r="F50" s="201">
        <f t="shared" ref="F50:F59" si="27">+IFERROR($C50-D50,"")</f>
        <v>807071.70000000007</v>
      </c>
      <c r="G50" s="202">
        <f t="shared" ref="G50:G59" si="28">+IFERROR($C50-E50,"")</f>
        <v>52982.360000000102</v>
      </c>
      <c r="H50" s="163" t="str">
        <f t="shared" ref="H50:H59" si="29">+IFERROR(F50/ABS($D50),"")</f>
        <v/>
      </c>
      <c r="I50" s="164">
        <f t="shared" ref="I50:I59" si="30">+IFERROR(G50/ABS($E50),"")</f>
        <v>7.0260056984760066E-2</v>
      </c>
      <c r="J50" s="1050" t="s">
        <v>1104</v>
      </c>
      <c r="K50" s="3"/>
      <c r="L50" s="3"/>
      <c r="M50" s="3"/>
      <c r="N50" s="3"/>
      <c r="O50" s="3"/>
      <c r="P50" s="3"/>
      <c r="Q50" s="3"/>
      <c r="R50" s="3"/>
      <c r="S50" s="3"/>
      <c r="T50" s="3"/>
      <c r="U50" s="3"/>
      <c r="V50" s="3"/>
      <c r="W50" s="3"/>
    </row>
    <row r="51" spans="1:23" ht="15.75" customHeight="1">
      <c r="A51" s="3"/>
      <c r="B51" s="181" t="s">
        <v>311</v>
      </c>
      <c r="C51" s="166">
        <f>+Print_Mois!$J$296</f>
        <v>47640.78</v>
      </c>
      <c r="D51" s="166">
        <f>+Print_Mois!$D$296</f>
        <v>0</v>
      </c>
      <c r="E51" s="166">
        <f>+Print_Mois!$O$296</f>
        <v>64769.74</v>
      </c>
      <c r="F51" s="167">
        <f t="shared" si="27"/>
        <v>47640.78</v>
      </c>
      <c r="G51" s="168">
        <f t="shared" si="28"/>
        <v>-17128.96</v>
      </c>
      <c r="H51" s="170" t="str">
        <f t="shared" si="29"/>
        <v/>
      </c>
      <c r="I51" s="171">
        <f t="shared" si="30"/>
        <v>-0.26445929843164417</v>
      </c>
      <c r="J51" s="1051"/>
      <c r="K51" s="3"/>
      <c r="L51" s="3"/>
      <c r="M51" s="3"/>
      <c r="N51" s="3"/>
      <c r="O51" s="3"/>
      <c r="P51" s="3"/>
      <c r="Q51" s="3"/>
      <c r="R51" s="3"/>
      <c r="S51" s="3"/>
      <c r="T51" s="3"/>
      <c r="U51" s="3"/>
      <c r="V51" s="3"/>
      <c r="W51" s="3"/>
    </row>
    <row r="52" spans="1:23" ht="15.75" customHeight="1">
      <c r="A52" s="3"/>
      <c r="B52" s="181" t="s">
        <v>312</v>
      </c>
      <c r="C52" s="166">
        <f>+Print_Mois!$J$298</f>
        <v>200449.43</v>
      </c>
      <c r="D52" s="166">
        <f>+Print_Mois!$D$298</f>
        <v>0</v>
      </c>
      <c r="E52" s="166">
        <f>+Print_Mois!$O$298</f>
        <v>129177.47</v>
      </c>
      <c r="F52" s="167">
        <f t="shared" si="27"/>
        <v>200449.43</v>
      </c>
      <c r="G52" s="168">
        <f t="shared" si="28"/>
        <v>71271.959999999992</v>
      </c>
      <c r="H52" s="170" t="str">
        <f t="shared" si="29"/>
        <v/>
      </c>
      <c r="I52" s="171">
        <f t="shared" si="30"/>
        <v>0.55173676957754314</v>
      </c>
      <c r="J52" s="1051"/>
      <c r="K52" s="3"/>
      <c r="L52" s="3"/>
      <c r="M52" s="3"/>
      <c r="N52" s="3"/>
      <c r="O52" s="3"/>
      <c r="P52" s="3"/>
      <c r="Q52" s="3"/>
      <c r="R52" s="3"/>
      <c r="S52" s="3"/>
      <c r="T52" s="3"/>
      <c r="U52" s="3"/>
      <c r="V52" s="3"/>
      <c r="W52" s="3"/>
    </row>
    <row r="53" spans="1:23" ht="15.75" customHeight="1">
      <c r="A53" s="3"/>
      <c r="B53" s="181" t="s">
        <v>313</v>
      </c>
      <c r="C53" s="166">
        <f>+Print_Mois!$J$301</f>
        <v>445526.65</v>
      </c>
      <c r="D53" s="166">
        <f>+Print_Mois!$D$301</f>
        <v>0</v>
      </c>
      <c r="E53" s="166">
        <f>+Print_Mois!$O$301</f>
        <v>421311.65</v>
      </c>
      <c r="F53" s="167">
        <f t="shared" si="27"/>
        <v>445526.65</v>
      </c>
      <c r="G53" s="168">
        <f t="shared" si="28"/>
        <v>24215</v>
      </c>
      <c r="H53" s="170" t="str">
        <f t="shared" si="29"/>
        <v/>
      </c>
      <c r="I53" s="171">
        <f t="shared" si="30"/>
        <v>5.7475268011221617E-2</v>
      </c>
      <c r="J53" s="1051"/>
      <c r="K53" s="3"/>
      <c r="L53" s="3"/>
      <c r="M53" s="3"/>
      <c r="N53" s="3"/>
      <c r="O53" s="3"/>
      <c r="P53" s="3"/>
      <c r="Q53" s="3"/>
      <c r="R53" s="3"/>
      <c r="S53" s="3"/>
      <c r="T53" s="3"/>
      <c r="U53" s="3"/>
      <c r="V53" s="3"/>
      <c r="W53" s="3"/>
    </row>
    <row r="54" spans="1:23" ht="15.75" customHeight="1">
      <c r="A54" s="3"/>
      <c r="B54" s="181" t="s">
        <v>314</v>
      </c>
      <c r="C54" s="166">
        <f>+Print_Mois!$J$308</f>
        <v>61424.61</v>
      </c>
      <c r="D54" s="166">
        <f>+Print_Mois!$D$308</f>
        <v>0</v>
      </c>
      <c r="E54" s="166">
        <f>+Print_Mois!$O$308</f>
        <v>81279.009999999995</v>
      </c>
      <c r="F54" s="167">
        <f t="shared" si="27"/>
        <v>61424.61</v>
      </c>
      <c r="G54" s="168">
        <f t="shared" si="28"/>
        <v>-19854.399999999994</v>
      </c>
      <c r="H54" s="170" t="str">
        <f t="shared" si="29"/>
        <v/>
      </c>
      <c r="I54" s="171">
        <f t="shared" si="30"/>
        <v>-0.2442746288371376</v>
      </c>
      <c r="J54" s="1051"/>
      <c r="K54" s="3"/>
      <c r="L54" s="3"/>
      <c r="M54" s="3"/>
      <c r="N54" s="3"/>
      <c r="O54" s="3"/>
      <c r="P54" s="3"/>
      <c r="Q54" s="3"/>
      <c r="R54" s="3"/>
      <c r="S54" s="3"/>
      <c r="T54" s="3"/>
      <c r="U54" s="3"/>
      <c r="V54" s="3"/>
      <c r="W54" s="3"/>
    </row>
    <row r="55" spans="1:23" ht="15.75" customHeight="1">
      <c r="A55" s="3"/>
      <c r="B55" s="181" t="s">
        <v>315</v>
      </c>
      <c r="C55" s="166">
        <f t="shared" ref="C55:E55" si="31">+C50-SUM(C51:C54)</f>
        <v>52030.230000000098</v>
      </c>
      <c r="D55" s="166">
        <f t="shared" si="31"/>
        <v>0</v>
      </c>
      <c r="E55" s="166">
        <f t="shared" si="31"/>
        <v>57551.469999999972</v>
      </c>
      <c r="F55" s="167">
        <f t="shared" si="27"/>
        <v>52030.230000000098</v>
      </c>
      <c r="G55" s="168">
        <f t="shared" si="28"/>
        <v>-5521.2399999998743</v>
      </c>
      <c r="H55" s="170" t="str">
        <f t="shared" si="29"/>
        <v/>
      </c>
      <c r="I55" s="171">
        <f t="shared" si="30"/>
        <v>-9.5935690261254439E-2</v>
      </c>
      <c r="J55" s="1051"/>
      <c r="K55" s="3"/>
      <c r="L55" s="3"/>
      <c r="M55" s="3"/>
      <c r="N55" s="3"/>
      <c r="O55" s="3"/>
      <c r="P55" s="3"/>
      <c r="Q55" s="3"/>
      <c r="R55" s="3"/>
      <c r="S55" s="3"/>
      <c r="T55" s="3"/>
      <c r="U55" s="3"/>
      <c r="V55" s="3"/>
      <c r="W55" s="3"/>
    </row>
    <row r="56" spans="1:23" ht="15.75" customHeight="1">
      <c r="A56" s="3"/>
      <c r="B56" s="159" t="s">
        <v>302</v>
      </c>
      <c r="C56" s="200">
        <f>+Print_Mois!$L$315</f>
        <v>161238.62000000002</v>
      </c>
      <c r="D56" s="200">
        <f>+Print_Mois!$F$315</f>
        <v>0</v>
      </c>
      <c r="E56" s="200">
        <f>+Print_Mois!$Q$315</f>
        <v>156947.19</v>
      </c>
      <c r="F56" s="201">
        <f t="shared" si="27"/>
        <v>161238.62000000002</v>
      </c>
      <c r="G56" s="202">
        <f t="shared" si="28"/>
        <v>4291.4300000000221</v>
      </c>
      <c r="H56" s="203" t="str">
        <f t="shared" si="29"/>
        <v/>
      </c>
      <c r="I56" s="204">
        <f t="shared" si="30"/>
        <v>2.7343146443080772E-2</v>
      </c>
      <c r="J56" s="1051"/>
      <c r="K56" s="3"/>
      <c r="L56" s="3"/>
      <c r="M56" s="3"/>
      <c r="N56" s="3"/>
      <c r="O56" s="3"/>
      <c r="P56" s="3"/>
      <c r="Q56" s="3"/>
      <c r="R56" s="3"/>
      <c r="S56" s="3"/>
      <c r="T56" s="3"/>
      <c r="U56" s="3"/>
      <c r="V56" s="3"/>
      <c r="W56" s="3"/>
    </row>
    <row r="57" spans="1:23" ht="15.75" customHeight="1">
      <c r="A57" s="3"/>
      <c r="B57" s="165" t="s">
        <v>303</v>
      </c>
      <c r="C57" s="166">
        <f>+Print_Mois!$J$296/Print_Mois!$J$173</f>
        <v>83.727205623901582</v>
      </c>
      <c r="D57" s="166" t="str">
        <f>+IFERROR(Print_Mois!$D$296/Print_Mois!$D$173,"")</f>
        <v/>
      </c>
      <c r="E57" s="166">
        <f>+Print_Mois!$O$296/Print_Mois!$O$173</f>
        <v>106.17990163934427</v>
      </c>
      <c r="F57" s="167" t="str">
        <f t="shared" si="27"/>
        <v/>
      </c>
      <c r="G57" s="168">
        <f t="shared" si="28"/>
        <v>-22.452696015442683</v>
      </c>
      <c r="H57" s="170" t="str">
        <f t="shared" si="29"/>
        <v/>
      </c>
      <c r="I57" s="171">
        <f t="shared" si="30"/>
        <v>-0.21145900183357283</v>
      </c>
      <c r="J57" s="1051"/>
      <c r="K57" s="3"/>
      <c r="L57" s="3"/>
      <c r="M57" s="3"/>
      <c r="N57" s="3"/>
      <c r="O57" s="3"/>
      <c r="P57" s="3"/>
      <c r="Q57" s="3"/>
      <c r="R57" s="3"/>
      <c r="S57" s="3"/>
      <c r="T57" s="3"/>
      <c r="U57" s="3"/>
      <c r="V57" s="3"/>
      <c r="W57" s="3"/>
    </row>
    <row r="58" spans="1:23" ht="15.75" customHeight="1">
      <c r="A58" s="3"/>
      <c r="B58" s="165" t="s">
        <v>304</v>
      </c>
      <c r="C58" s="166">
        <f>+Print_Mois!$J$298/Print_Mois!$J$176</f>
        <v>703.3313333333333</v>
      </c>
      <c r="D58" s="166" t="str">
        <f>+IFERROR(Print_Mois!$D$298/Print_Mois!$D$176,"")</f>
        <v/>
      </c>
      <c r="E58" s="166">
        <f>+Print_Mois!$O$298/Print_Mois!$O$176</f>
        <v>311.2710120481928</v>
      </c>
      <c r="F58" s="167" t="str">
        <f t="shared" si="27"/>
        <v/>
      </c>
      <c r="G58" s="168">
        <f t="shared" si="28"/>
        <v>392.0603212851405</v>
      </c>
      <c r="H58" s="170" t="str">
        <f t="shared" si="29"/>
        <v/>
      </c>
      <c r="I58" s="171">
        <f t="shared" si="30"/>
        <v>1.2595465241216854</v>
      </c>
      <c r="J58" s="1051"/>
      <c r="K58" s="3"/>
      <c r="L58" s="3"/>
      <c r="M58" s="3"/>
      <c r="N58" s="3"/>
      <c r="O58" s="3"/>
      <c r="P58" s="3"/>
      <c r="Q58" s="3"/>
      <c r="R58" s="3"/>
      <c r="S58" s="3"/>
      <c r="T58" s="3"/>
      <c r="U58" s="3"/>
      <c r="V58" s="3"/>
      <c r="W58" s="3"/>
    </row>
    <row r="59" spans="1:23" ht="15.75" customHeight="1">
      <c r="A59" s="3"/>
      <c r="B59" s="205" t="s">
        <v>118</v>
      </c>
      <c r="C59" s="184">
        <f>+Print_Mois!$L$321</f>
        <v>20921.490000000002</v>
      </c>
      <c r="D59" s="184">
        <f>+Print_Mois!$F$321</f>
        <v>0</v>
      </c>
      <c r="E59" s="184">
        <f>+Print_Mois!$Q$321</f>
        <v>19589.32</v>
      </c>
      <c r="F59" s="185">
        <f t="shared" si="27"/>
        <v>20921.490000000002</v>
      </c>
      <c r="G59" s="186">
        <f t="shared" si="28"/>
        <v>1332.1700000000019</v>
      </c>
      <c r="H59" s="187" t="str">
        <f t="shared" si="29"/>
        <v/>
      </c>
      <c r="I59" s="188">
        <f t="shared" si="30"/>
        <v>6.800491288110061E-2</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0.29622121454641526</v>
      </c>
      <c r="D62" s="169" t="e">
        <f>+Print_Mois!$Z$434/Print_Mois!$Z$408</f>
        <v>#DIV/0!</v>
      </c>
      <c r="E62" s="169">
        <f>+Print_Mois!$AL$434/Print_Mois!$AL$408</f>
        <v>0.3010320282530915</v>
      </c>
      <c r="F62" s="172" t="str">
        <f t="shared" ref="F62:G67" si="32">+IFERROR($C62-D62,"")</f>
        <v/>
      </c>
      <c r="G62" s="173">
        <f t="shared" si="32"/>
        <v>-4.8108137066762424E-3</v>
      </c>
      <c r="H62" s="170" t="str">
        <f t="shared" ref="H62:H67" si="33">+IFERROR(F62/ABS($D62),"")</f>
        <v/>
      </c>
      <c r="I62" s="171">
        <f t="shared" ref="I62:I67" si="34">+IFERROR(G62/ABS($E62),"")</f>
        <v>-1.598106930546131E-2</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30610.519999999997</v>
      </c>
      <c r="D64" s="166">
        <f>+Print_Mois!$Z$415+Print_Mois!$Z$435</f>
        <v>0</v>
      </c>
      <c r="E64" s="166">
        <f>+Print_Mois!$AL$415+Print_Mois!$AL$435</f>
        <v>20870.239999999998</v>
      </c>
      <c r="F64" s="167">
        <f t="shared" si="32"/>
        <v>30610.519999999997</v>
      </c>
      <c r="G64" s="168">
        <f t="shared" si="32"/>
        <v>9740.2799999999988</v>
      </c>
      <c r="H64" s="170" t="str">
        <f t="shared" si="33"/>
        <v/>
      </c>
      <c r="I64" s="171">
        <f t="shared" si="34"/>
        <v>0.46670665981799919</v>
      </c>
      <c r="J64" s="1051"/>
      <c r="K64" s="3"/>
      <c r="L64" s="3"/>
      <c r="M64" s="3"/>
      <c r="N64" s="3"/>
      <c r="O64" s="3"/>
      <c r="P64" s="3"/>
      <c r="Q64" s="3"/>
      <c r="R64" s="3"/>
      <c r="S64" s="3"/>
      <c r="T64" s="3"/>
      <c r="U64" s="3"/>
      <c r="V64" s="3"/>
      <c r="W64" s="3"/>
    </row>
    <row r="65" spans="1:23" ht="15.75" customHeight="1">
      <c r="A65" s="3"/>
      <c r="B65" s="181" t="s">
        <v>320</v>
      </c>
      <c r="C65" s="166">
        <f>+Print_Mois!$AF$453-Print_Mois!$AF$435</f>
        <v>41192.67</v>
      </c>
      <c r="D65" s="166">
        <f>+Print_Mois!$Z$453-Print_Mois!$Z$435</f>
        <v>0</v>
      </c>
      <c r="E65" s="166">
        <f>+Print_Mois!$AL$453-Print_Mois!$AL$435</f>
        <v>56669.07</v>
      </c>
      <c r="F65" s="167">
        <f t="shared" si="32"/>
        <v>41192.67</v>
      </c>
      <c r="G65" s="168">
        <f t="shared" si="32"/>
        <v>-15476.400000000001</v>
      </c>
      <c r="H65" s="170" t="str">
        <f t="shared" si="33"/>
        <v/>
      </c>
      <c r="I65" s="171">
        <f t="shared" si="34"/>
        <v>-0.27310135846591449</v>
      </c>
      <c r="J65" s="1051"/>
      <c r="K65" s="3"/>
      <c r="L65" s="3"/>
      <c r="M65" s="3"/>
      <c r="N65" s="3"/>
      <c r="O65" s="3"/>
      <c r="P65" s="3"/>
      <c r="Q65" s="3"/>
      <c r="R65" s="3"/>
      <c r="S65" s="3"/>
      <c r="T65" s="3"/>
      <c r="U65" s="3"/>
      <c r="V65" s="3"/>
      <c r="W65" s="3"/>
    </row>
    <row r="66" spans="1:23" ht="15.75" customHeight="1">
      <c r="A66" s="3"/>
      <c r="B66" s="181" t="s">
        <v>321</v>
      </c>
      <c r="C66" s="166">
        <f>+Print_Mois!$AF$416</f>
        <v>29447.989999999998</v>
      </c>
      <c r="D66" s="166">
        <f>+Print_Mois!$Z$416</f>
        <v>0</v>
      </c>
      <c r="E66" s="166">
        <f>+Print_Mois!$AL$416</f>
        <v>34682.21</v>
      </c>
      <c r="F66" s="167">
        <f t="shared" si="32"/>
        <v>29447.989999999998</v>
      </c>
      <c r="G66" s="168">
        <f t="shared" si="32"/>
        <v>-5234.2200000000012</v>
      </c>
      <c r="H66" s="170" t="str">
        <f t="shared" si="33"/>
        <v/>
      </c>
      <c r="I66" s="171">
        <f t="shared" si="34"/>
        <v>-0.15091944832811985</v>
      </c>
      <c r="J66" s="1051"/>
      <c r="K66" s="3"/>
      <c r="L66" s="3"/>
      <c r="M66" s="3"/>
      <c r="N66" s="3"/>
      <c r="O66" s="3"/>
      <c r="P66" s="3"/>
      <c r="Q66" s="3"/>
      <c r="R66" s="3"/>
      <c r="S66" s="3"/>
      <c r="T66" s="3"/>
      <c r="U66" s="3"/>
      <c r="V66" s="3"/>
      <c r="W66" s="3"/>
    </row>
    <row r="67" spans="1:23">
      <c r="A67" s="3"/>
      <c r="B67" s="183" t="s">
        <v>322</v>
      </c>
      <c r="C67" s="184">
        <f>+Print_Mois!$AF$482-C32-C15</f>
        <v>48926.41</v>
      </c>
      <c r="D67" s="184">
        <f>+Print_Mois!$Z$482-D32-D15</f>
        <v>0</v>
      </c>
      <c r="E67" s="184">
        <f>+Print_Mois!$AL$482-E32-E15</f>
        <v>37852.890000000014</v>
      </c>
      <c r="F67" s="185">
        <f t="shared" si="32"/>
        <v>48926.41</v>
      </c>
      <c r="G67" s="186">
        <f t="shared" si="32"/>
        <v>11073.51999999999</v>
      </c>
      <c r="H67" s="187" t="str">
        <f t="shared" si="33"/>
        <v/>
      </c>
      <c r="I67" s="188">
        <f t="shared" si="34"/>
        <v>0.29254093941043829</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94029.74000000002</v>
      </c>
      <c r="D70" s="166">
        <f>+Print_Mois!$Z$420-Print_Mois!$Z$416+Print_Mois!$Z$435+Print_Mois!$Z$436+Print_Mois!$Z$437</f>
        <v>0</v>
      </c>
      <c r="E70" s="166">
        <f>+Print_Mois!$AL$420-Print_Mois!$AL$416+Print_Mois!$AL$435+Print_Mois!$AL$436+Print_Mois!$AL$437</f>
        <v>125640.76000000002</v>
      </c>
      <c r="F70" s="225">
        <f t="shared" ref="F70:G77" si="35">+IFERROR($C70-D70,"")</f>
        <v>94029.74000000002</v>
      </c>
      <c r="G70" s="226">
        <f t="shared" si="35"/>
        <v>-31611.020000000004</v>
      </c>
      <c r="H70" s="170" t="str">
        <f t="shared" ref="H70:H77" si="36">+IFERROR(F70/ABS($D70),"")</f>
        <v/>
      </c>
      <c r="I70" s="171">
        <f t="shared" ref="I70:I77" si="37">+IFERROR(G70/ABS($E70),"")</f>
        <v>-0.2515984462367149</v>
      </c>
      <c r="J70" s="1050" t="s">
        <v>1105</v>
      </c>
      <c r="K70" s="3"/>
      <c r="L70" s="3"/>
      <c r="M70" s="3"/>
      <c r="N70" s="3"/>
      <c r="O70" s="3"/>
      <c r="P70" s="3"/>
      <c r="Q70" s="3"/>
      <c r="R70" s="3"/>
      <c r="S70" s="3"/>
      <c r="T70" s="3"/>
      <c r="U70" s="3"/>
      <c r="V70" s="3"/>
      <c r="W70" s="3"/>
    </row>
    <row r="71" spans="1:23" ht="15.75" customHeight="1">
      <c r="A71" s="3"/>
      <c r="B71" s="181" t="s">
        <v>325</v>
      </c>
      <c r="C71" s="169">
        <f>+C70/Print_Mois!$AF$408</f>
        <v>0.16608241515126571</v>
      </c>
      <c r="D71" s="169" t="e">
        <f>+D70/Print_Mois!$Z$408</f>
        <v>#DIV/0!</v>
      </c>
      <c r="E71" s="169">
        <f>+E70/Print_Mois!$AL$408</f>
        <v>0.17305809237417044</v>
      </c>
      <c r="F71" s="172" t="str">
        <f t="shared" si="35"/>
        <v/>
      </c>
      <c r="G71" s="173">
        <f t="shared" si="35"/>
        <v>-6.9756772229047359E-3</v>
      </c>
      <c r="H71" s="170" t="str">
        <f t="shared" si="36"/>
        <v/>
      </c>
      <c r="I71" s="171">
        <f t="shared" si="37"/>
        <v>-4.0308298370830081E-2</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373243.5</v>
      </c>
      <c r="D72" s="166">
        <f>+Print_Mois!$Z$467+Print_Mois!$Z$434+Print_Mois!$Z$438+Print_Mois!$Z$440+SUM(Print_Mois!$Z$441:$Z$449)+Print_Mois!$Z$439</f>
        <v>0</v>
      </c>
      <c r="E72" s="166">
        <f>+Print_Mois!$AL$467+Print_Mois!$AL$434+Print_Mois!$AL$438+Print_Mois!$AL$440+SUM(Print_Mois!$AL$441:$AL$449)+Print_Mois!$AL$439</f>
        <v>471660.83000000013</v>
      </c>
      <c r="F72" s="167">
        <f t="shared" si="35"/>
        <v>373243.5</v>
      </c>
      <c r="G72" s="168">
        <f t="shared" si="35"/>
        <v>-98417.330000000133</v>
      </c>
      <c r="H72" s="170" t="str">
        <f t="shared" si="36"/>
        <v/>
      </c>
      <c r="I72" s="171">
        <f t="shared" si="37"/>
        <v>-0.20866123226726313</v>
      </c>
      <c r="J72" s="1051"/>
      <c r="K72" s="3"/>
      <c r="L72" s="3"/>
      <c r="M72" s="3"/>
      <c r="N72" s="3"/>
      <c r="O72" s="3"/>
      <c r="P72" s="3"/>
      <c r="Q72" s="3"/>
      <c r="R72" s="3"/>
      <c r="S72" s="3"/>
      <c r="T72" s="3"/>
      <c r="U72" s="3"/>
      <c r="V72" s="3"/>
      <c r="W72" s="3"/>
    </row>
    <row r="73" spans="1:23" ht="15.75" customHeight="1">
      <c r="A73" s="3"/>
      <c r="B73" s="181" t="s">
        <v>327</v>
      </c>
      <c r="C73" s="169">
        <f>+C72/Print_Mois!$AF$408</f>
        <v>0.659250806388611</v>
      </c>
      <c r="D73" s="169" t="e">
        <f>+D72/Print_Mois!$Z$408</f>
        <v>#DIV/0!</v>
      </c>
      <c r="E73" s="169">
        <f>+E72/Print_Mois!$AL$408</f>
        <v>0.64966754011530892</v>
      </c>
      <c r="F73" s="172" t="str">
        <f t="shared" si="35"/>
        <v/>
      </c>
      <c r="G73" s="173">
        <f t="shared" si="35"/>
        <v>9.5832662733020824E-3</v>
      </c>
      <c r="H73" s="170" t="str">
        <f t="shared" si="36"/>
        <v/>
      </c>
      <c r="I73" s="171">
        <f t="shared" si="37"/>
        <v>1.4751031383838504E-2</v>
      </c>
      <c r="J73" s="1051"/>
      <c r="K73" s="3"/>
      <c r="L73" s="3"/>
      <c r="M73" s="3"/>
      <c r="N73" s="3"/>
      <c r="O73" s="3"/>
      <c r="P73" s="3"/>
      <c r="Q73" s="3"/>
      <c r="R73" s="3"/>
      <c r="S73" s="3"/>
      <c r="T73" s="3"/>
      <c r="U73" s="3"/>
      <c r="V73" s="3"/>
      <c r="W73" s="3"/>
    </row>
    <row r="74" spans="1:23" ht="15.75" customHeight="1">
      <c r="A74" s="1"/>
      <c r="B74" s="211" t="s">
        <v>328</v>
      </c>
      <c r="C74" s="200">
        <f>+Print_Mois!$AF$484+Print_Mois!$AF$416</f>
        <v>191218.30000000002</v>
      </c>
      <c r="D74" s="200">
        <f>+Print_Mois!$Z$484+Print_Mois!$Z$416</f>
        <v>0</v>
      </c>
      <c r="E74" s="200">
        <f>+Print_Mois!$AL$484+Print_Mois!$AL$416</f>
        <v>283371.68000000034</v>
      </c>
      <c r="F74" s="201">
        <f t="shared" si="35"/>
        <v>191218.30000000002</v>
      </c>
      <c r="G74" s="202">
        <f t="shared" si="35"/>
        <v>-92153.380000000325</v>
      </c>
      <c r="H74" s="203" t="str">
        <f t="shared" si="36"/>
        <v/>
      </c>
      <c r="I74" s="204">
        <f t="shared" si="37"/>
        <v>-0.32520321014435954</v>
      </c>
      <c r="J74" s="1051"/>
      <c r="K74" s="1"/>
      <c r="L74" s="1"/>
      <c r="M74" s="1"/>
      <c r="N74" s="1"/>
      <c r="O74" s="1"/>
      <c r="P74" s="1"/>
      <c r="Q74" s="1"/>
      <c r="R74" s="1"/>
      <c r="S74" s="1"/>
      <c r="T74" s="1"/>
      <c r="U74" s="1"/>
      <c r="V74" s="1"/>
      <c r="W74" s="1"/>
    </row>
    <row r="75" spans="1:23" ht="15.75" customHeight="1">
      <c r="A75" s="3"/>
      <c r="B75" s="165" t="s">
        <v>329</v>
      </c>
      <c r="C75" s="227">
        <f>+C74/Print_Mois!$AF$407</f>
        <v>4.7394345070715896E-2</v>
      </c>
      <c r="D75" s="227" t="e">
        <f>+D74/Print_Mois!$Z$407</f>
        <v>#DIV/0!</v>
      </c>
      <c r="E75" s="227">
        <f>+E74/Print_Mois!$AL$407</f>
        <v>4.555992394127948E-2</v>
      </c>
      <c r="F75" s="172" t="str">
        <f t="shared" si="35"/>
        <v/>
      </c>
      <c r="G75" s="173">
        <f t="shared" si="35"/>
        <v>1.8344211294364157E-3</v>
      </c>
      <c r="H75" s="170" t="str">
        <f t="shared" si="36"/>
        <v/>
      </c>
      <c r="I75" s="171">
        <f t="shared" si="37"/>
        <v>4.0263919926660417E-2</v>
      </c>
      <c r="J75" s="1051"/>
      <c r="K75" s="3"/>
      <c r="L75" s="3"/>
      <c r="M75" s="3"/>
      <c r="N75" s="3"/>
      <c r="O75" s="3"/>
      <c r="P75" s="3"/>
      <c r="Q75" s="3"/>
      <c r="R75" s="3"/>
      <c r="S75" s="3"/>
      <c r="T75" s="3"/>
      <c r="U75" s="3"/>
      <c r="V75" s="3"/>
      <c r="W75" s="3"/>
    </row>
    <row r="76" spans="1:23" ht="15.75" customHeight="1">
      <c r="A76" s="1"/>
      <c r="B76" s="211" t="s">
        <v>330</v>
      </c>
      <c r="C76" s="200">
        <f>N9+Print_Mois!$AF$499</f>
        <v>169075.20000000004</v>
      </c>
      <c r="D76" s="200">
        <f>+Print_Mois!$Z$499</f>
        <v>0</v>
      </c>
      <c r="E76" s="200">
        <f>+Print_Mois!$AL$499</f>
        <v>244590.00000000032</v>
      </c>
      <c r="F76" s="201">
        <f t="shared" si="35"/>
        <v>169075.20000000004</v>
      </c>
      <c r="G76" s="202">
        <f t="shared" si="35"/>
        <v>-75514.800000000279</v>
      </c>
      <c r="H76" s="203" t="str">
        <f t="shared" si="36"/>
        <v/>
      </c>
      <c r="I76" s="204">
        <f t="shared" si="37"/>
        <v>-0.30874034097878156</v>
      </c>
      <c r="J76" s="1051"/>
      <c r="K76" s="1"/>
      <c r="L76" s="1"/>
      <c r="M76" s="1"/>
      <c r="N76" s="1"/>
      <c r="O76" s="1"/>
      <c r="P76" s="1"/>
      <c r="Q76" s="1"/>
      <c r="R76" s="1"/>
      <c r="S76" s="1"/>
      <c r="T76" s="1"/>
      <c r="U76" s="1"/>
      <c r="V76" s="1"/>
      <c r="W76" s="1"/>
    </row>
    <row r="77" spans="1:23" ht="15.75" customHeight="1">
      <c r="A77" s="3"/>
      <c r="B77" s="183" t="s">
        <v>331</v>
      </c>
      <c r="C77" s="228">
        <f>+C76/Print_Mois!$AF$407</f>
        <v>4.1906074741278977E-2</v>
      </c>
      <c r="D77" s="228" t="e">
        <f>+D76/Print_Mois!$Z$407</f>
        <v>#DIV/0!</v>
      </c>
      <c r="E77" s="228">
        <f>+E76/Print_Mois!$AL$407</f>
        <v>3.932468409262898E-2</v>
      </c>
      <c r="F77" s="229" t="str">
        <f t="shared" si="35"/>
        <v/>
      </c>
      <c r="G77" s="230">
        <f t="shared" si="35"/>
        <v>2.5813906486499977E-3</v>
      </c>
      <c r="H77" s="187" t="str">
        <f t="shared" si="36"/>
        <v/>
      </c>
      <c r="I77" s="188">
        <f t="shared" si="37"/>
        <v>6.5643010445285532E-2</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131693.30000000002</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192597.20000000004</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Janvier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Janvier 2026</v>
      </c>
      <c r="C87" s="790">
        <f>+C76</f>
        <v>169075.20000000004</v>
      </c>
      <c r="D87" s="781">
        <f>+Print_AAD!AF499</f>
        <v>169075.20000000004</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Janvier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Janvier 2025</v>
      </c>
      <c r="C89" s="794">
        <f>+E76</f>
        <v>244590.00000000032</v>
      </c>
      <c r="D89" s="784">
        <f>+Print_AAD!AL499</f>
        <v>244590.00000000032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66" zoomScale="80" zoomScaleNormal="80" workbookViewId="0">
      <selection activeCell="S26" sqref="S2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Janvier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2324926.6199999996</v>
      </c>
      <c r="M5" s="250"/>
      <c r="N5" s="251"/>
      <c r="O5" s="245"/>
      <c r="P5" s="249"/>
      <c r="Q5" s="247">
        <f>-SUMIFS(BV_Data_An_Prec!$AM:$AM,BV_Data_An_Prec!$AS:$AS,"Oui",BV_Data_An_Prec!$AP:$AP,$B5)</f>
        <v>3974379.0300000003</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7</v>
      </c>
      <c r="K6" s="253">
        <f t="shared" ref="K6:K12" si="0">IF(J6=0,0,L6/J6)</f>
        <v>1735.6157142857151</v>
      </c>
      <c r="L6" s="255">
        <f>-SUMIFS(BV_Data_An_Cour!$AM:$AM,BV_Data_An_Cour!$AP:$AP,$B6,BV_Data_An_Cour!$AQ:$AQ,$C6,BV_Data_An_Cour!$AR:$AR,L$2)</f>
        <v>12149.310000000005</v>
      </c>
      <c r="M6" s="254">
        <f t="shared" ref="M6:M12" si="1">J6-D6</f>
        <v>7</v>
      </c>
      <c r="N6" s="255">
        <f t="shared" ref="N6:N12" si="2">L6-F6</f>
        <v>12149.310000000005</v>
      </c>
      <c r="O6" s="254">
        <f>SUMIFS(BV_Data_An_Prec!$AW:$AW,BV_Data_An_Prec!$AP:$AP,$B6,BV_Data_An_Prec!$AQ:$AQ,$C6,BV_Data_An_Prec!$AY:$AY,O$2)</f>
        <v>8</v>
      </c>
      <c r="P6" s="253">
        <f t="shared" ref="P6:P12" si="3">IF(O6=0,0,Q6/O6)</f>
        <v>1824.5962499999987</v>
      </c>
      <c r="Q6" s="255">
        <f>-SUMIFS(BV_Data_An_Prec!$AM:$AM,BV_Data_An_Prec!$AP:$AP,$B6,BV_Data_An_Prec!$AQ:$AQ,$C6,BV_Data_An_Prec!$AR:$AR,Q$2)</f>
        <v>14596.76999999999</v>
      </c>
      <c r="R6" s="254">
        <f t="shared" ref="R6:R12" si="4">J6-O6</f>
        <v>-1</v>
      </c>
      <c r="S6" s="255">
        <f t="shared" ref="S6:S12" si="5">L6-Q6</f>
        <v>-2447.4599999999846</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37</v>
      </c>
      <c r="K7" s="253">
        <f t="shared" si="0"/>
        <v>1774.3675675675638</v>
      </c>
      <c r="L7" s="255">
        <f>-SUMIFS(BV_Data_An_Cour!$AM:$AM,BV_Data_An_Cour!$AP:$AP,$B7,BV_Data_An_Cour!$AQ:$AQ,$C7,BV_Data_An_Cour!$AR:$AR,L$2)</f>
        <v>65651.59999999986</v>
      </c>
      <c r="M7" s="254">
        <f t="shared" si="1"/>
        <v>37</v>
      </c>
      <c r="N7" s="255">
        <f t="shared" si="2"/>
        <v>65651.59999999986</v>
      </c>
      <c r="O7" s="254">
        <f>SUMIFS(BV_Data_An_Prec!$AW:$AW,BV_Data_An_Prec!$AP:$AP,$B7,BV_Data_An_Prec!$AQ:$AQ,$C7,BV_Data_An_Prec!$AY:$AY,O$2)</f>
        <v>39</v>
      </c>
      <c r="P7" s="253">
        <f t="shared" si="3"/>
        <v>2469.9800000000032</v>
      </c>
      <c r="Q7" s="255">
        <f>-SUMIFS(BV_Data_An_Prec!$AM:$AM,BV_Data_An_Prec!$AP:$AP,$B7,BV_Data_An_Prec!$AQ:$AQ,$C7,BV_Data_An_Prec!$AR:$AR,Q$2)</f>
        <v>96329.220000000118</v>
      </c>
      <c r="R7" s="254">
        <f t="shared" si="4"/>
        <v>-2</v>
      </c>
      <c r="S7" s="255">
        <f t="shared" si="5"/>
        <v>-30677.620000000257</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3</v>
      </c>
      <c r="K8" s="253">
        <f t="shared" si="0"/>
        <v>578.32666666667012</v>
      </c>
      <c r="L8" s="255">
        <f>-SUMIFS(BV_Data_An_Cour!$AM:$AM,BV_Data_An_Cour!$AP:$AP,$B8,BV_Data_An_Cour!$AQ:$AQ,$C8,BV_Data_An_Cour!$AR:$AR,L$2)</f>
        <v>1734.9800000000105</v>
      </c>
      <c r="M8" s="254">
        <f t="shared" si="1"/>
        <v>3</v>
      </c>
      <c r="N8" s="255">
        <f t="shared" si="2"/>
        <v>1734.9800000000105</v>
      </c>
      <c r="O8" s="254">
        <f>SUMIFS(BV_Data_An_Prec!$AW:$AW,BV_Data_An_Prec!$AP:$AP,$B8,BV_Data_An_Prec!$AQ:$AQ,$C8,BV_Data_An_Prec!$AY:$AY,O$2)</f>
        <v>35</v>
      </c>
      <c r="P8" s="253">
        <f t="shared" si="3"/>
        <v>1843.2182857142952</v>
      </c>
      <c r="Q8" s="255">
        <f>-SUMIFS(BV_Data_An_Prec!$AM:$AM,BV_Data_An_Prec!$AP:$AP,$B8,BV_Data_An_Prec!$AQ:$AQ,$C8,BV_Data_An_Prec!$AR:$AR,Q$2)</f>
        <v>64512.640000000334</v>
      </c>
      <c r="R8" s="254">
        <f t="shared" si="4"/>
        <v>-32</v>
      </c>
      <c r="S8" s="255">
        <f t="shared" si="5"/>
        <v>-62777.660000000324</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0</v>
      </c>
      <c r="K9" s="253">
        <f t="shared" si="0"/>
        <v>0</v>
      </c>
      <c r="L9" s="255">
        <f>-SUMIFS(BV_Data_An_Cour!$AM:$AM,BV_Data_An_Cour!$AP:$AP,$B9,BV_Data_An_Cour!$AQ:$AQ,$C9,BV_Data_An_Cour!$AR:$AR,L$2)</f>
        <v>0</v>
      </c>
      <c r="M9" s="254">
        <f t="shared" si="1"/>
        <v>0</v>
      </c>
      <c r="N9" s="255">
        <f t="shared" si="2"/>
        <v>0</v>
      </c>
      <c r="O9" s="254">
        <f>SUMIFS(BV_Data_An_Prec!$AW:$AW,BV_Data_An_Prec!$AP:$AP,$B9,BV_Data_An_Prec!$AQ:$AQ,$C9,BV_Data_An_Prec!$AY:$AY,O$2)</f>
        <v>2</v>
      </c>
      <c r="P9" s="253">
        <f t="shared" si="3"/>
        <v>722.98500000000058</v>
      </c>
      <c r="Q9" s="255">
        <f>-SUMIFS(BV_Data_An_Prec!$AM:$AM,BV_Data_An_Prec!$AP:$AP,$B9,BV_Data_An_Prec!$AQ:$AQ,$C9,BV_Data_An_Prec!$AR:$AR,Q$2)</f>
        <v>1445.9700000000012</v>
      </c>
      <c r="R9" s="254">
        <f t="shared" si="4"/>
        <v>-2</v>
      </c>
      <c r="S9" s="255">
        <f t="shared" si="5"/>
        <v>-1445.9700000000012</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47</v>
      </c>
      <c r="K13" s="259">
        <f>IF(J13&lt;=0,0,L13/J13)</f>
        <v>1692.2529787234014</v>
      </c>
      <c r="L13" s="260">
        <f t="shared" ref="L13" si="7">+SUM(L6:L12)</f>
        <v>79535.889999999868</v>
      </c>
      <c r="M13" s="261">
        <f>+SUM(M6:M12)</f>
        <v>47</v>
      </c>
      <c r="N13" s="260">
        <f t="shared" ref="N13" si="8">+SUM(N6:N12)</f>
        <v>79535.889999999868</v>
      </c>
      <c r="O13" s="261">
        <f>+SUM(O6:O8)</f>
        <v>82</v>
      </c>
      <c r="P13" s="259">
        <f>IF(O13&lt;=0,0,Q13/O13)</f>
        <v>2157.1292682926883</v>
      </c>
      <c r="Q13" s="260">
        <f t="shared" ref="Q13" si="9">+SUM(Q6:Q12)</f>
        <v>176884.60000000044</v>
      </c>
      <c r="R13" s="261">
        <f t="shared" ref="R13:S13" si="10">+SUM(R6:R12)</f>
        <v>-37</v>
      </c>
      <c r="S13" s="260">
        <f t="shared" si="10"/>
        <v>-97348.710000000574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-0.45121951219512196</v>
      </c>
      <c r="S14" s="796">
        <f>IF(Q13=0,0,(S13/Q13))</f>
        <v>-0.5503515286237487</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8</v>
      </c>
      <c r="K17" s="253">
        <f>IF(J17=0,0,L17/J17)</f>
        <v>832.43250000000262</v>
      </c>
      <c r="L17" s="255">
        <f>-SUMIFS(BV_Data_An_Cour!$AM:$AM,BV_Data_An_Cour!$AP:$AP,$B17,BV_Data_An_Cour!$AQ:$AQ,$C17,BV_Data_An_Cour!$AR:$AR,L$2)</f>
        <v>6659.460000000021</v>
      </c>
      <c r="M17" s="266">
        <f>J17-D17</f>
        <v>8</v>
      </c>
      <c r="N17" s="255">
        <f>L17-F17</f>
        <v>6659.460000000021</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8</v>
      </c>
      <c r="S17" s="255">
        <f>L17-Q17</f>
        <v>6659.460000000021</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55.366808510638293</v>
      </c>
      <c r="L21" s="255">
        <f>-SUMIFS(BV_Data_An_Cour!$AM:$AM,BV_Data_An_Cour!$AP:$AP,$B21,BV_Data_An_Cour!$AQ:$AQ,$C21,BV_Data_An_Cour!$AR:$AR,L$2)</f>
        <v>2602.2399999999998</v>
      </c>
      <c r="M21" s="254"/>
      <c r="N21" s="255">
        <f>L21-F21</f>
        <v>2602.2399999999998</v>
      </c>
      <c r="O21" s="254"/>
      <c r="P21" s="253">
        <f>IF(O13=0,0,Q21/(O13+O15))</f>
        <v>0.31902439024390244</v>
      </c>
      <c r="Q21" s="255">
        <f>-SUMIFS(BV_Data_An_Prec!$AM:$AM,BV_Data_An_Prec!$AP:$AP,$B21,BV_Data_An_Prec!$AQ:$AQ,$C21,BV_Data_An_Prec!$AR:$AR,Q$2)</f>
        <v>26.16</v>
      </c>
      <c r="R21" s="254">
        <f t="shared" ref="R21:R23" si="11">O21-K21</f>
        <v>-55.366808510638293</v>
      </c>
      <c r="S21" s="255">
        <f t="shared" ref="S21:S24" si="12">L21-Q21</f>
        <v>2576.08</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1463.9042553191489</v>
      </c>
      <c r="L22" s="255">
        <f>-SUMIFS(BV_Data_An_Cour!$AM:$AM,BV_Data_An_Cour!$AP:$AP,$B22,BV_Data_An_Cour!$AQ:$AQ,$C22,BV_Data_An_Cour!$AR:$AR,L$2)</f>
        <v>68803.5</v>
      </c>
      <c r="M22" s="254"/>
      <c r="N22" s="255">
        <f>L22-F22</f>
        <v>68803.5</v>
      </c>
      <c r="O22" s="254"/>
      <c r="P22" s="253">
        <f>IF(O13=0,0,Q22/(O13+O15))</f>
        <v>1064.9287804878049</v>
      </c>
      <c r="Q22" s="255">
        <f>-SUMIFS(BV_Data_An_Prec!$AM:$AM,BV_Data_An_Prec!$AP:$AP,$B22,BV_Data_An_Prec!$AQ:$AQ,$C22,BV_Data_An_Prec!$AR:$AR,Q$2)</f>
        <v>87324.160000000003</v>
      </c>
      <c r="R22" s="254">
        <f t="shared" si="11"/>
        <v>-1463.9042553191489</v>
      </c>
      <c r="S22" s="255">
        <f t="shared" si="12"/>
        <v>-18520.660000000003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47</v>
      </c>
      <c r="K24" s="259">
        <f>IF(J24&lt;=0,0,L24/J24)</f>
        <v>1519.2710638297874</v>
      </c>
      <c r="L24" s="260">
        <f>L21+L22+L23</f>
        <v>71405.740000000005</v>
      </c>
      <c r="M24" s="274">
        <f>J24-D24</f>
        <v>47</v>
      </c>
      <c r="N24" s="260">
        <f>L24-F24</f>
        <v>71405.740000000005</v>
      </c>
      <c r="O24" s="261">
        <f>+O15+O13</f>
        <v>82</v>
      </c>
      <c r="P24" s="259">
        <f>IF(O24&lt;=0,0,Q24/O24)</f>
        <v>1065.2478048780488</v>
      </c>
      <c r="Q24" s="260">
        <f>Q21+Q22+Q23</f>
        <v>87350.32</v>
      </c>
      <c r="R24" s="272"/>
      <c r="S24" s="260">
        <f t="shared" si="12"/>
        <v>-15944.580000000002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-0.18253602276442721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55</v>
      </c>
      <c r="K27" s="279">
        <f>IF(J27&lt;=0,0,L27/J27)</f>
        <v>2865.4743636363619</v>
      </c>
      <c r="L27" s="280">
        <f>L13+L17+L24+L19+L15</f>
        <v>157601.08999999991</v>
      </c>
      <c r="M27" s="281">
        <f>J27-D27</f>
        <v>55</v>
      </c>
      <c r="N27" s="280">
        <f>L27-F27</f>
        <v>157601.08999999991</v>
      </c>
      <c r="O27" s="281">
        <f>+O13+O15+O17</f>
        <v>82</v>
      </c>
      <c r="P27" s="279">
        <f>IF(O27&lt;=0,0,Q27/O27)</f>
        <v>3222.3770731707373</v>
      </c>
      <c r="Q27" s="280">
        <f>Q13+Q17+Q24+Q19+Q15</f>
        <v>264234.92000000045</v>
      </c>
      <c r="R27" s="281">
        <f>J27-O27</f>
        <v>-27</v>
      </c>
      <c r="S27" s="280">
        <f>L27-Q27</f>
        <v>-106633.83000000054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f>R27/O27</f>
        <v>-0.32926829268292684</v>
      </c>
      <c r="S28" s="286">
        <f>IF(Q27=0,0,S27/Q27)</f>
        <v>-0.4035569182150503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0.49790551346447404</v>
      </c>
      <c r="K31" s="290">
        <f t="shared" ref="K31:K40" si="14">IF(L31=0,0,L31/J$24)</f>
        <v>913.13063829787234</v>
      </c>
      <c r="L31" s="253">
        <f>SUMIFS(BV_Data_An_Cour!$AM:$AM,BV_Data_An_Cour!$AP:$AP,$B31,BV_Data_An_Cour!$AQ:$AQ,$C31,BV_Data_An_Cour!$AR:$AR,L$2)</f>
        <v>42917.14</v>
      </c>
      <c r="M31" s="252"/>
      <c r="N31" s="275">
        <f t="shared" ref="N31:N53" si="15">L31-F31</f>
        <v>42917.14</v>
      </c>
      <c r="O31" s="291">
        <f>Q31/(Q15+Q13+Q17)</f>
        <v>0.33609500205218457</v>
      </c>
      <c r="P31" s="290">
        <f t="shared" ref="P31:P40" si="16">IF(Q31=0,0,Q31/O$24)</f>
        <v>725.00036585365854</v>
      </c>
      <c r="Q31" s="253">
        <f>SUMIFS(BV_Data_An_Prec!$AM:$AM,BV_Data_An_Prec!$AP:$AP,$B31,BV_Data_An_Prec!$AQ:$AQ,$C31,BV_Data_An_Prec!$AR:$AR,Q$2)</f>
        <v>59450.03</v>
      </c>
      <c r="R31" s="252"/>
      <c r="S31" s="275">
        <f t="shared" ref="S31:S53" si="17">L31-Q31</f>
        <v>-16532.89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0.31799852504854648</v>
      </c>
      <c r="K32" s="293">
        <f t="shared" si="14"/>
        <v>483.12595744680846</v>
      </c>
      <c r="L32" s="247">
        <f>SUMIFS(BV_Data_An_Cour!$AM:$AM,BV_Data_An_Cour!$AP:$AP,$B32,BV_Data_An_Cour!$AQ:$AQ,$C32,BV_Data_An_Cour!$AR:$AR,L$2)</f>
        <v>22706.92</v>
      </c>
      <c r="M32" s="245"/>
      <c r="N32" s="295">
        <f t="shared" si="15"/>
        <v>22706.92</v>
      </c>
      <c r="O32" s="294">
        <f>Q32/Q24</f>
        <v>0.35690779381231796</v>
      </c>
      <c r="P32" s="293">
        <f t="shared" si="16"/>
        <v>380.19524390243902</v>
      </c>
      <c r="Q32" s="247">
        <f>SUMIFS(BV_Data_An_Prec!$AM:$AM,BV_Data_An_Prec!$AP:$AP,$B32,BV_Data_An_Prec!$AQ:$AQ,$C32,BV_Data_An_Prec!$AR:$AR,Q$2)</f>
        <v>31176.01</v>
      </c>
      <c r="R32" s="245"/>
      <c r="S32" s="295">
        <f t="shared" si="17"/>
        <v>-8469.09</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6.2214893617021279</v>
      </c>
      <c r="L33" s="253">
        <f>SUMIFS(BV_Data_An_Cour!$AM:$AM,BV_Data_An_Cour!$AP:$AP,$B33,BV_Data_An_Cour!$AQ:$AQ,$C33,BV_Data_An_Cour!$AR:$AR,L$2)</f>
        <v>292.41000000000003</v>
      </c>
      <c r="M33" s="252"/>
      <c r="N33" s="275">
        <f t="shared" si="15"/>
        <v>292.41000000000003</v>
      </c>
      <c r="O33" s="252"/>
      <c r="P33" s="290">
        <f t="shared" si="16"/>
        <v>49.431463414634145</v>
      </c>
      <c r="Q33" s="253">
        <f>SUMIFS(BV_Data_An_Prec!$AM:$AM,BV_Data_An_Prec!$AP:$AP,$B33,BV_Data_An_Prec!$AQ:$AQ,$C33,BV_Data_An_Prec!$AR:$AR,Q$2)</f>
        <v>4053.38</v>
      </c>
      <c r="R33" s="252"/>
      <c r="S33" s="275">
        <f t="shared" si="17"/>
        <v>-3760.9700000000003</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20.17468085106383</v>
      </c>
      <c r="L35" s="247">
        <f>SUMIFS(BV_Data_An_Cour!$AM:$AM,BV_Data_An_Cour!$AP:$AP,$B35,BV_Data_An_Cour!$AQ:$AQ,$C35,BV_Data_An_Cour!$AR:$AR,L$2)</f>
        <v>948.21</v>
      </c>
      <c r="M35" s="245"/>
      <c r="N35" s="295">
        <f t="shared" si="15"/>
        <v>948.21</v>
      </c>
      <c r="O35" s="245"/>
      <c r="P35" s="293">
        <f t="shared" si="16"/>
        <v>3.5182926829268291</v>
      </c>
      <c r="Q35" s="247">
        <f>SUMIFS(BV_Data_An_Prec!$AM:$AM,BV_Data_An_Prec!$AP:$AP,$B35,BV_Data_An_Prec!$AQ:$AQ,$C35,BV_Data_An_Prec!$AR:$AR,Q$2)</f>
        <v>288.5</v>
      </c>
      <c r="R35" s="245"/>
      <c r="S35" s="295">
        <f t="shared" si="17"/>
        <v>659.71</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284.45744680851061</v>
      </c>
      <c r="L36" s="271">
        <f>SUMIFS(BV_Data_An_Cour!$AM:$AM,BV_Data_An_Cour!$AP:$AP,$B36,BV_Data_An_Cour!$AQ:$AQ,$C36,BV_Data_An_Cour!$AR:$AR,L$2)</f>
        <v>13369.5</v>
      </c>
      <c r="M36" s="252"/>
      <c r="N36" s="275">
        <f t="shared" si="15"/>
        <v>13369.5</v>
      </c>
      <c r="O36" s="252"/>
      <c r="P36" s="290">
        <f t="shared" si="16"/>
        <v>163.21951219512195</v>
      </c>
      <c r="Q36" s="271">
        <f>SUMIFS(BV_Data_An_Prec!$AM:$AM,BV_Data_An_Prec!$AP:$AP,$B36,BV_Data_An_Prec!$AQ:$AQ,$C36,BV_Data_An_Prec!$AR:$AR,Q$2)</f>
        <v>13384</v>
      </c>
      <c r="R36" s="252"/>
      <c r="S36" s="275">
        <f t="shared" si="17"/>
        <v>-14.5</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583.81787234042554</v>
      </c>
      <c r="L37" s="255">
        <f>SUMIFS(BV_Data_An_Cour!$AM:$AM,BV_Data_An_Cour!$AP:$AP,$B37,BV_Data_An_Cour!$AQ:$AQ,$C37,BV_Data_An_Cour!$AR:$AR,L$2)</f>
        <v>27439.439999999999</v>
      </c>
      <c r="M37" s="252"/>
      <c r="N37" s="777">
        <f t="shared" si="15"/>
        <v>27439.439999999999</v>
      </c>
      <c r="O37" s="252"/>
      <c r="P37" s="290">
        <f t="shared" si="16"/>
        <v>422.95378048780486</v>
      </c>
      <c r="Q37" s="255">
        <f>SUMIFS(BV_Data_An_Prec!$AM:$AM,BV_Data_An_Prec!$AP:$AP,$B37,BV_Data_An_Prec!$AQ:$AQ,$C37,BV_Data_An_Prec!$AR:$AR,Q$2)</f>
        <v>34682.21</v>
      </c>
      <c r="R37" s="252"/>
      <c r="S37" s="275">
        <f t="shared" si="17"/>
        <v>-7242.77</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0.68320352352893032</v>
      </c>
      <c r="L41" s="306">
        <f>SUM(L31:L40)</f>
        <v>107673.62000000001</v>
      </c>
      <c r="M41" s="308"/>
      <c r="N41" s="306">
        <f t="shared" si="15"/>
        <v>107673.62000000001</v>
      </c>
      <c r="O41" s="307" t="s">
        <v>115</v>
      </c>
      <c r="P41" s="305">
        <f>Q41/Q$27</f>
        <v>0.54131425929623445</v>
      </c>
      <c r="Q41" s="306">
        <f>SUM(Q31:Q40)</f>
        <v>143034.13</v>
      </c>
      <c r="R41" s="309"/>
      <c r="S41" s="306">
        <f t="shared" si="17"/>
        <v>-35360.509999999995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14286.7</v>
      </c>
      <c r="M42" s="252"/>
      <c r="N42" s="275">
        <f t="shared" si="15"/>
        <v>14286.7</v>
      </c>
      <c r="O42" s="252"/>
      <c r="P42" s="41"/>
      <c r="Q42" s="253">
        <f>SUMIFS(BV_Data_An_Prec!$AM:$AM,BV_Data_An_Prec!$AP:$AP,$B42,BV_Data_An_Prec!$AQ:$AQ,$C42,BV_Data_An_Prec!$AR:$AR,Q$2)</f>
        <v>24606.94</v>
      </c>
      <c r="R42" s="252"/>
      <c r="S42" s="275">
        <f t="shared" si="17"/>
        <v>-10320.239999999998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2751.68</v>
      </c>
      <c r="M44" s="240"/>
      <c r="N44" s="315">
        <f t="shared" si="15"/>
        <v>2751.68</v>
      </c>
      <c r="O44" s="240"/>
      <c r="P44" s="313"/>
      <c r="Q44" s="253">
        <f>SUMIFS(BV_Data_An_Prec!$AM:$AM,BV_Data_An_Prec!$AP:$AP,$B44,BV_Data_An_Prec!$AQ:$AQ,$C44,BV_Data_An_Prec!$AR:$AR,Q$2)</f>
        <v>3653.9</v>
      </c>
      <c r="R44" s="240"/>
      <c r="S44" s="315">
        <f t="shared" si="17"/>
        <v>-902.22000000000025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6840.53</v>
      </c>
      <c r="M49" s="252"/>
      <c r="N49" s="275">
        <f t="shared" si="15"/>
        <v>6840.53</v>
      </c>
      <c r="O49" s="252"/>
      <c r="P49" s="41"/>
      <c r="Q49" s="247">
        <f>SUMIFS(BV_Data_An_Prec!$AM:$AM,BV_Data_An_Prec!$AP:$AP,$B49,BV_Data_An_Prec!$AQ:$AQ,$C49,BV_Data_An_Prec!$AR:$AR,Q$2)</f>
        <v>13085.27</v>
      </c>
      <c r="R49" s="252"/>
      <c r="S49" s="275">
        <f t="shared" si="17"/>
        <v>-6244.7400000000007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15423.71</v>
      </c>
      <c r="M50" s="240"/>
      <c r="N50" s="315">
        <f t="shared" si="15"/>
        <v>15423.71</v>
      </c>
      <c r="O50" s="240"/>
      <c r="P50" s="313"/>
      <c r="Q50" s="253">
        <f>SUMIFS(BV_Data_An_Prec!$AM:$AM,BV_Data_An_Prec!$AP:$AP,$B50,BV_Data_An_Prec!$AQ:$AQ,$C50,BV_Data_An_Prec!$AR:$AR,Q$2)</f>
        <v>23183.05</v>
      </c>
      <c r="R50" s="240"/>
      <c r="S50" s="315">
        <f t="shared" si="17"/>
        <v>-7759.34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1607.52</v>
      </c>
      <c r="M51" s="252"/>
      <c r="N51" s="275">
        <f t="shared" si="15"/>
        <v>1607.52</v>
      </c>
      <c r="O51" s="252"/>
      <c r="P51" s="41"/>
      <c r="Q51" s="253">
        <f>SUMIFS(BV_Data_An_Prec!$AM:$AM,BV_Data_An_Prec!$AP:$AP,$B51,BV_Data_An_Prec!$AQ:$AQ,$C51,BV_Data_An_Prec!$AR:$AR,Q$2)</f>
        <v>1431.35</v>
      </c>
      <c r="R51" s="252"/>
      <c r="S51" s="275">
        <f t="shared" si="17"/>
        <v>176.17000000000007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0.25958031127830405</v>
      </c>
      <c r="L54" s="306">
        <f>+SUM(L42:L53)</f>
        <v>40910.139999999992</v>
      </c>
      <c r="M54" s="309"/>
      <c r="N54" s="306">
        <f>+SUM(N42:N53)</f>
        <v>40910.139999999992</v>
      </c>
      <c r="O54" s="307" t="s">
        <v>115</v>
      </c>
      <c r="P54" s="305">
        <f>Q54/Q$27</f>
        <v>0.24962828531520323</v>
      </c>
      <c r="Q54" s="306">
        <f>+SUM(Q42:Q53)</f>
        <v>65960.510000000009</v>
      </c>
      <c r="R54" s="309"/>
      <c r="S54" s="306">
        <f>+SUM(S42:S53)</f>
        <v>-25050.370000000003</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1656.36</v>
      </c>
      <c r="M58" s="252"/>
      <c r="N58" s="275">
        <f t="shared" si="18"/>
        <v>1656.36</v>
      </c>
      <c r="O58" s="252"/>
      <c r="P58" s="41"/>
      <c r="Q58" s="255">
        <f>SUMIFS(BV_Data_An_Prec!$AM:$AM,BV_Data_An_Prec!$AP:$AP,$B58,BV_Data_An_Prec!$AQ:$AQ,$C58,BV_Data_An_Prec!$AR:$AR,Q$2)</f>
        <v>1698.72</v>
      </c>
      <c r="R58" s="252"/>
      <c r="S58" s="275">
        <f t="shared" si="19"/>
        <v>-42.360000000000127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546.74</v>
      </c>
      <c r="M59" s="252"/>
      <c r="N59" s="275">
        <f t="shared" si="18"/>
        <v>546.74</v>
      </c>
      <c r="O59" s="252"/>
      <c r="P59" s="41"/>
      <c r="Q59" s="255">
        <f>SUMIFS(BV_Data_An_Prec!$AM:$AM,BV_Data_An_Prec!$AP:$AP,$B59,BV_Data_An_Prec!$AQ:$AQ,$C59,BV_Data_An_Prec!$AR:$AR,Q$2)</f>
        <v>2099.63</v>
      </c>
      <c r="R59" s="252"/>
      <c r="S59" s="275">
        <f t="shared" si="19"/>
        <v>-1552.89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2278.7999999999997</v>
      </c>
      <c r="M60" s="245"/>
      <c r="N60" s="295">
        <f t="shared" si="18"/>
        <v>2278.7999999999997</v>
      </c>
      <c r="O60" s="245"/>
      <c r="P60" s="316"/>
      <c r="Q60" s="247">
        <f>SUMIFS(BV_Data_An_Prec!$AM:$AM,BV_Data_An_Prec!$AP:$AP,$B60,BV_Data_An_Prec!$AQ:$AQ,$C60,BV_Data_An_Prec!$AR:$AR,Q$2)</f>
        <v>0</v>
      </c>
      <c r="R60" s="245"/>
      <c r="S60" s="295">
        <f t="shared" si="19"/>
        <v>2278.7999999999997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473.64</v>
      </c>
      <c r="M63" s="252"/>
      <c r="N63" s="275">
        <f t="shared" si="18"/>
        <v>473.64</v>
      </c>
      <c r="O63" s="252"/>
      <c r="P63" s="41"/>
      <c r="Q63" s="255">
        <f>SUMIFS(BV_Data_An_Prec!$AM:$AM,BV_Data_An_Prec!$AP:$AP,$B63,BV_Data_An_Prec!$AQ:$AQ,$C63,BV_Data_An_Prec!$AR:$AR,Q$2)</f>
        <v>873.95</v>
      </c>
      <c r="R63" s="252"/>
      <c r="S63" s="275">
        <f t="shared" si="19"/>
        <v>-400.31000000000006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82.54</v>
      </c>
      <c r="M64" s="252"/>
      <c r="N64" s="275">
        <f t="shared" si="18"/>
        <v>82.54</v>
      </c>
      <c r="O64" s="252"/>
      <c r="P64" s="41"/>
      <c r="Q64" s="255">
        <f>SUMIFS(BV_Data_An_Prec!$AM:$AM,BV_Data_An_Prec!$AP:$AP,$B64,BV_Data_An_Prec!$AQ:$AQ,$C64,BV_Data_An_Prec!$AR:$AR,Q$2)</f>
        <v>56.04</v>
      </c>
      <c r="R64" s="252"/>
      <c r="S64" s="275">
        <f t="shared" si="19"/>
        <v>26.500000000000007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42.37</v>
      </c>
      <c r="M65" s="252"/>
      <c r="N65" s="275">
        <f t="shared" si="18"/>
        <v>42.37</v>
      </c>
      <c r="O65" s="252"/>
      <c r="P65" s="41"/>
      <c r="Q65" s="255">
        <f>SUMIFS(BV_Data_An_Prec!$AM:$AM,BV_Data_An_Prec!$AP:$AP,$B65,BV_Data_An_Prec!$AQ:$AQ,$C65,BV_Data_An_Prec!$AR:$AR,Q$2)</f>
        <v>62.93</v>
      </c>
      <c r="R65" s="252"/>
      <c r="S65" s="275">
        <f t="shared" si="19"/>
        <v>-20.560000000000002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200</v>
      </c>
      <c r="M66" s="252"/>
      <c r="N66" s="275">
        <f t="shared" si="18"/>
        <v>200</v>
      </c>
      <c r="O66" s="252"/>
      <c r="P66" s="41"/>
      <c r="Q66" s="255">
        <f>SUMIFS(BV_Data_An_Prec!$AM:$AM,BV_Data_An_Prec!$AP:$AP,$B66,BV_Data_An_Prec!$AQ:$AQ,$C66,BV_Data_An_Prec!$AR:$AR,Q$2)</f>
        <v>62.5</v>
      </c>
      <c r="R66" s="252"/>
      <c r="S66" s="275">
        <f t="shared" si="19"/>
        <v>137.5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775</v>
      </c>
      <c r="R67" s="252"/>
      <c r="S67" s="275">
        <f t="shared" si="19"/>
        <v>0</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3.8422640351028048E-2</v>
      </c>
      <c r="L72" s="306">
        <f>+SUM(L55:L71)</f>
        <v>6055.45</v>
      </c>
      <c r="M72" s="309"/>
      <c r="N72" s="306">
        <f>+SUM(N55:N71)</f>
        <v>6055.45</v>
      </c>
      <c r="O72" s="307" t="s">
        <v>115</v>
      </c>
      <c r="P72" s="305">
        <f>Q72/Q$27</f>
        <v>2.1302142805349086E-2</v>
      </c>
      <c r="Q72" s="306">
        <f>+SUM(Q55:Q71)</f>
        <v>5628.77</v>
      </c>
      <c r="R72" s="309"/>
      <c r="S72" s="306">
        <f>+SUM(S55:S71)</f>
        <v>426.67999999999944</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0.98120647515826265</v>
      </c>
      <c r="L74" s="306">
        <f>L41+L54+L72</f>
        <v>154639.21000000002</v>
      </c>
      <c r="M74" s="309"/>
      <c r="N74" s="318">
        <f t="shared" ref="N74:N82" si="20">L74-F74</f>
        <v>154639.21000000002</v>
      </c>
      <c r="O74" s="307" t="s">
        <v>115</v>
      </c>
      <c r="P74" s="305">
        <f>Q74/Q$27</f>
        <v>0.81224468741678668</v>
      </c>
      <c r="Q74" s="306">
        <f>Q41+Q54+Q72</f>
        <v>214623.41</v>
      </c>
      <c r="R74" s="309"/>
      <c r="S74" s="318">
        <f>L74-Q74</f>
        <v>-59984.199999999983</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789.12727272727273</v>
      </c>
      <c r="L78" s="255">
        <f>-SUMIFS(BV_Data_An_Cour!$AM:$AM,BV_Data_An_Cour!$AP:$AP,$B78,BV_Data_An_Cour!$AQ:$AQ,$C78,BV_Data_An_Cour!$AR:$AR,L$2)</f>
        <v>43402</v>
      </c>
      <c r="M78" s="252"/>
      <c r="N78" s="275">
        <f t="shared" si="20"/>
        <v>43402</v>
      </c>
      <c r="O78" s="860"/>
      <c r="P78" s="831">
        <f>+Q78/O27</f>
        <v>1424.5975609756097</v>
      </c>
      <c r="Q78" s="255">
        <f>-SUMIFS(BV_Data_An_Prec!$AM:$AM,BV_Data_An_Prec!$AP:$AP,$B78,BV_Data_An_Prec!$AQ:$AQ,$C78,BV_Data_An_Prec!$AR:$AR,Q$2)</f>
        <v>116817</v>
      </c>
      <c r="R78" s="252"/>
      <c r="S78" s="275">
        <f t="shared" si="21"/>
        <v>-73415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43402</v>
      </c>
      <c r="M83" s="309"/>
      <c r="N83" s="306">
        <f>+SUM(N75:N82)</f>
        <v>43402</v>
      </c>
      <c r="O83" s="307"/>
      <c r="P83" s="305"/>
      <c r="Q83" s="306">
        <f>+SUM(Q75:Q82)</f>
        <v>116817</v>
      </c>
      <c r="R83" s="309"/>
      <c r="S83" s="306">
        <f>+SUM(S75:S82)</f>
        <v>-73415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46363.879999999888</v>
      </c>
      <c r="M85" s="334"/>
      <c r="N85" s="333">
        <f>N27-N41-N54-N72+N83</f>
        <v>46363.87999999991</v>
      </c>
      <c r="O85" s="334"/>
      <c r="P85" s="331"/>
      <c r="Q85" s="333">
        <f>Q27-Q74+Q83</f>
        <v>166428.51000000045</v>
      </c>
      <c r="R85" s="334"/>
      <c r="S85" s="333">
        <f>S27-S41-S54-S72+S83</f>
        <v>-120064.63000000054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722475.29</v>
      </c>
      <c r="M93" s="340"/>
      <c r="N93" s="341"/>
      <c r="O93" s="245"/>
      <c r="P93" s="249"/>
      <c r="Q93" s="247">
        <f>-SUMIFS(BV_Data_An_Prec!$AM:$AM,BV_Data_An_Prec!$AS:$AS,"Oui",BV_Data_An_Prec!$AP:$AP,$B93)</f>
        <v>1272997.1599999999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8</v>
      </c>
      <c r="K94" s="253">
        <f t="shared" ref="K94:K95" si="22">IF(J94=0,0,L94/J94)</f>
        <v>3517.833749999998</v>
      </c>
      <c r="L94" s="255">
        <f>-SUMIFS(BV_Data_An_Cour!$AM:$AM,BV_Data_An_Cour!$AP:$AP,$B94,BV_Data_An_Cour!$AQ:$AQ,$C94,BV_Data_An_Cour!$AR:$AR,$L2)</f>
        <v>28142.669999999984</v>
      </c>
      <c r="M94" s="254">
        <f>J94-D94</f>
        <v>8</v>
      </c>
      <c r="N94" s="255">
        <f>L94-F94</f>
        <v>28142.669999999984</v>
      </c>
      <c r="O94" s="254">
        <f>SUMIFS(BV_Data_An_Prec!$AW:$AW,BV_Data_An_Prec!$AP:$AP,$B94,BV_Data_An_Prec!$AQ:$AQ,$C94,BV_Data_An_Prec!$AY:$AY,O$2)</f>
        <v>5</v>
      </c>
      <c r="P94" s="253">
        <f t="shared" ref="P94:P96" si="23">IF(O94=0,0,Q94/O94)</f>
        <v>2468.9399999999996</v>
      </c>
      <c r="Q94" s="255">
        <f>-SUMIFS(BV_Data_An_Prec!$AM:$AM,BV_Data_An_Prec!$AP:$AP,$B94,BV_Data_An_Prec!$AQ:$AQ,$C94,BV_Data_An_Prec!$AR:$AR,$L2)</f>
        <v>12344.699999999997</v>
      </c>
      <c r="R94" s="254">
        <f t="shared" ref="R94:R95" si="24">J94-O94</f>
        <v>3</v>
      </c>
      <c r="S94" s="255">
        <f t="shared" ref="S94:S95" si="25">L94-Q94</f>
        <v>15797.969999999987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9</v>
      </c>
      <c r="K95" s="253">
        <f t="shared" si="22"/>
        <v>2410.6788888888873</v>
      </c>
      <c r="L95" s="255">
        <f>-SUMIFS(BV_Data_An_Cour!$AM:$AM,BV_Data_An_Cour!$AP:$AP,$B95,BV_Data_An_Cour!$AQ:$AQ,$C95,BV_Data_An_Cour!$AR:$AR,$L2)</f>
        <v>21696.109999999986</v>
      </c>
      <c r="M95" s="254">
        <f>J95-D95</f>
        <v>9</v>
      </c>
      <c r="N95" s="255">
        <f>L95-F95</f>
        <v>21696.109999999986</v>
      </c>
      <c r="O95" s="254">
        <f>SUMIFS(BV_Data_An_Prec!$AW:$AW,BV_Data_An_Prec!$AP:$AP,$B95,BV_Data_An_Prec!$AQ:$AQ,$C95,BV_Data_An_Prec!$AY:$AY,O$2)</f>
        <v>5</v>
      </c>
      <c r="P95" s="253">
        <f t="shared" si="23"/>
        <v>126.87799999999989</v>
      </c>
      <c r="Q95" s="255">
        <f>-SUMIFS(BV_Data_An_Prec!$AM:$AM,BV_Data_An_Prec!$AP:$AP,$B95,BV_Data_An_Prec!$AQ:$AQ,$C95,BV_Data_An_Prec!$AR:$AR,$L2)</f>
        <v>634.38999999999942</v>
      </c>
      <c r="R95" s="254">
        <f t="shared" si="24"/>
        <v>4</v>
      </c>
      <c r="S95" s="255">
        <f t="shared" si="25"/>
        <v>21061.719999999987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17</v>
      </c>
      <c r="K97" s="253">
        <f>IF(J97&lt;=0,0,L97/J97)</f>
        <v>2931.6929411764686</v>
      </c>
      <c r="L97" s="260">
        <f>+L94+L95+L96</f>
        <v>49838.77999999997</v>
      </c>
      <c r="M97" s="261">
        <f>J97-D97</f>
        <v>17</v>
      </c>
      <c r="N97" s="260">
        <f>L97-F97</f>
        <v>49838.77999999997</v>
      </c>
      <c r="O97" s="259">
        <f>+O94+O95+O96</f>
        <v>10</v>
      </c>
      <c r="P97" s="253">
        <f>IF(O97&lt;=0,0,Q97/O97)</f>
        <v>1297.9089999999997</v>
      </c>
      <c r="Q97" s="260">
        <f>+Q94+Q95+Q96</f>
        <v>12979.089999999997</v>
      </c>
      <c r="R97" s="261">
        <f>R94+R95</f>
        <v>7</v>
      </c>
      <c r="S97" s="260">
        <f>S94+S95</f>
        <v>36859.689999999973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1</v>
      </c>
      <c r="K99" s="253">
        <f>IF(J99=0,0,L99/J99)</f>
        <v>324.31999999999971</v>
      </c>
      <c r="L99" s="255">
        <f>-SUMIFS(BV_Data_An_Cour!$AM:$AM,BV_Data_An_Cour!$AP:$AP,$B99,BV_Data_An_Cour!$AQ:$AQ,$C99,BV_Data_An_Cour!$AR:$AR,L$2)</f>
        <v>324.31999999999971</v>
      </c>
      <c r="M99" s="254">
        <f>J99-D99</f>
        <v>1</v>
      </c>
      <c r="N99" s="255">
        <f>L99-F99</f>
        <v>324.31999999999971</v>
      </c>
      <c r="O99" s="254">
        <f>SUMIFS(BV_Data_An_Prec!$AW:$AW,BV_Data_An_Prec!$AP:$AP,$B99,BV_Data_An_Prec!$AQ:$AQ,$C99,BV_Data_An_Prec!$AY:$AY,O$2)</f>
        <v>11</v>
      </c>
      <c r="P99" s="253">
        <f>IF(O99=0,0,Q99/O99)</f>
        <v>386.28636363636309</v>
      </c>
      <c r="Q99" s="255">
        <f>-SUMIFS(BV_Data_An_Prec!$AM:$AM,BV_Data_An_Prec!$AP:$AP,$B99,BV_Data_An_Prec!$AQ:$AQ,$C99,BV_Data_An_Prec!$AR:$AR,Q$2)</f>
        <v>4249.1499999999942</v>
      </c>
      <c r="R99" s="254">
        <f>J99-O99</f>
        <v>-10</v>
      </c>
      <c r="S99" s="255">
        <f>L99-Q99</f>
        <v>-3924.8299999999945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31</v>
      </c>
      <c r="K101" s="253">
        <f>IF(J101=0,0,L101/J101)</f>
        <v>1785.3190322580649</v>
      </c>
      <c r="L101" s="255">
        <f>-SUMIFS(BV_Data_An_Cour!$AM:$AM,BV_Data_An_Cour!$AP:$AP,$B101,BV_Data_An_Cour!$AQ:$AQ,$C101,BV_Data_An_Cour!$AR:$AR,L$2)</f>
        <v>55344.890000000014</v>
      </c>
      <c r="M101" s="254">
        <f>J101-D101</f>
        <v>31</v>
      </c>
      <c r="N101" s="255">
        <f>L101-F101</f>
        <v>55344.890000000014</v>
      </c>
      <c r="O101" s="254">
        <f>SUMIFS(BV_Data_An_Prec!$AW:$AW,BV_Data_An_Prec!$AP:$AP,$B101,BV_Data_An_Prec!$AQ:$AQ,$C101,BV_Data_An_Prec!$AY:$AY,O$2)</f>
        <v>54</v>
      </c>
      <c r="P101" s="253">
        <f>IF(O101=0,0,Q101/O101)</f>
        <v>2428.1000000000004</v>
      </c>
      <c r="Q101" s="255">
        <f>-SUMIFS(BV_Data_An_Prec!$AM:$AM,BV_Data_An_Prec!$AP:$AP,$B101,BV_Data_An_Prec!$AQ:$AQ,$C101,BV_Data_An_Prec!$AR:$AR,Q$2)</f>
        <v>131117.40000000002</v>
      </c>
      <c r="R101" s="254">
        <f>J101-O101</f>
        <v>-23</v>
      </c>
      <c r="S101" s="255">
        <f>L101-Q101</f>
        <v>-75772.510000000009</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384.79882352941178</v>
      </c>
      <c r="L103" s="255">
        <f>-SUMIFS(BV_Data_An_Cour!$AM:$AM,BV_Data_An_Cour!$AP:$AP,$B103,BV_Data_An_Cour!$AQ:$AQ,$C103,BV_Data_An_Cour!$AR:$AR,$L2)</f>
        <v>6541.58</v>
      </c>
      <c r="M103" s="254"/>
      <c r="N103" s="255">
        <f>L103-F103</f>
        <v>6541.58</v>
      </c>
      <c r="O103" s="254"/>
      <c r="P103" s="253">
        <f>IF(O97=0,0,Q103/O97)</f>
        <v>418.16700000000003</v>
      </c>
      <c r="Q103" s="255">
        <f>-SUMIFS(BV_Data_An_Prec!$AM:$AM,BV_Data_An_Prec!$AP:$AP,$B103,BV_Data_An_Prec!$AQ:$AQ,$C103,BV_Data_An_Prec!$AR:$AR,$L2)</f>
        <v>4181.67</v>
      </c>
      <c r="R103" s="254">
        <f t="shared" ref="R103:R105" si="30">O103-K103</f>
        <v>-384.79882352941178</v>
      </c>
      <c r="S103" s="255">
        <f t="shared" ref="S103:S106" si="31">L103-Q103</f>
        <v>2359.91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1187.3323529411766</v>
      </c>
      <c r="L104" s="255">
        <f>-SUMIFS(BV_Data_An_Cour!$AM:$AM,BV_Data_An_Cour!$AP:$AP,$B104,BV_Data_An_Cour!$AQ:$AQ,$C104,BV_Data_An_Cour!$AR:$AR,$L2)</f>
        <v>20184.650000000001</v>
      </c>
      <c r="M104" s="254"/>
      <c r="N104" s="255">
        <f>L104-F104</f>
        <v>20184.650000000001</v>
      </c>
      <c r="O104" s="254"/>
      <c r="P104" s="253">
        <f>IF(O97=0,0,Q104/O97)</f>
        <v>1530</v>
      </c>
      <c r="Q104" s="255">
        <f>-SUMIFS(BV_Data_An_Prec!$AM:$AM,BV_Data_An_Prec!$AP:$AP,$B104,BV_Data_An_Prec!$AQ:$AQ,$C104,BV_Data_An_Prec!$AR:$AR,$L2)</f>
        <v>15300</v>
      </c>
      <c r="R104" s="254">
        <f t="shared" si="30"/>
        <v>-1187.3323529411766</v>
      </c>
      <c r="S104" s="255">
        <f t="shared" si="31"/>
        <v>4884.6500000000015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17</v>
      </c>
      <c r="K106" s="259">
        <f>IF(J106&lt;=0,0,L106/J106)</f>
        <v>1572.1311764705883</v>
      </c>
      <c r="L106" s="260">
        <f>L103+L104+L105</f>
        <v>26726.230000000003</v>
      </c>
      <c r="M106" s="254">
        <f>J106-D106</f>
        <v>17</v>
      </c>
      <c r="N106" s="260">
        <f>L106-F106</f>
        <v>26726.230000000003</v>
      </c>
      <c r="O106" s="261">
        <f>O97</f>
        <v>10</v>
      </c>
      <c r="P106" s="259">
        <f>IF(O106&lt;=0,0,Q106/O106)</f>
        <v>1948.1669999999999</v>
      </c>
      <c r="Q106" s="260">
        <f>Q103+Q104+Q105</f>
        <v>19481.669999999998</v>
      </c>
      <c r="R106" s="272"/>
      <c r="S106" s="260">
        <f t="shared" si="31"/>
        <v>7244.5600000000049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0.37186545095979995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48</v>
      </c>
      <c r="K109" s="279">
        <f>IF(J109&lt;=0,0,L109/J109)</f>
        <v>2754.8795833333334</v>
      </c>
      <c r="L109" s="280">
        <f>L97+L106+L101+L99</f>
        <v>132234.22</v>
      </c>
      <c r="M109" s="281">
        <f>J109-D109</f>
        <v>48</v>
      </c>
      <c r="N109" s="280">
        <f>L109-F109</f>
        <v>132234.22</v>
      </c>
      <c r="O109" s="281">
        <f>O97+O101</f>
        <v>64</v>
      </c>
      <c r="P109" s="279">
        <f>IF(O109&lt;=0,0,Q109/O109)</f>
        <v>2622.3017187500004</v>
      </c>
      <c r="Q109" s="280">
        <f>Q97+Q106+Q101+Q99</f>
        <v>167827.31000000003</v>
      </c>
      <c r="R109" s="281">
        <f>J109-O109</f>
        <v>-16</v>
      </c>
      <c r="S109" s="280">
        <f>L109-Q109</f>
        <v>-35593.090000000026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-4</v>
      </c>
      <c r="S110" s="350">
        <f>IF(Q109=0,0,(S109/Q109))</f>
        <v>-0.21208163319783901</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0.34319961283161449</v>
      </c>
      <c r="K113" s="290">
        <f>IF($J$97=0,0,L113/(J$94+J$95+J96))</f>
        <v>1006.1558823529413</v>
      </c>
      <c r="L113" s="255">
        <f>SUMIFS(BV_Data_An_Cour!$AM:$AM,BV_Data_An_Cour!$AP:$AP,$B113,BV_Data_An_Cour!$AQ:$AQ,$C113,BV_Data_An_Cour!$AR:$AR,$L$2)</f>
        <v>17104.650000000001</v>
      </c>
      <c r="M113" s="252"/>
      <c r="N113" s="275">
        <f t="shared" ref="N113:N154" si="33">L113-F113</f>
        <v>17104.650000000001</v>
      </c>
      <c r="O113" s="291">
        <f>Q113/Q97</f>
        <v>0.67367357803975492</v>
      </c>
      <c r="P113" s="290">
        <f>IF($J$97=0,0,Q113/(O$94+O$95+O96))</f>
        <v>874.36699999999996</v>
      </c>
      <c r="Q113" s="255">
        <f>SUMIFS(BV_Data_An_Prec!$AM:$AM,BV_Data_An_Prec!$AP:$AP,$B113,BV_Data_An_Prec!$AQ:$AQ,$C113,BV_Data_An_Prec!$AR:$AR,$L$2)</f>
        <v>8743.67</v>
      </c>
      <c r="R113" s="252"/>
      <c r="S113" s="275">
        <f t="shared" ref="S113:S154" si="34">L113-Q113</f>
        <v>8360.9800000000014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0.22028434238573863</v>
      </c>
      <c r="K114" s="293">
        <f>IF($J$97=0,0,L114/(J$94+J$95+J96))</f>
        <v>346.31588235294117</v>
      </c>
      <c r="L114" s="255">
        <f>SUMIFS(BV_Data_An_Cour!$AM:$AM,BV_Data_An_Cour!$AP:$AP,$B114,BV_Data_An_Cour!$AQ:$AQ,$C114,BV_Data_An_Cour!$AR:$AR,$L$2)</f>
        <v>5887.37</v>
      </c>
      <c r="M114" s="245"/>
      <c r="N114" s="295">
        <f t="shared" si="33"/>
        <v>5887.37</v>
      </c>
      <c r="O114" s="294">
        <f>Q114/(Q106)</f>
        <v>0.252099537667972</v>
      </c>
      <c r="P114" s="293">
        <f>IF($J$97=0,0,Q114/(O$94+O$95+O96))</f>
        <v>491.13199999999995</v>
      </c>
      <c r="Q114" s="255">
        <f>SUMIFS(BV_Data_An_Prec!$AM:$AM,BV_Data_An_Prec!$AP:$AP,$B114,BV_Data_An_Prec!$AQ:$AQ,$C114,BV_Data_An_Prec!$AR:$AR,$L$2)</f>
        <v>4911.32</v>
      </c>
      <c r="R114" s="245"/>
      <c r="S114" s="295">
        <f t="shared" si="34"/>
        <v>976.05000000000018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5.66</v>
      </c>
      <c r="L115" s="271">
        <f>SUMIFS(BV_Data_An_Cour!$AM:$AM,BV_Data_An_Cour!$AP:$AP,$B115,BV_Data_An_Cour!$AQ:$AQ,$C115,BV_Data_An_Cour!$AR:$AR,$L$2)</f>
        <v>96.22</v>
      </c>
      <c r="M115" s="252"/>
      <c r="N115" s="275">
        <f t="shared" si="33"/>
        <v>96.22</v>
      </c>
      <c r="O115" s="252"/>
      <c r="P115" s="290">
        <f>IF($J$97=0,0,Q115/(O$94+O$95+O96))</f>
        <v>0</v>
      </c>
      <c r="Q115" s="271">
        <f>SUMIFS(BV_Data_An_Prec!$AM:$AM,BV_Data_An_Prec!$AP:$AP,$B115,BV_Data_An_Prec!$AQ:$AQ,$C115,BV_Data_An_Prec!$AR:$AR,$L$2)</f>
        <v>0</v>
      </c>
      <c r="R115" s="252"/>
      <c r="S115" s="275">
        <f t="shared" si="34"/>
        <v>96.22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f>IF($J$97=0,0,Q117/(O$94+O$95+O96))</f>
        <v>38.275999999999996</v>
      </c>
      <c r="Q117" s="247">
        <f>SUMIFS(BV_Data_An_Prec!$AM:$AM,BV_Data_An_Prec!$AP:$AP,$B117,BV_Data_An_Prec!$AQ:$AQ,$C117,BV_Data_An_Prec!$AR:$AR,$L$2)</f>
        <v>382.76</v>
      </c>
      <c r="R117" s="245"/>
      <c r="S117" s="295">
        <f t="shared" si="34"/>
        <v>-382.76</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63.204117647058823</v>
      </c>
      <c r="L118" s="255">
        <f>SUMIFS(BV_Data_An_Cour!$AM:$AM,BV_Data_An_Cour!$AP:$AP,$B118,BV_Data_An_Cour!$AQ:$AQ,$C118,BV_Data_An_Cour!$AR:$AR,$L$2)</f>
        <v>1074.47</v>
      </c>
      <c r="M118" s="252"/>
      <c r="N118" s="275">
        <f t="shared" si="33"/>
        <v>1074.47</v>
      </c>
      <c r="O118" s="252"/>
      <c r="P118" s="290">
        <f>IF($J$97=0,0,Q118/(O$94+O$95+O96))</f>
        <v>39.200000000000003</v>
      </c>
      <c r="Q118" s="255">
        <f>SUMIFS(BV_Data_An_Prec!$AM:$AM,BV_Data_An_Prec!$AP:$AP,$B118,BV_Data_An_Prec!$AQ:$AQ,$C118,BV_Data_An_Prec!$AR:$AR,$L$2)</f>
        <v>392</v>
      </c>
      <c r="R118" s="252"/>
      <c r="S118" s="275">
        <f t="shared" si="34"/>
        <v>682.47</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118.14999999999999</v>
      </c>
      <c r="L119" s="769">
        <f>SUMIFS(BV_Data_An_Cour!$AM:$AM,BV_Data_An_Cour!$AP:$AP,$B119,BV_Data_An_Cour!$AQ:$AQ,$C119,BV_Data_An_Cour!$AR:$AR,$L$2)</f>
        <v>2008.55</v>
      </c>
      <c r="M119" s="252"/>
      <c r="N119" s="777">
        <f t="shared" si="33"/>
        <v>2008.55</v>
      </c>
      <c r="O119" s="252"/>
      <c r="P119" s="290">
        <f>IF($J$97=0,0,Q119/(O$94+O$95+O96))</f>
        <v>0</v>
      </c>
      <c r="Q119" s="769">
        <f>SUMIFS(BV_Data_An_Prec!$AM:$AM,BV_Data_An_Prec!$AP:$AP,$B119,BV_Data_An_Prec!$AQ:$AQ,$C119,BV_Data_An_Prec!$AR:$AR,$L$2)</f>
        <v>0</v>
      </c>
      <c r="R119" s="252"/>
      <c r="S119" s="275">
        <f t="shared" si="34"/>
        <v>2008.55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0.19791594036702453</v>
      </c>
      <c r="L123" s="306">
        <f>SUM(L113:L122)</f>
        <v>26171.260000000002</v>
      </c>
      <c r="M123" s="309"/>
      <c r="N123" s="306">
        <f t="shared" si="33"/>
        <v>26171.260000000002</v>
      </c>
      <c r="O123" s="307" t="s">
        <v>115</v>
      </c>
      <c r="P123" s="305">
        <f>Q123/Q$109</f>
        <v>8.5979749064678437E-2</v>
      </c>
      <c r="Q123" s="306">
        <f>SUM(Q113:Q122)</f>
        <v>14429.75</v>
      </c>
      <c r="R123" s="309"/>
      <c r="S123" s="306">
        <f t="shared" si="34"/>
        <v>11741.510000000002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10677.2</v>
      </c>
      <c r="M124" s="252"/>
      <c r="N124" s="275">
        <f t="shared" si="33"/>
        <v>10677.2</v>
      </c>
      <c r="O124" s="252"/>
      <c r="P124" s="41"/>
      <c r="Q124" s="275">
        <f>SUMIFS(BV_Data_An_Prec!$AM:$AM,BV_Data_An_Prec!$AP:$AP,$B124,BV_Data_An_Prec!$AQ:$AQ,$C124,BV_Data_An_Prec!$AR:$AR,$L$2)</f>
        <v>14487.16</v>
      </c>
      <c r="R124" s="252"/>
      <c r="S124" s="275">
        <f t="shared" si="34"/>
        <v>-3809.9599999999991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12969.55</v>
      </c>
      <c r="M126" s="240"/>
      <c r="N126" s="315">
        <f t="shared" si="33"/>
        <v>12969.55</v>
      </c>
      <c r="O126" s="240"/>
      <c r="P126" s="313"/>
      <c r="Q126" s="315">
        <f>SUMIFS(BV_Data_An_Prec!$AM:$AM,BV_Data_An_Prec!$AP:$AP,$B126,BV_Data_An_Prec!$AQ:$AQ,$C126,BV_Data_An_Prec!$AR:$AR,$L$2)</f>
        <v>11149.9</v>
      </c>
      <c r="R126" s="240"/>
      <c r="S126" s="315">
        <f t="shared" si="34"/>
        <v>1819.6499999999996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2375.58</v>
      </c>
      <c r="M131" s="252"/>
      <c r="N131" s="275">
        <f t="shared" si="33"/>
        <v>2375.58</v>
      </c>
      <c r="O131" s="252"/>
      <c r="P131" s="41"/>
      <c r="Q131" s="275">
        <f>SUMIFS(BV_Data_An_Prec!$AM:$AM,BV_Data_An_Prec!$AP:$AP,$B131,BV_Data_An_Prec!$AQ:$AQ,$C131,BV_Data_An_Prec!$AR:$AR,$L$2)</f>
        <v>5068.7299999999996</v>
      </c>
      <c r="R131" s="252"/>
      <c r="S131" s="275">
        <f t="shared" si="34"/>
        <v>-2693.1499999999996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5717.46</v>
      </c>
      <c r="M132" s="240"/>
      <c r="N132" s="315">
        <f t="shared" si="33"/>
        <v>5717.46</v>
      </c>
      <c r="O132" s="240"/>
      <c r="P132" s="313"/>
      <c r="Q132" s="315">
        <f>SUMIFS(BV_Data_An_Prec!$AM:$AM,BV_Data_An_Prec!$AP:$AP,$B132,BV_Data_An_Prec!$AQ:$AQ,$C132,BV_Data_An_Prec!$AR:$AR,$L$2)</f>
        <v>5849.9</v>
      </c>
      <c r="R132" s="240"/>
      <c r="S132" s="315">
        <f t="shared" si="34"/>
        <v>-132.4399999999996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578.28</v>
      </c>
      <c r="M133" s="252"/>
      <c r="N133" s="275">
        <f t="shared" si="33"/>
        <v>578.28</v>
      </c>
      <c r="O133" s="252"/>
      <c r="P133" s="41"/>
      <c r="Q133" s="275">
        <f>SUMIFS(BV_Data_An_Prec!$AM:$AM,BV_Data_An_Prec!$AP:$AP,$B133,BV_Data_An_Prec!$AQ:$AQ,$C133,BV_Data_An_Prec!$AR:$AR,$L$2)</f>
        <v>391.51</v>
      </c>
      <c r="R133" s="252"/>
      <c r="S133" s="275">
        <f t="shared" si="34"/>
        <v>186.76999999999998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0.24440020140021243</v>
      </c>
      <c r="L136" s="306">
        <f>SUM(L124:L135)</f>
        <v>32318.07</v>
      </c>
      <c r="M136" s="353"/>
      <c r="N136" s="318">
        <f t="shared" si="33"/>
        <v>32318.07</v>
      </c>
      <c r="O136" s="307" t="s">
        <v>115</v>
      </c>
      <c r="P136" s="305">
        <f>Q136/Q$109</f>
        <v>0.22015010548640737</v>
      </c>
      <c r="Q136" s="306">
        <f>SUM(Q124:Q135)</f>
        <v>36947.199999999997</v>
      </c>
      <c r="R136" s="353"/>
      <c r="S136" s="318">
        <f t="shared" si="34"/>
        <v>-4629.1299999999974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1756.36</v>
      </c>
      <c r="M140" s="252"/>
      <c r="N140" s="275">
        <f t="shared" si="33"/>
        <v>1756.36</v>
      </c>
      <c r="O140" s="252"/>
      <c r="P140" s="41"/>
      <c r="Q140" s="255">
        <f>SUMIFS(BV_Data_An_Prec!$AM:$AM,BV_Data_An_Prec!$AP:$AP,$B140,BV_Data_An_Prec!$AQ:$AQ,$C140,BV_Data_An_Prec!$AR:$AR,$L$2)</f>
        <v>1698.72</v>
      </c>
      <c r="R140" s="252"/>
      <c r="S140" s="275">
        <f t="shared" si="34"/>
        <v>57.639999999999873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546.74</v>
      </c>
      <c r="M141" s="252"/>
      <c r="N141" s="275">
        <f t="shared" si="33"/>
        <v>546.74</v>
      </c>
      <c r="O141" s="252"/>
      <c r="P141" s="41"/>
      <c r="Q141" s="255">
        <f>SUMIFS(BV_Data_An_Prec!$AM:$AM,BV_Data_An_Prec!$AP:$AP,$B141,BV_Data_An_Prec!$AQ:$AQ,$C141,BV_Data_An_Prec!$AR:$AR,$L$2)</f>
        <v>2099.63</v>
      </c>
      <c r="R141" s="252"/>
      <c r="S141" s="275">
        <f t="shared" si="34"/>
        <v>-1552.89</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2278.7999999999997</v>
      </c>
      <c r="M142" s="245"/>
      <c r="N142" s="295">
        <f t="shared" si="33"/>
        <v>2278.7999999999997</v>
      </c>
      <c r="O142" s="245"/>
      <c r="P142" s="316"/>
      <c r="Q142" s="247">
        <f>SUMIFS(BV_Data_An_Prec!$AM:$AM,BV_Data_An_Prec!$AP:$AP,$B142,BV_Data_An_Prec!$AQ:$AQ,$C142,BV_Data_An_Prec!$AR:$AR,$L$2)</f>
        <v>0</v>
      </c>
      <c r="R142" s="245"/>
      <c r="S142" s="295">
        <f t="shared" si="34"/>
        <v>2278.7999999999997</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473.64</v>
      </c>
      <c r="M145" s="252"/>
      <c r="N145" s="275">
        <f t="shared" si="33"/>
        <v>473.64</v>
      </c>
      <c r="O145" s="252"/>
      <c r="P145" s="41"/>
      <c r="Q145" s="255">
        <f>SUMIFS(BV_Data_An_Prec!$AM:$AM,BV_Data_An_Prec!$AP:$AP,$B145,BV_Data_An_Prec!$AQ:$AQ,$C145,BV_Data_An_Prec!$AR:$AR,$L$2)</f>
        <v>744.95</v>
      </c>
      <c r="R145" s="252"/>
      <c r="S145" s="275">
        <f t="shared" si="34"/>
        <v>-271.31000000000006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82.54</v>
      </c>
      <c r="M146" s="252"/>
      <c r="N146" s="275">
        <f t="shared" si="33"/>
        <v>82.54</v>
      </c>
      <c r="O146" s="252"/>
      <c r="P146" s="41"/>
      <c r="Q146" s="255">
        <f>SUMIFS(BV_Data_An_Prec!$AM:$AM,BV_Data_An_Prec!$AP:$AP,$B146,BV_Data_An_Prec!$AQ:$AQ,$C146,BV_Data_An_Prec!$AR:$AR,$L$2)</f>
        <v>56.04</v>
      </c>
      <c r="R146" s="252"/>
      <c r="S146" s="275">
        <f t="shared" si="34"/>
        <v>26.500000000000007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30</v>
      </c>
      <c r="M147" s="252"/>
      <c r="N147" s="275">
        <f t="shared" si="33"/>
        <v>30</v>
      </c>
      <c r="O147" s="252"/>
      <c r="P147" s="41"/>
      <c r="Q147" s="255">
        <f>SUMIFS(BV_Data_An_Prec!$AM:$AM,BV_Data_An_Prec!$AP:$AP,$B147,BV_Data_An_Prec!$AQ:$AQ,$C147,BV_Data_An_Prec!$AR:$AR,$L$2)</f>
        <v>0</v>
      </c>
      <c r="R147" s="252"/>
      <c r="S147" s="275">
        <f t="shared" si="34"/>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62.5</v>
      </c>
      <c r="R148" s="252"/>
      <c r="S148" s="275">
        <f t="shared" si="34"/>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3.9082772976616796E-2</v>
      </c>
      <c r="L154" s="306">
        <f>+SUM(L137:L153)</f>
        <v>5168.08</v>
      </c>
      <c r="M154" s="309"/>
      <c r="N154" s="306">
        <f t="shared" si="33"/>
        <v>5168.08</v>
      </c>
      <c r="O154" s="307" t="s">
        <v>115</v>
      </c>
      <c r="P154" s="305">
        <f>Q154/Q$109</f>
        <v>2.777760067774428E-2</v>
      </c>
      <c r="Q154" s="306">
        <f>+SUM(Q137:Q153)</f>
        <v>4661.84</v>
      </c>
      <c r="R154" s="309"/>
      <c r="S154" s="306">
        <f t="shared" si="34"/>
        <v>506.23999999999978</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0.48139891474385377</v>
      </c>
      <c r="L156" s="306">
        <f>L123+L136+L154</f>
        <v>63657.41</v>
      </c>
      <c r="M156" s="309"/>
      <c r="N156" s="318">
        <f t="shared" ref="N156:N163" si="35">L156-F156</f>
        <v>63657.41</v>
      </c>
      <c r="O156" s="307" t="s">
        <v>115</v>
      </c>
      <c r="P156" s="305">
        <f>Q156/Q$109</f>
        <v>0.33390745522883009</v>
      </c>
      <c r="Q156" s="306">
        <f>Q123+Q136+Q154</f>
        <v>56038.789999999994</v>
      </c>
      <c r="R156" s="309"/>
      <c r="S156" s="318">
        <f t="shared" ref="S156:S163" si="36">L156-Q156</f>
        <v>7618.6200000000099</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68576.81</v>
      </c>
      <c r="M166" s="330"/>
      <c r="N166" s="333">
        <f>L166-F166</f>
        <v>68576.81</v>
      </c>
      <c r="O166" s="330"/>
      <c r="P166" s="332"/>
      <c r="Q166" s="333">
        <f>Q109-Q156+Q164</f>
        <v>111788.52000000003</v>
      </c>
      <c r="R166" s="330"/>
      <c r="S166" s="333">
        <f>L166-Q166</f>
        <v>-43211.710000000036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Janvier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569</v>
      </c>
      <c r="K173" s="253">
        <f>-SUMIFS(BV_Data_An_Cour!$AM:$AM,BV_Data_An_Cour!$AS:$AS,"Oui",BV_Data_An_Cour!$AP:$AP,$B173,BV_Data_An_Cour!$AQ:$AQ,$C173)</f>
        <v>64654.93</v>
      </c>
      <c r="L173" s="255">
        <f>-SUMIFS(BV_Data_An_Cour!$AM:$AM,BV_Data_An_Cour!$AP:$AP,$B173,BV_Data_An_Cour!$AQ:$AQ,$C173,BV_Data_An_Cour!$AR:$AR,$L$2)</f>
        <v>50617.46</v>
      </c>
      <c r="M173" s="291" t="e">
        <f>(K173-E173)/E173</f>
        <v>#DIV/0!</v>
      </c>
      <c r="N173" s="275">
        <f>L173-F173</f>
        <v>50617.46</v>
      </c>
      <c r="O173" s="254">
        <f>SUMIFS(BV_Data_An_Prec!$AW:$AW,BV_Data_An_Prec!$AP:$AP,$B173,BV_Data_An_Prec!$AQ:$AQ,$C173,BV_Data_An_Prec!$AY:$AY,O$2)</f>
        <v>610</v>
      </c>
      <c r="P173" s="253">
        <f>-SUMIFS(BV_Data_An_Prec!$AM:$AM,BV_Data_An_Prec!$AS:$AS,"Oui",BV_Data_An_Prec!$AP:$AP,$B173,BV_Data_An_Prec!$AQ:$AQ,$C173)</f>
        <v>69366.210000000006</v>
      </c>
      <c r="Q173" s="255">
        <f>-SUMIFS(BV_Data_An_Prec!$AM:$AM,BV_Data_An_Prec!$AP:$AP,$B173,BV_Data_An_Prec!$AQ:$AQ,$C173,BV_Data_An_Prec!$AR:$AR,$L$2)</f>
        <v>53964.73000000001</v>
      </c>
      <c r="R173" s="291">
        <f>IF(O173=0,0,J173/O173)</f>
        <v>0.93278688524590159</v>
      </c>
      <c r="S173" s="275">
        <f>L173-Q173</f>
        <v>-3347.2700000000114</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0.78288631663509645</v>
      </c>
      <c r="M174" s="291"/>
      <c r="N174" s="275"/>
      <c r="O174" s="276"/>
      <c r="P174" s="41"/>
      <c r="Q174" s="360">
        <f>IF(Q173=0,0,Q173/P173)</f>
        <v>0.77796855270022691</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113.62905096660809</v>
      </c>
      <c r="L175" s="362"/>
      <c r="M175" s="294"/>
      <c r="N175" s="295"/>
      <c r="O175" s="363"/>
      <c r="P175" s="361">
        <f>IFERROR(P173/O173,0)</f>
        <v>113.71509836065574</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285</v>
      </c>
      <c r="K176" s="270">
        <f>-SUMIFS(BV_Data_An_Cour!$AM:$AM,BV_Data_An_Cour!$AS:$AS,"Oui",BV_Data_An_Cour!$AP:$AP,$B176,BV_Data_An_Cour!$AQ:$AQ,$C176)</f>
        <v>56610.18</v>
      </c>
      <c r="L176" s="255">
        <f>-SUMIFS(BV_Data_An_Cour!$AM:$AM,BV_Data_An_Cour!$AP:$AP,$B176,BV_Data_An_Cour!$AQ:$AQ,$C176,BV_Data_An_Cour!$AR:$AR,$L$2)</f>
        <v>40738.130000000005</v>
      </c>
      <c r="M176" s="291" t="e">
        <f>(K176-E176)/E176</f>
        <v>#DIV/0!</v>
      </c>
      <c r="N176" s="315">
        <f>L176-F176</f>
        <v>40738.130000000005</v>
      </c>
      <c r="O176" s="254">
        <f>SUMIFS(BV_Data_An_Prec!$AW:$AW,BV_Data_An_Prec!$AP:$AP,$B176,BV_Data_An_Prec!$AQ:$AQ,$C176,BV_Data_An_Prec!$AY:$AY,O$2)</f>
        <v>415</v>
      </c>
      <c r="P176" s="270">
        <f>-SUMIFS(BV_Data_An_Prec!$AM:$AM,BV_Data_An_Prec!$AS:$AS,"Oui",BV_Data_An_Prec!$AP:$AP,$B176,BV_Data_An_Prec!$AQ:$AQ,$C176)</f>
        <v>70670.22</v>
      </c>
      <c r="Q176" s="255">
        <f>-SUMIFS(BV_Data_An_Prec!$AM:$AM,BV_Data_An_Prec!$AP:$AP,$B176,BV_Data_An_Prec!$AQ:$AQ,$C176,BV_Data_An_Prec!$AR:$AR,$L$2)</f>
        <v>50907.16</v>
      </c>
      <c r="R176" s="291">
        <f>IF(O176=0,0,J176/O176)</f>
        <v>0.68674698795180722</v>
      </c>
      <c r="S176" s="275">
        <f>L176-Q176</f>
        <v>-10169.029999999999</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0.71962551611741921</v>
      </c>
      <c r="M177" s="263"/>
      <c r="N177" s="264"/>
      <c r="O177" s="252"/>
      <c r="P177" s="41"/>
      <c r="Q177" s="360">
        <f>IF(Q176=0,0,Q176/P176)</f>
        <v>0.72034811834461532</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198.63221052631579</v>
      </c>
      <c r="L178" s="362"/>
      <c r="M178" s="294"/>
      <c r="N178" s="295"/>
      <c r="O178" s="363"/>
      <c r="P178" s="361">
        <f>IFERROR(P176/O176,0)</f>
        <v>170.28968674698797</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148</v>
      </c>
      <c r="K179" s="270">
        <f>-SUMIFS(BV_Data_An_Cour!$AM:$AM,BV_Data_An_Cour!$AS:$AS,"Oui",BV_Data_An_Cour!$AP:$AP,$B179,BV_Data_An_Cour!$AQ:$AQ,$C179)</f>
        <v>32818.03</v>
      </c>
      <c r="L179" s="255">
        <f>-SUMIFS(BV_Data_An_Cour!$AM:$AM,BV_Data_An_Cour!$AP:$AP,$B179,BV_Data_An_Cour!$AQ:$AQ,$C179,BV_Data_An_Cour!$AR:$AR,$L$2)</f>
        <v>26783.969999999998</v>
      </c>
      <c r="M179" s="291" t="e">
        <f>(K179-E179)/E179</f>
        <v>#DIV/0!</v>
      </c>
      <c r="N179" s="275">
        <f>L179-F179</f>
        <v>26783.969999999998</v>
      </c>
      <c r="O179" s="254">
        <f>SUMIFS(BV_Data_An_Prec!$AW:$AW,BV_Data_An_Prec!$AP:$AP,$B179,BV_Data_An_Prec!$AQ:$AQ,$C179,BV_Data_An_Prec!$AY:$AY,O$2)</f>
        <v>157</v>
      </c>
      <c r="P179" s="270">
        <f>-SUMIFS(BV_Data_An_Prec!$AM:$AM,BV_Data_An_Prec!$AS:$AS,"Oui",BV_Data_An_Prec!$AP:$AP,$B179,BV_Data_An_Prec!$AQ:$AQ,$C179)</f>
        <v>32273.41</v>
      </c>
      <c r="Q179" s="255">
        <f>-SUMIFS(BV_Data_An_Prec!$AM:$AM,BV_Data_An_Prec!$AP:$AP,$B179,BV_Data_An_Prec!$AQ:$AQ,$C179,BV_Data_An_Prec!$AR:$AR,$L$2)</f>
        <v>26518.28</v>
      </c>
      <c r="R179" s="291">
        <f>IF(O179=0,0,J179/O179)</f>
        <v>0.9426751592356688</v>
      </c>
      <c r="S179" s="275">
        <f>L179-Q179</f>
        <v>265.68999999999869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0.81613582533747453</v>
      </c>
      <c r="M180" s="291"/>
      <c r="N180" s="275" t="e">
        <f>L180-F180</f>
        <v>#DIV/0!</v>
      </c>
      <c r="O180" s="276"/>
      <c r="P180" s="347"/>
      <c r="Q180" s="360">
        <f>IF(Q179=0,0,Q179/P179)</f>
        <v>0.8216758006048942</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221.74344594594595</v>
      </c>
      <c r="L181" s="362"/>
      <c r="M181" s="294"/>
      <c r="N181" s="295"/>
      <c r="O181" s="363"/>
      <c r="P181" s="361">
        <f>IFERROR(P179/O179,0)</f>
        <v>205.56312101910828</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-4736.8100000000004</v>
      </c>
      <c r="M185" s="371"/>
      <c r="N185" s="275">
        <f>L185-F185</f>
        <v>-4736.8100000000004</v>
      </c>
      <c r="O185" s="276"/>
      <c r="P185" s="290"/>
      <c r="Q185" s="290">
        <f>-SUMIFS(BV_Data_An_Prec!$AM:$AM,BV_Data_An_Prec!$AP:$AP,$B185,BV_Data_An_Prec!$AQ:$AQ,$C185,BV_Data_An_Prec!$AR:$AR,$L$2)</f>
        <v>-104.46</v>
      </c>
      <c r="R185" s="377"/>
      <c r="S185" s="275">
        <f t="shared" ref="S185:S186" si="37">L185-Q185</f>
        <v>-4632.3500000000004</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1002</v>
      </c>
      <c r="K186" s="379">
        <f t="shared" si="38"/>
        <v>154083.14000000001</v>
      </c>
      <c r="L186" s="380">
        <f t="shared" si="38"/>
        <v>113402.75</v>
      </c>
      <c r="M186" s="382" t="e">
        <f>(K186-E186)/E186</f>
        <v>#DIV/0!</v>
      </c>
      <c r="N186" s="380">
        <f>L186-F186</f>
        <v>113402.75</v>
      </c>
      <c r="O186" s="381">
        <f t="shared" ref="O186:Q186" si="39">O173+O176+O179+O182+O185</f>
        <v>1182</v>
      </c>
      <c r="P186" s="379">
        <f t="shared" si="39"/>
        <v>172309.84</v>
      </c>
      <c r="Q186" s="380">
        <f t="shared" si="39"/>
        <v>131285.71000000002</v>
      </c>
      <c r="R186" s="263">
        <f>IF(O186=0,0,J186/O186)</f>
        <v>0.84771573604060912</v>
      </c>
      <c r="S186" s="380">
        <f t="shared" si="37"/>
        <v>-17882.960000000021</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153.7755888223553</v>
      </c>
      <c r="L187" s="264">
        <f>IF(L186=0,0,L186/K186)</f>
        <v>0.73598415764372394</v>
      </c>
      <c r="M187" s="387"/>
      <c r="N187" s="386" t="e">
        <f>N186/F186</f>
        <v>#DIV/0!</v>
      </c>
      <c r="O187" s="387"/>
      <c r="P187" s="385">
        <f>IF(O186=0,0,P186/O186)</f>
        <v>145.77820642978003</v>
      </c>
      <c r="Q187" s="264">
        <f>IF(Q186=0,0,Q186/P186)</f>
        <v>0.76191649879078305</v>
      </c>
      <c r="R187" s="387"/>
      <c r="S187" s="264">
        <f>S186/Q186</f>
        <v>-0.13621406320611754</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136</v>
      </c>
      <c r="K189" s="253">
        <f>-SUMIFS(BV_Data_An_Cour!$AM:$AM,BV_Data_An_Cour!$AS:$AS,"Oui",BV_Data_An_Cour!$AP:$AP,$B189,BV_Data_An_Cour!$AQ:$AQ,$C189)</f>
        <v>26065.94</v>
      </c>
      <c r="L189" s="255">
        <f>-SUMIFS(BV_Data_An_Cour!$AM:$AM,BV_Data_An_Cour!$AP:$AP,$B189,BV_Data_An_Cour!$AQ:$AQ,$C189,BV_Data_An_Cour!$AR:$AR,$L$2)</f>
        <v>1686.4499999999971</v>
      </c>
      <c r="M189" s="291">
        <f>IF(E189=0,0,(K189-E189)/E189)</f>
        <v>0</v>
      </c>
      <c r="N189" s="275">
        <f>L189-F189</f>
        <v>1686.4499999999971</v>
      </c>
      <c r="O189" s="254">
        <f>SUMIFS(BV_Data_An_Prec!$AW:$AW,BV_Data_An_Prec!$AP:$AP,$B189,BV_Data_An_Prec!$AQ:$AQ,$C189,BV_Data_An_Prec!$AY:$AY,O$2)</f>
        <v>191</v>
      </c>
      <c r="P189" s="253">
        <f>-SUMIFS(BV_Data_An_Prec!$AM:$AM,BV_Data_An_Prec!$AS:$AS,"Oui",BV_Data_An_Prec!$AP:$AP,$B189,BV_Data_An_Prec!$AQ:$AQ,$C189)</f>
        <v>45982.16</v>
      </c>
      <c r="Q189" s="255">
        <f>-SUMIFS(BV_Data_An_Prec!$AM:$AM,BV_Data_An_Prec!$AP:$AP,$B189,BV_Data_An_Prec!$AQ:$AQ,$C189,BV_Data_An_Prec!$AR:$AR,$L$2)</f>
        <v>5708.25</v>
      </c>
      <c r="R189" s="291">
        <f>IF(O189=0,0,J189/O189)</f>
        <v>0.7120418848167539</v>
      </c>
      <c r="S189" s="275">
        <f>L189-Q189</f>
        <v>-4021.8000000000029</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6.4699373972317786E-2</v>
      </c>
      <c r="M190" s="371"/>
      <c r="N190" s="372"/>
      <c r="O190" s="371"/>
      <c r="P190" s="370"/>
      <c r="Q190" s="360">
        <f>IF(Q189=0,0,Q189/P189)</f>
        <v>0.12414053624275152</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180149.08000000002</v>
      </c>
      <c r="L195" s="280">
        <f t="shared" si="40"/>
        <v>115089.2</v>
      </c>
      <c r="M195" s="397" t="e">
        <f>L196-F196</f>
        <v>#DIV/0!</v>
      </c>
      <c r="N195" s="280">
        <f>L195-F195</f>
        <v>115089.2</v>
      </c>
      <c r="O195" s="281"/>
      <c r="P195" s="278">
        <f t="shared" ref="P195:Q195" si="41">P186+P189+P192</f>
        <v>218292</v>
      </c>
      <c r="Q195" s="280">
        <f t="shared" si="41"/>
        <v>136993.96000000002</v>
      </c>
      <c r="R195" s="397"/>
      <c r="S195" s="280">
        <f>L195-Q195</f>
        <v>-21904.760000000024</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0.63885533026313535</v>
      </c>
      <c r="M196" s="285"/>
      <c r="N196" s="286" t="e">
        <f>N195/F195</f>
        <v>#DIV/0!</v>
      </c>
      <c r="O196" s="282"/>
      <c r="P196" s="283"/>
      <c r="Q196" s="286">
        <f>Q195/P195</f>
        <v>0.62757205944331451</v>
      </c>
      <c r="R196" s="285"/>
      <c r="S196" s="286">
        <f>L195/S195</f>
        <v>-5.2540726307889187</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5016</v>
      </c>
      <c r="M199" s="252"/>
      <c r="N199" s="275">
        <f t="shared" ref="N199:N230" si="42">L199-F199</f>
        <v>5016</v>
      </c>
      <c r="O199" s="252"/>
      <c r="P199" s="41"/>
      <c r="Q199" s="255">
        <f>SUMIFS(BV_Data_An_Prec!$AM:$AM,BV_Data_An_Prec!$AP:$AP,$B199,BV_Data_An_Prec!$AQ:$AQ,$C199,BV_Data_An_Prec!$AR:$AR,$L$2)</f>
        <v>3395.06</v>
      </c>
      <c r="R199" s="252"/>
      <c r="S199" s="255">
        <f t="shared" ref="S199:S230" si="43">L199-Q199</f>
        <v>1620.94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25016.1</v>
      </c>
      <c r="M201" s="240"/>
      <c r="N201" s="315">
        <f t="shared" si="42"/>
        <v>25016.1</v>
      </c>
      <c r="O201" s="240"/>
      <c r="P201" s="313"/>
      <c r="Q201" s="271">
        <f>SUMIFS(BV_Data_An_Prec!$AM:$AM,BV_Data_An_Prec!$AP:$AP,$B201,BV_Data_An_Prec!$AQ:$AQ,$C201,BV_Data_An_Prec!$AR:$AR,$L$2)</f>
        <v>39272.980000000003</v>
      </c>
      <c r="R201" s="240"/>
      <c r="S201" s="315">
        <f t="shared" si="43"/>
        <v>-14256.880000000005</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11633.98</v>
      </c>
      <c r="M206" s="252"/>
      <c r="N206" s="275">
        <f t="shared" si="42"/>
        <v>11633.98</v>
      </c>
      <c r="O206" s="252"/>
      <c r="P206" s="41"/>
      <c r="Q206" s="255">
        <f>SUMIFS(BV_Data_An_Prec!$AM:$AM,BV_Data_An_Prec!$AP:$AP,$B206,BV_Data_An_Prec!$AQ:$AQ,$C206,BV_Data_An_Prec!$AR:$AR,$L$2)</f>
        <v>19265.509999999998</v>
      </c>
      <c r="R206" s="252"/>
      <c r="S206" s="275">
        <f t="shared" si="43"/>
        <v>-7631.5299999999988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12954.46</v>
      </c>
      <c r="M207" s="240"/>
      <c r="N207" s="315">
        <f t="shared" si="42"/>
        <v>12954.46</v>
      </c>
      <c r="O207" s="240"/>
      <c r="P207" s="313"/>
      <c r="Q207" s="271">
        <f>SUMIFS(BV_Data_An_Prec!$AM:$AM,BV_Data_An_Prec!$AP:$AP,$B207,BV_Data_An_Prec!$AQ:$AQ,$C207,BV_Data_An_Prec!$AR:$AR,$L$2)</f>
        <v>16273.09</v>
      </c>
      <c r="R207" s="240"/>
      <c r="S207" s="315">
        <f t="shared" si="43"/>
        <v>-3318.630000000001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1314.01</v>
      </c>
      <c r="M208" s="252"/>
      <c r="N208" s="275">
        <f t="shared" si="42"/>
        <v>1314.01</v>
      </c>
      <c r="O208" s="252"/>
      <c r="P208" s="41"/>
      <c r="Q208" s="255">
        <f>SUMIFS(BV_Data_An_Prec!$AM:$AM,BV_Data_An_Prec!$AP:$AP,$B208,BV_Data_An_Prec!$AQ:$AQ,$C208,BV_Data_An_Prec!$AR:$AR,$L$2)</f>
        <v>1258.29</v>
      </c>
      <c r="R208" s="252"/>
      <c r="S208" s="275">
        <f t="shared" si="43"/>
        <v>55.720000000000027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0.48601041626842489</v>
      </c>
      <c r="L211" s="306">
        <f>+SUM(L199:L210)</f>
        <v>55934.55</v>
      </c>
      <c r="M211" s="353"/>
      <c r="N211" s="306">
        <f t="shared" si="42"/>
        <v>55934.55</v>
      </c>
      <c r="O211" s="307" t="s">
        <v>171</v>
      </c>
      <c r="P211" s="305">
        <f>Q211/Q$195</f>
        <v>0.58006155891836386</v>
      </c>
      <c r="Q211" s="306">
        <f>+SUM(Q199:Q210)</f>
        <v>79464.929999999993</v>
      </c>
      <c r="R211" s="353"/>
      <c r="S211" s="318">
        <f t="shared" si="43"/>
        <v>-23530.37999999999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-26540.560000000001</v>
      </c>
      <c r="M214" s="245"/>
      <c r="N214" s="295">
        <f t="shared" si="42"/>
        <v>-26540.560000000001</v>
      </c>
      <c r="O214" s="245"/>
      <c r="P214" s="316"/>
      <c r="Q214" s="255">
        <f>SUMIFS(BV_Data_An_Prec!$AM:$AM,BV_Data_An_Prec!$AP:$AP,$B214,BV_Data_An_Prec!$AQ:$AQ,$C214,BV_Data_An_Prec!$AR:$AR,$L$2)</f>
        <v>-4875.7099999999991</v>
      </c>
      <c r="R214" s="245"/>
      <c r="S214" s="295">
        <f t="shared" si="43"/>
        <v>-21664.850000000002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1835.32</v>
      </c>
      <c r="M215" s="252"/>
      <c r="N215" s="275">
        <f t="shared" si="42"/>
        <v>1835.32</v>
      </c>
      <c r="O215" s="252"/>
      <c r="P215" s="41"/>
      <c r="Q215" s="271">
        <f>SUMIFS(BV_Data_An_Prec!$AM:$AM,BV_Data_An_Prec!$AP:$AP,$B215,BV_Data_An_Prec!$AQ:$AQ,$C215,BV_Data_An_Prec!$AR:$AR,$L$2)</f>
        <v>1698.71</v>
      </c>
      <c r="R215" s="252"/>
      <c r="S215" s="275">
        <f t="shared" si="43"/>
        <v>136.6099999999999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6468.71</v>
      </c>
      <c r="M216" s="252"/>
      <c r="N216" s="275">
        <f t="shared" si="42"/>
        <v>6468.71</v>
      </c>
      <c r="O216" s="252"/>
      <c r="P216" s="41"/>
      <c r="Q216" s="255">
        <f>SUMIFS(BV_Data_An_Prec!$AM:$AM,BV_Data_An_Prec!$AP:$AP,$B216,BV_Data_An_Prec!$AQ:$AQ,$C216,BV_Data_An_Prec!$AR:$AR,$L$2)</f>
        <v>2099.63</v>
      </c>
      <c r="R216" s="252"/>
      <c r="S216" s="275">
        <f t="shared" si="43"/>
        <v>4369.08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2278.8200000000002</v>
      </c>
      <c r="M217" s="245"/>
      <c r="N217" s="295">
        <f t="shared" si="42"/>
        <v>2278.8200000000002</v>
      </c>
      <c r="O217" s="245"/>
      <c r="P217" s="316"/>
      <c r="Q217" s="255">
        <f>SUMIFS(BV_Data_An_Prec!$AM:$AM,BV_Data_An_Prec!$AP:$AP,$B217,BV_Data_An_Prec!$AQ:$AQ,$C217,BV_Data_An_Prec!$AR:$AR,$L$2)</f>
        <v>0</v>
      </c>
      <c r="R217" s="245"/>
      <c r="S217" s="295">
        <f t="shared" si="43"/>
        <v>2278.8200000000002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4872.16</v>
      </c>
      <c r="M218" s="252"/>
      <c r="N218" s="275">
        <f t="shared" si="42"/>
        <v>4872.16</v>
      </c>
      <c r="O218" s="252"/>
      <c r="P218" s="41"/>
      <c r="Q218" s="271">
        <f>SUMIFS(BV_Data_An_Prec!$AM:$AM,BV_Data_An_Prec!$AP:$AP,$B218,BV_Data_An_Prec!$AQ:$AQ,$C218,BV_Data_An_Prec!$AR:$AR,$L$2)</f>
        <v>5444.81</v>
      </c>
      <c r="R218" s="252"/>
      <c r="S218" s="275">
        <f t="shared" si="43"/>
        <v>-572.65000000000055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1849.85</v>
      </c>
      <c r="M220" s="252"/>
      <c r="N220" s="275">
        <f t="shared" si="42"/>
        <v>1849.85</v>
      </c>
      <c r="O220" s="252"/>
      <c r="P220" s="41"/>
      <c r="Q220" s="255">
        <f>SUMIFS(BV_Data_An_Prec!$AM:$AM,BV_Data_An_Prec!$AP:$AP,$B220,BV_Data_An_Prec!$AQ:$AQ,$C220,BV_Data_An_Prec!$AR:$AR,$L$2)</f>
        <v>1632.83</v>
      </c>
      <c r="R220" s="252"/>
      <c r="S220" s="275">
        <f t="shared" si="43"/>
        <v>217.01999999999998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1306.1300000000001</v>
      </c>
      <c r="M221" s="252"/>
      <c r="N221" s="275">
        <f t="shared" si="42"/>
        <v>1306.1300000000001</v>
      </c>
      <c r="O221" s="252"/>
      <c r="P221" s="41"/>
      <c r="Q221" s="255">
        <f>SUMIFS(BV_Data_An_Prec!$AM:$AM,BV_Data_An_Prec!$AP:$AP,$B221,BV_Data_An_Prec!$AQ:$AQ,$C221,BV_Data_An_Prec!$AR:$AR,$L$2)</f>
        <v>1335.26</v>
      </c>
      <c r="R221" s="252"/>
      <c r="S221" s="275">
        <f t="shared" si="43"/>
        <v>-29.129999999999882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98.55</v>
      </c>
      <c r="M222" s="252"/>
      <c r="N222" s="275">
        <f t="shared" si="42"/>
        <v>98.55</v>
      </c>
      <c r="O222" s="252"/>
      <c r="P222" s="41"/>
      <c r="Q222" s="255">
        <f>SUMIFS(BV_Data_An_Prec!$AM:$AM,BV_Data_An_Prec!$AP:$AP,$B222,BV_Data_An_Prec!$AQ:$AQ,$C222,BV_Data_An_Prec!$AR:$AR,$L$2)</f>
        <v>56.05</v>
      </c>
      <c r="R222" s="252"/>
      <c r="S222" s="275">
        <f t="shared" si="43"/>
        <v>42.5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30</v>
      </c>
      <c r="M223" s="252"/>
      <c r="N223" s="275">
        <f t="shared" si="42"/>
        <v>30</v>
      </c>
      <c r="O223" s="252"/>
      <c r="P223" s="41"/>
      <c r="Q223" s="255">
        <f>SUMIFS(BV_Data_An_Prec!$AM:$AM,BV_Data_An_Prec!$AP:$AP,$B223,BV_Data_An_Prec!$AQ:$AQ,$C223,BV_Data_An_Prec!$AR:$AR,$L$2)</f>
        <v>0</v>
      </c>
      <c r="R223" s="252"/>
      <c r="S223" s="275">
        <f t="shared" si="43"/>
        <v>30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62.5</v>
      </c>
      <c r="R224" s="252"/>
      <c r="S224" s="275">
        <f t="shared" si="43"/>
        <v>437.5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3427.75</v>
      </c>
      <c r="M225" s="252"/>
      <c r="N225" s="275">
        <f t="shared" si="42"/>
        <v>3427.75</v>
      </c>
      <c r="O225" s="252"/>
      <c r="P225" s="41"/>
      <c r="Q225" s="255">
        <f>SUMIFS(BV_Data_An_Prec!$AM:$AM,BV_Data_An_Prec!$AP:$AP,$B225,BV_Data_An_Prec!$AQ:$AQ,$C225,BV_Data_An_Prec!$AR:$AR,$L$2)</f>
        <v>775</v>
      </c>
      <c r="R225" s="252"/>
      <c r="S225" s="275">
        <f t="shared" si="43"/>
        <v>2652.75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-3.3654504506070097E-2</v>
      </c>
      <c r="L230" s="306">
        <f>+SUM(L212:L229)</f>
        <v>-3873.2700000000023</v>
      </c>
      <c r="M230" s="309"/>
      <c r="N230" s="306">
        <f t="shared" si="42"/>
        <v>-3873.2700000000023</v>
      </c>
      <c r="O230" s="307" t="s">
        <v>171</v>
      </c>
      <c r="P230" s="305">
        <f>Q230/Q$195</f>
        <v>6.006892566650384E-2</v>
      </c>
      <c r="Q230" s="306">
        <f>+SUM(Q212:Q229)</f>
        <v>8229.0800000000017</v>
      </c>
      <c r="R230" s="309"/>
      <c r="S230" s="306">
        <f t="shared" si="43"/>
        <v>-12102.350000000004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0.45235591176235479</v>
      </c>
      <c r="L232" s="306">
        <f>L211+L230</f>
        <v>52061.279999999999</v>
      </c>
      <c r="M232" s="309"/>
      <c r="N232" s="318">
        <f>L232-F232</f>
        <v>52061.279999999999</v>
      </c>
      <c r="O232" s="307" t="s">
        <v>115</v>
      </c>
      <c r="P232" s="305">
        <f>Q232/Q$195</f>
        <v>0.64013048458486765</v>
      </c>
      <c r="Q232" s="306">
        <f>Q211+Q230</f>
        <v>87694.01</v>
      </c>
      <c r="R232" s="309"/>
      <c r="S232" s="318">
        <f>L232-Q232</f>
        <v>-35632.729999999996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63027.92</v>
      </c>
      <c r="M234" s="330"/>
      <c r="N234" s="333">
        <f>L234-F234</f>
        <v>63027.92</v>
      </c>
      <c r="O234" s="330"/>
      <c r="P234" s="332"/>
      <c r="Q234" s="333">
        <f>Q195-Q232</f>
        <v>49299.950000000026</v>
      </c>
      <c r="R234" s="330"/>
      <c r="S234" s="333">
        <f>L234-Q234</f>
        <v>13727.969999999972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Janvier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Janvier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47640.78</v>
      </c>
      <c r="K296" s="351">
        <f t="shared" ref="K296:K305" si="48">IF(J296&lt;=0,0,L296/J296)</f>
        <v>0.30837908195457753</v>
      </c>
      <c r="L296" s="275">
        <f>-SUMIFS(BV_Data_An_Cour!$AM:$AM,BV_Data_An_Cour!$AP:$AP,$B296,BV_Data_An_Cour!$AQ:$AQ,$C296,BV_Data_An_Cour!$AR:$AR,$L$2)</f>
        <v>14691.419999999998</v>
      </c>
      <c r="M296" s="291" t="e">
        <f t="shared" ref="M296:M302" si="49">(+J296-D296)/D296</f>
        <v>#DIV/0!</v>
      </c>
      <c r="N296" s="275">
        <f t="shared" ref="N296:N305" si="50">L296-F296</f>
        <v>14691.419999999998</v>
      </c>
      <c r="O296" s="253">
        <f>-SUMIFS(BV_Data_An_Prec!$AM:$AM,BV_Data_An_Prec!$AS:$AS,"Oui",BV_Data_An_Prec!$AP:$AP,$B296,BV_Data_An_Prec!$AQ:$AQ,$C296)</f>
        <v>64769.74</v>
      </c>
      <c r="P296" s="351">
        <f t="shared" ref="P296:P305" si="51">IF(O296&lt;=0,0,Q296/O296)</f>
        <v>0.34111083354665306</v>
      </c>
      <c r="Q296" s="275">
        <f>-SUMIFS(BV_Data_An_Prec!$AM:$AM,BV_Data_An_Prec!$AP:$AP,$B296,BV_Data_An_Prec!$AQ:$AQ,$C296,BV_Data_An_Prec!$AR:$AR,$L$2)</f>
        <v>22093.659999999996</v>
      </c>
      <c r="R296" s="291">
        <f t="shared" ref="R296:R305" si="52">IF(O296=0,0,(J296-O296)/O296)</f>
        <v>-0.26445929843164417</v>
      </c>
      <c r="S296" s="275">
        <f t="shared" ref="S296:S305" si="53">L296-Q296</f>
        <v>-7402.239999999998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200449.43</v>
      </c>
      <c r="K298" s="351">
        <f t="shared" si="48"/>
        <v>0.17054640664231369</v>
      </c>
      <c r="L298" s="275">
        <f>-SUMIFS(BV_Data_An_Cour!$AM:$AM,BV_Data_An_Cour!$AP:$AP,$B298,BV_Data_An_Cour!$AQ:$AQ,$C298,BV_Data_An_Cour!$AR:$AR,$L$2)</f>
        <v>34185.929999999993</v>
      </c>
      <c r="M298" s="291" t="e">
        <f t="shared" si="49"/>
        <v>#DIV/0!</v>
      </c>
      <c r="N298" s="275">
        <f t="shared" si="50"/>
        <v>34185.929999999993</v>
      </c>
      <c r="O298" s="253">
        <f>-SUMIFS(BV_Data_An_Prec!$AM:$AM,BV_Data_An_Prec!$AS:$AS,"Oui",BV_Data_An_Prec!$AP:$AP,$B298,BV_Data_An_Prec!$AQ:$AQ,$C298)</f>
        <v>129177.47</v>
      </c>
      <c r="P298" s="351">
        <f t="shared" si="51"/>
        <v>0.18769890755717697</v>
      </c>
      <c r="Q298" s="275">
        <f>-SUMIFS(BV_Data_An_Prec!$AM:$AM,BV_Data_An_Prec!$AP:$AP,$B298,BV_Data_An_Prec!$AQ:$AQ,$C298,BV_Data_An_Prec!$AR:$AR,$L$2)</f>
        <v>24246.47</v>
      </c>
      <c r="R298" s="291">
        <f t="shared" si="52"/>
        <v>0.55173676957754314</v>
      </c>
      <c r="S298" s="275">
        <f t="shared" si="53"/>
        <v>9939.4599999999919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15763.85</v>
      </c>
      <c r="K299" s="351">
        <f t="shared" si="48"/>
        <v>0.32817363778518577</v>
      </c>
      <c r="L299" s="275">
        <f>-SUMIFS(BV_Data_An_Cour!$AM:$AM,BV_Data_An_Cour!$AP:$AP,$B299,BV_Data_An_Cour!$AQ:$AQ,$C299,BV_Data_An_Cour!$AR:$AR,$L$2)</f>
        <v>5173.2800000000007</v>
      </c>
      <c r="M299" s="291" t="e">
        <f t="shared" si="49"/>
        <v>#DIV/0!</v>
      </c>
      <c r="N299" s="275">
        <f t="shared" si="50"/>
        <v>5173.2800000000007</v>
      </c>
      <c r="O299" s="253">
        <f>-SUMIFS(BV_Data_An_Prec!$AM:$AM,BV_Data_An_Prec!$AS:$AS,"Oui",BV_Data_An_Prec!$AP:$AP,$B299,BV_Data_An_Prec!$AQ:$AQ,$C299)</f>
        <v>10268.86</v>
      </c>
      <c r="P299" s="351">
        <f t="shared" si="51"/>
        <v>0.33909898469742511</v>
      </c>
      <c r="Q299" s="275">
        <f>-SUMIFS(BV_Data_An_Prec!$AM:$AM,BV_Data_An_Prec!$AP:$AP,$B299,BV_Data_An_Prec!$AQ:$AQ,$C299,BV_Data_An_Prec!$AR:$AR,$L$2)</f>
        <v>3482.1600000000008</v>
      </c>
      <c r="R299" s="291">
        <f t="shared" si="52"/>
        <v>0.53511197932389765</v>
      </c>
      <c r="S299" s="275">
        <f t="shared" si="53"/>
        <v>1691.12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20047.37</v>
      </c>
      <c r="K300" s="351">
        <f t="shared" si="48"/>
        <v>0.2486914742432548</v>
      </c>
      <c r="L300" s="275">
        <f>-SUMIFS(BV_Data_An_Cour!$AM:$AM,BV_Data_An_Cour!$AP:$AP,$B300,BV_Data_An_Cour!$AQ:$AQ,$C300,BV_Data_An_Cour!$AR:$AR,$L$2)</f>
        <v>4985.6099999999988</v>
      </c>
      <c r="M300" s="291" t="e">
        <f t="shared" si="49"/>
        <v>#DIV/0!</v>
      </c>
      <c r="N300" s="275">
        <f t="shared" si="50"/>
        <v>4985.6099999999988</v>
      </c>
      <c r="O300" s="253">
        <f>-SUMIFS(BV_Data_An_Prec!$AM:$AM,BV_Data_An_Prec!$AS:$AS,"Oui",BV_Data_An_Prec!$AP:$AP,$B300,BV_Data_An_Prec!$AQ:$AQ,$C300)</f>
        <v>28373.25</v>
      </c>
      <c r="P300" s="351">
        <f t="shared" si="51"/>
        <v>0.24657767439401546</v>
      </c>
      <c r="Q300" s="275">
        <f>-SUMIFS(BV_Data_An_Prec!$AM:$AM,BV_Data_An_Prec!$AP:$AP,$B300,BV_Data_An_Prec!$AQ:$AQ,$C300,BV_Data_An_Prec!$AR:$AR,$L$2)</f>
        <v>6996.2099999999991</v>
      </c>
      <c r="R300" s="291">
        <f t="shared" si="52"/>
        <v>-0.29344118139444725</v>
      </c>
      <c r="S300" s="275">
        <f t="shared" si="53"/>
        <v>-2010.6000000000004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445526.65</v>
      </c>
      <c r="K301" s="351">
        <f t="shared" si="48"/>
        <v>0.18349400647525804</v>
      </c>
      <c r="L301" s="275">
        <f>-SUMIFS(BV_Data_An_Cour!$AM:$AM,BV_Data_An_Cour!$AP:$AP,$B301,BV_Data_An_Cour!$AQ:$AQ,$C301,BV_Data_An_Cour!$AR:$AR,$L$2)</f>
        <v>81751.47000000003</v>
      </c>
      <c r="M301" s="291" t="e">
        <f t="shared" si="49"/>
        <v>#DIV/0!</v>
      </c>
      <c r="N301" s="275">
        <f t="shared" si="50"/>
        <v>81751.47000000003</v>
      </c>
      <c r="O301" s="253">
        <f>-SUMIFS(BV_Data_An_Prec!$AM:$AM,BV_Data_An_Prec!$AS:$AS,"Oui",BV_Data_An_Prec!$AP:$AP,$B301,BV_Data_An_Prec!$AQ:$AQ,$C301)</f>
        <v>421311.65</v>
      </c>
      <c r="P301" s="351">
        <f t="shared" si="51"/>
        <v>0.16834644852569353</v>
      </c>
      <c r="Q301" s="275">
        <f>-SUMIFS(BV_Data_An_Prec!$AM:$AM,BV_Data_An_Prec!$AP:$AP,$B301,BV_Data_An_Prec!$AQ:$AQ,$C301,BV_Data_An_Prec!$AR:$AR,$L$2)</f>
        <v>70926.320000000007</v>
      </c>
      <c r="R301" s="291">
        <f t="shared" si="52"/>
        <v>5.7475268011221617E-2</v>
      </c>
      <c r="S301" s="275">
        <f t="shared" si="53"/>
        <v>10825.150000000023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937.03</v>
      </c>
      <c r="M303" s="291"/>
      <c r="N303" s="275">
        <f t="shared" si="50"/>
        <v>937.03</v>
      </c>
      <c r="O303" s="253">
        <f>-SUMIFS(BV_Data_An_Prec!$AM:$AM,BV_Data_An_Prec!$AS:$AS,"Oui",BV_Data_An_Prec!$AP:$AP,$B303,BV_Data_An_Prec!$AQ:$AQ,$C303)</f>
        <v>0</v>
      </c>
      <c r="P303" s="351">
        <f t="shared" si="51"/>
        <v>0</v>
      </c>
      <c r="Q303" s="275">
        <f>-SUMIFS(BV_Data_An_Prec!$AM:$AM,BV_Data_An_Prec!$AP:$AP,$B303,BV_Data_An_Prec!$AQ:$AQ,$C303,BV_Data_An_Prec!$AR:$AR,$L$2)</f>
        <v>7893.75</v>
      </c>
      <c r="R303" s="291">
        <f t="shared" si="52"/>
        <v>0</v>
      </c>
      <c r="S303" s="275">
        <f t="shared" si="53"/>
        <v>-6956.72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3178.76</v>
      </c>
      <c r="M304" s="291"/>
      <c r="N304" s="275">
        <f t="shared" si="50"/>
        <v>3178.76</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3178.76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729428.08000000007</v>
      </c>
      <c r="K305" s="405">
        <f t="shared" si="48"/>
        <v>0.19865358076151937</v>
      </c>
      <c r="L305" s="390">
        <f>SUM(L296:L304)</f>
        <v>144903.50000000003</v>
      </c>
      <c r="M305" s="406" t="e">
        <f>(+J305-D305)/D305</f>
        <v>#DIV/0!</v>
      </c>
      <c r="N305" s="390">
        <f t="shared" si="50"/>
        <v>144903.50000000003</v>
      </c>
      <c r="O305" s="388">
        <f t="shared" ref="O305" si="56">SUM(O296:O304)</f>
        <v>653900.97</v>
      </c>
      <c r="P305" s="405">
        <f t="shared" si="51"/>
        <v>0.20742983452066147</v>
      </c>
      <c r="Q305" s="390">
        <f>SUM(Q296:Q304)</f>
        <v>135638.57</v>
      </c>
      <c r="R305" s="406">
        <f t="shared" si="52"/>
        <v>0.11550236727741833</v>
      </c>
      <c r="S305" s="390">
        <f t="shared" si="53"/>
        <v>9264.9300000000221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6.8306013547621613E-2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61424.61</v>
      </c>
      <c r="K308" s="351">
        <f t="shared" ref="K308:K310" si="57">IF(J308&lt;=0,0,L308/J308)</f>
        <v>0.19698684289570587</v>
      </c>
      <c r="L308" s="315">
        <f>-SUMIFS(BV_Data_An_Cour!$AM:$AM,BV_Data_An_Cour!$AP:$AP,$B308,BV_Data_An_Cour!$AQ:$AQ,$C308,BV_Data_An_Cour!$AR:$AR,$L$2)</f>
        <v>12099.840000000004</v>
      </c>
      <c r="M308" s="291" t="e">
        <f>(+J308-D308)/D308</f>
        <v>#DIV/0!</v>
      </c>
      <c r="N308" s="275">
        <f>L308-F308</f>
        <v>12099.840000000004</v>
      </c>
      <c r="O308" s="253">
        <f>-SUMIFS(BV_Data_An_Prec!$AM:$AM,BV_Data_An_Prec!$AS:$AS,"Oui",BV_Data_An_Prec!$AP:$AP,$B308,BV_Data_An_Prec!$AQ:$AQ,$C308)</f>
        <v>81279.009999999995</v>
      </c>
      <c r="P308" s="351">
        <f t="shared" ref="P308:P310" si="58">IF(O308&lt;=0,0,Q308/O308)</f>
        <v>0.20525090057076234</v>
      </c>
      <c r="Q308" s="315">
        <f>-SUMIFS(BV_Data_An_Prec!$AM:$AM,BV_Data_An_Prec!$AP:$AP,$B308,BV_Data_An_Prec!$AQ:$AQ,$C308,BV_Data_An_Prec!$AR:$AR,$L$2)</f>
        <v>16682.589999999997</v>
      </c>
      <c r="R308" s="291">
        <f t="shared" ref="R308:R310" si="59">IF(O308=0,0,(J308-O308)/O308)</f>
        <v>-0.2442746288371376</v>
      </c>
      <c r="S308" s="275">
        <f t="shared" ref="S308:S310" si="60">L308-Q308</f>
        <v>-4582.7499999999927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16219.01</v>
      </c>
      <c r="K309" s="351">
        <f t="shared" si="57"/>
        <v>0.2611306115478072</v>
      </c>
      <c r="L309" s="295">
        <f>-SUMIFS(BV_Data_An_Cour!$AM:$AM,BV_Data_An_Cour!$AP:$AP,$B309,BV_Data_An_Cour!$AQ:$AQ,$C309,BV_Data_An_Cour!$AR:$AR,$L$2)</f>
        <v>4235.2800000000007</v>
      </c>
      <c r="M309" s="291" t="e">
        <f>(+J309-D309)/D309</f>
        <v>#DIV/0!</v>
      </c>
      <c r="N309" s="275">
        <f>L309-F309</f>
        <v>4235.2800000000007</v>
      </c>
      <c r="O309" s="253">
        <f>-SUMIFS(BV_Data_An_Prec!$AM:$AM,BV_Data_An_Prec!$AS:$AS,"Oui",BV_Data_An_Prec!$AP:$AP,$B309,BV_Data_An_Prec!$AQ:$AQ,$C309)</f>
        <v>18909.36</v>
      </c>
      <c r="P309" s="351">
        <f t="shared" si="58"/>
        <v>0.24464233585906664</v>
      </c>
      <c r="Q309" s="295">
        <f>-SUMIFS(BV_Data_An_Prec!$AM:$AM,BV_Data_An_Prec!$AP:$AP,$B309,BV_Data_An_Prec!$AQ:$AQ,$C309,BV_Data_An_Prec!$AR:$AR,$L$2)</f>
        <v>4626.0300000000007</v>
      </c>
      <c r="R309" s="291">
        <f t="shared" si="59"/>
        <v>-0.14227610030164956</v>
      </c>
      <c r="S309" s="275">
        <f t="shared" si="60"/>
        <v>-390.75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807071.70000000007</v>
      </c>
      <c r="K310" s="405">
        <f t="shared" si="57"/>
        <v>0.19978227461079356</v>
      </c>
      <c r="L310" s="390">
        <f>L305+L308+L309</f>
        <v>161238.62000000002</v>
      </c>
      <c r="M310" s="406" t="e">
        <f>(+J310-D310)/D310</f>
        <v>#DIV/0!</v>
      </c>
      <c r="N310" s="390">
        <f>L310-F310</f>
        <v>161238.62000000002</v>
      </c>
      <c r="O310" s="391">
        <f t="shared" ref="O310" si="62">O305+O308+O309</f>
        <v>754089.34</v>
      </c>
      <c r="P310" s="405">
        <f t="shared" si="58"/>
        <v>0.20812811118640134</v>
      </c>
      <c r="Q310" s="390">
        <f>Q305+Q308+Q309</f>
        <v>156947.19</v>
      </c>
      <c r="R310" s="406">
        <f t="shared" si="59"/>
        <v>7.0260056984760066E-2</v>
      </c>
      <c r="S310" s="390">
        <f t="shared" si="60"/>
        <v>4291.4300000000221</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2.7343146443080772E-2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807071.70000000007</v>
      </c>
      <c r="K315" s="408">
        <f>IF(J315&lt;=0,0,L315/J315)</f>
        <v>0.19978227461079356</v>
      </c>
      <c r="L315" s="280">
        <f>L310+L313</f>
        <v>161238.62000000002</v>
      </c>
      <c r="M315" s="409" t="e">
        <f>(+J315-D315)/D315</f>
        <v>#DIV/0!</v>
      </c>
      <c r="N315" s="410">
        <f>L315-F315</f>
        <v>161238.62000000002</v>
      </c>
      <c r="O315" s="281">
        <f t="shared" ref="O315" si="64">O310+O313</f>
        <v>754089.34</v>
      </c>
      <c r="P315" s="408">
        <f>IF(O315&lt;=0,0,Q315/O315)</f>
        <v>0.20812811118640134</v>
      </c>
      <c r="Q315" s="280">
        <f>Q310+Q313</f>
        <v>156947.19</v>
      </c>
      <c r="R315" s="409">
        <f>IF(O315=0,0,(J315-O315)/O315)</f>
        <v>7.0260056984760066E-2</v>
      </c>
      <c r="S315" s="410">
        <f>L315-Q315</f>
        <v>4291.4300000000221</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0.97338460227456658</v>
      </c>
      <c r="R316" s="414"/>
      <c r="S316" s="286">
        <f>IF(Q315=0,0,S315/Q315)</f>
        <v>2.7343146443080772E-2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10355.44</v>
      </c>
      <c r="M319" s="252"/>
      <c r="N319" s="255">
        <f t="shared" ref="N319:N349" si="65">L319-F319</f>
        <v>10355.44</v>
      </c>
      <c r="O319" s="252"/>
      <c r="P319" s="41"/>
      <c r="Q319" s="255">
        <f>SUMIFS(BV_Data_An_Prec!$AM:$AM,BV_Data_An_Prec!$AP:$AP,$B319,BV_Data_An_Prec!$AQ:$AQ,$C319,BV_Data_An_Prec!$AR:$AR,$L$2)</f>
        <v>7654.25</v>
      </c>
      <c r="R319" s="252"/>
      <c r="S319" s="255">
        <f t="shared" ref="S319:S349" si="66">L319-Q319</f>
        <v>2701.1900000000005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20921.490000000002</v>
      </c>
      <c r="M321" s="240"/>
      <c r="N321" s="271">
        <f t="shared" si="65"/>
        <v>20921.490000000002</v>
      </c>
      <c r="O321" s="240"/>
      <c r="P321" s="313"/>
      <c r="Q321" s="271">
        <f>SUMIFS(BV_Data_An_Prec!$AM:$AM,BV_Data_An_Prec!$AP:$AP,$B321,BV_Data_An_Prec!$AQ:$AQ,$C321,BV_Data_An_Prec!$AR:$AR,$L$2)</f>
        <v>19589.32</v>
      </c>
      <c r="R321" s="240"/>
      <c r="S321" s="315">
        <f t="shared" si="66"/>
        <v>1332.1700000000019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2905.52</v>
      </c>
      <c r="M326" s="252"/>
      <c r="N326" s="255">
        <f t="shared" si="65"/>
        <v>2905.52</v>
      </c>
      <c r="O326" s="252"/>
      <c r="P326" s="41"/>
      <c r="Q326" s="255">
        <f>SUMIFS(BV_Data_An_Prec!$AM:$AM,BV_Data_An_Prec!$AP:$AP,$B326,BV_Data_An_Prec!$AQ:$AQ,$C326,BV_Data_An_Prec!$AR:$AR,$L$2)</f>
        <v>4242.37</v>
      </c>
      <c r="R326" s="252"/>
      <c r="S326" s="275">
        <f t="shared" si="66"/>
        <v>-1336.85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3910.22</v>
      </c>
      <c r="M327" s="240"/>
      <c r="N327" s="271">
        <f t="shared" si="65"/>
        <v>3910.22</v>
      </c>
      <c r="O327" s="240"/>
      <c r="P327" s="313"/>
      <c r="Q327" s="271">
        <f>SUMIFS(BV_Data_An_Prec!$AM:$AM,BV_Data_An_Prec!$AP:$AP,$B327,BV_Data_An_Prec!$AQ:$AQ,$C327,BV_Data_An_Prec!$AR:$AR,$L$2)</f>
        <v>4437.24</v>
      </c>
      <c r="R327" s="240"/>
      <c r="S327" s="315">
        <f t="shared" si="66"/>
        <v>-527.02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454.1</v>
      </c>
      <c r="M328" s="252"/>
      <c r="N328" s="255">
        <f t="shared" si="65"/>
        <v>454.1</v>
      </c>
      <c r="O328" s="252"/>
      <c r="P328" s="41"/>
      <c r="Q328" s="255">
        <f>SUMIFS(BV_Data_An_Prec!$AM:$AM,BV_Data_An_Prec!$AP:$AP,$B328,BV_Data_An_Prec!$AQ:$AQ,$C328,BV_Data_An_Prec!$AR:$AR,$L$2)</f>
        <v>254.45</v>
      </c>
      <c r="R328" s="252"/>
      <c r="S328" s="275">
        <f t="shared" si="66"/>
        <v>199.65000000000003</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0.23906660823566953</v>
      </c>
      <c r="L331" s="306">
        <f>+SUM(L319:L330)</f>
        <v>38546.769999999997</v>
      </c>
      <c r="M331" s="353"/>
      <c r="N331" s="318">
        <f t="shared" si="65"/>
        <v>38546.769999999997</v>
      </c>
      <c r="O331" s="307" t="s">
        <v>115</v>
      </c>
      <c r="P331" s="305">
        <f>Q331/Q$315</f>
        <v>0.2305083002760355</v>
      </c>
      <c r="Q331" s="306">
        <f>+SUM(Q319:Q330)</f>
        <v>36177.629999999997</v>
      </c>
      <c r="R331" s="353"/>
      <c r="S331" s="318">
        <f t="shared" si="66"/>
        <v>2369.1399999999994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16166.55</v>
      </c>
      <c r="M332" s="252"/>
      <c r="N332" s="275">
        <f t="shared" si="65"/>
        <v>16166.55</v>
      </c>
      <c r="O332" s="252"/>
      <c r="P332" s="41"/>
      <c r="Q332" s="275">
        <f>SUMIFS(BV_Data_An_Prec!$AM:$AM,BV_Data_An_Prec!$AP:$AP,$B332,BV_Data_An_Prec!$AQ:$AQ,$C332,BV_Data_An_Prec!$AR:$AR,$L$2)</f>
        <v>7094.24</v>
      </c>
      <c r="R332" s="252"/>
      <c r="S332" s="275">
        <f t="shared" si="66"/>
        <v>9072.31</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6.86</v>
      </c>
      <c r="M334" s="245"/>
      <c r="N334" s="295">
        <f t="shared" si="65"/>
        <v>6.86</v>
      </c>
      <c r="O334" s="245"/>
      <c r="P334" s="316"/>
      <c r="Q334" s="295">
        <f>SUMIFS(BV_Data_An_Prec!$AM:$AM,BV_Data_An_Prec!$AP:$AP,$B334,BV_Data_An_Prec!$AQ:$AQ,$C334,BV_Data_An_Prec!$AR:$AR,$L$2)</f>
        <v>640.55999999999995</v>
      </c>
      <c r="R334" s="245"/>
      <c r="S334" s="295">
        <f t="shared" si="66"/>
        <v>-633.69999999999993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2151.64</v>
      </c>
      <c r="M335" s="252"/>
      <c r="N335" s="275">
        <f t="shared" si="65"/>
        <v>2151.64</v>
      </c>
      <c r="O335" s="252"/>
      <c r="P335" s="41"/>
      <c r="Q335" s="275">
        <f>SUMIFS(BV_Data_An_Prec!$AM:$AM,BV_Data_An_Prec!$AP:$AP,$B335,BV_Data_An_Prec!$AQ:$AQ,$C335,BV_Data_An_Prec!$AR:$AR,$L$2)</f>
        <v>2166.16</v>
      </c>
      <c r="R335" s="252"/>
      <c r="S335" s="275">
        <f t="shared" si="66"/>
        <v>-14.519999999999982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611.74</v>
      </c>
      <c r="M336" s="252"/>
      <c r="N336" s="275">
        <f t="shared" si="65"/>
        <v>611.74</v>
      </c>
      <c r="O336" s="252"/>
      <c r="P336" s="41"/>
      <c r="Q336" s="275">
        <f>SUMIFS(BV_Data_An_Prec!$AM:$AM,BV_Data_An_Prec!$AP:$AP,$B336,BV_Data_An_Prec!$AQ:$AQ,$C336,BV_Data_An_Prec!$AR:$AR,$L$2)</f>
        <v>2164.63</v>
      </c>
      <c r="R336" s="252"/>
      <c r="S336" s="275">
        <f t="shared" si="66"/>
        <v>-1552.89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25338.39</v>
      </c>
      <c r="M337" s="245"/>
      <c r="N337" s="295">
        <f t="shared" si="65"/>
        <v>25338.39</v>
      </c>
      <c r="O337" s="245"/>
      <c r="P337" s="316"/>
      <c r="Q337" s="295">
        <f>SUMIFS(BV_Data_An_Prec!$AM:$AM,BV_Data_An_Prec!$AP:$AP,$B337,BV_Data_An_Prec!$AQ:$AQ,$C337,BV_Data_An_Prec!$AR:$AR,$L$2)</f>
        <v>16376.92</v>
      </c>
      <c r="R337" s="245"/>
      <c r="S337" s="295">
        <f t="shared" si="66"/>
        <v>8961.4699999999993</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473.64</v>
      </c>
      <c r="M341" s="252"/>
      <c r="N341" s="275">
        <f t="shared" si="65"/>
        <v>473.64</v>
      </c>
      <c r="O341" s="252"/>
      <c r="P341" s="41"/>
      <c r="Q341" s="275">
        <f>SUMIFS(BV_Data_An_Prec!$AM:$AM,BV_Data_An_Prec!$AP:$AP,$B341,BV_Data_An_Prec!$AQ:$AQ,$C341,BV_Data_An_Prec!$AR:$AR,$L$2)</f>
        <v>744.95</v>
      </c>
      <c r="R341" s="252"/>
      <c r="S341" s="275">
        <f t="shared" si="66"/>
        <v>-271.31000000000006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82.54</v>
      </c>
      <c r="M342" s="252"/>
      <c r="N342" s="275">
        <f t="shared" si="65"/>
        <v>82.54</v>
      </c>
      <c r="O342" s="252"/>
      <c r="P342" s="41"/>
      <c r="Q342" s="275">
        <f>SUMIFS(BV_Data_An_Prec!$AM:$AM,BV_Data_An_Prec!$AP:$AP,$B342,BV_Data_An_Prec!$AQ:$AQ,$C342,BV_Data_An_Prec!$AR:$AR,$L$2)</f>
        <v>56.04</v>
      </c>
      <c r="R342" s="252"/>
      <c r="S342" s="275">
        <f t="shared" si="66"/>
        <v>26.500000000000007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74.760000000000005</v>
      </c>
      <c r="R344" s="252"/>
      <c r="S344" s="275">
        <f t="shared" si="66"/>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0.27804356053158974</v>
      </c>
      <c r="L350" s="306">
        <f>+SUM(L332:L349)</f>
        <v>44831.360000000001</v>
      </c>
      <c r="M350" s="309"/>
      <c r="N350" s="306">
        <f>+SUM(N332:N349)</f>
        <v>44831.360000000001</v>
      </c>
      <c r="O350" s="307" t="s">
        <v>115</v>
      </c>
      <c r="P350" s="305">
        <f>Q350/Q$315</f>
        <v>0.18680334448804087</v>
      </c>
      <c r="Q350" s="306">
        <f>+SUM(Q332:Q349)</f>
        <v>29318.260000000002</v>
      </c>
      <c r="R350" s="309"/>
      <c r="S350" s="306">
        <f>+SUM(S332:S349)</f>
        <v>15513.099999999999</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0.51711016876725935</v>
      </c>
      <c r="L352" s="306">
        <f>L331+L350</f>
        <v>83378.13</v>
      </c>
      <c r="M352" s="309"/>
      <c r="N352" s="318">
        <f>L352-F352</f>
        <v>83378.13</v>
      </c>
      <c r="O352" s="307" t="s">
        <v>115</v>
      </c>
      <c r="P352" s="305">
        <f>Q352/Q$315</f>
        <v>0.41731164476407634</v>
      </c>
      <c r="Q352" s="306">
        <f>Q331+Q350</f>
        <v>65495.89</v>
      </c>
      <c r="R352" s="309"/>
      <c r="S352" s="318">
        <f>L352-Q352</f>
        <v>17882.240000000005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77860.49000000002</v>
      </c>
      <c r="M354" s="330"/>
      <c r="N354" s="333">
        <f>L354-F354</f>
        <v>77860.49000000002</v>
      </c>
      <c r="O354" s="330"/>
      <c r="P354" s="332"/>
      <c r="Q354" s="333">
        <f>Q315-Q352</f>
        <v>91451.3</v>
      </c>
      <c r="R354" s="330"/>
      <c r="S354" s="333">
        <f>L354-Q354</f>
        <v>-13590.809999999983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Janvier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276327.82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140888.41000000003</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Janvier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4034622.69</v>
      </c>
      <c r="AG407" s="440"/>
      <c r="AH407" s="441"/>
      <c r="AI407" s="442"/>
      <c r="AJ407" s="440"/>
      <c r="AK407" s="441"/>
      <c r="AL407" s="439">
        <f>Q5+Q93+P195+O251+O315+O363</f>
        <v>6219757.5300000003</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0.14032616517109808</v>
      </c>
      <c r="AE408" s="449"/>
      <c r="AF408" s="447">
        <f>L27+L109+L195+L251+L315+L363</f>
        <v>566163.13</v>
      </c>
      <c r="AG408" s="448"/>
      <c r="AH408" s="449">
        <f>AF408-Z408</f>
        <v>566163.13</v>
      </c>
      <c r="AI408" s="450" t="e">
        <f>AH408/Z408</f>
        <v>#DIV/0!</v>
      </c>
      <c r="AJ408" s="884">
        <f>AL408/AL407</f>
        <v>0.11672535086749601</v>
      </c>
      <c r="AK408" s="449"/>
      <c r="AL408" s="447">
        <f>Q27+Q109+Q195+Q251+Q315+Q363</f>
        <v>726003.38000000035</v>
      </c>
      <c r="AM408" s="451"/>
      <c r="AN408" s="449">
        <f>AF408-AL408</f>
        <v>-159840.25000000035</v>
      </c>
      <c r="AO408" s="452">
        <f>IF(AL408=0,0,AN408/AL408)</f>
        <v>-0.22016460860003195</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937.84046875000001</v>
      </c>
      <c r="AF410" s="455">
        <f t="shared" ref="AF410:AF416" si="73">+SUMIF($C:$C,$V410,L:L)</f>
        <v>60021.79</v>
      </c>
      <c r="AG410" s="456" t="e">
        <f t="shared" ref="AG410:AG419" si="74">AE410-Y410</f>
        <v>#DIV/0!</v>
      </c>
      <c r="AH410" s="457">
        <f t="shared" ref="AH410:AH419" si="75">AF410-Z410</f>
        <v>60021.79</v>
      </c>
      <c r="AI410" s="458">
        <f t="shared" ref="AI410:AI419" si="76">IF(Z410=0,0,AH410/Z410)</f>
        <v>0</v>
      </c>
      <c r="AJ410" s="463"/>
      <c r="AK410" s="462">
        <f t="shared" ref="AK410:AK415" si="77">IF(AL410=0,0,AL410/(P$13+P$97))</f>
        <v>19.73746589895168</v>
      </c>
      <c r="AL410" s="455">
        <f>SUMIFS(BV_Data_An_Prec!$AM:$AM,BV_Data_An_Prec!$AQ:$AQ,$V410)</f>
        <v>68193.7</v>
      </c>
      <c r="AM410" s="459">
        <f>AE410-AK410</f>
        <v>918.10300285104836</v>
      </c>
      <c r="AN410" s="457">
        <f t="shared" ref="AN410:AN432" si="78">AF410-AL410</f>
        <v>-8171.9099999999962</v>
      </c>
      <c r="AO410" s="464">
        <f t="shared" ref="AO410:AO432" si="79">IF(AL410=0,0,AN410/AL410)</f>
        <v>-0.11983379696364908</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446.78578124999996</v>
      </c>
      <c r="AF411" s="439">
        <f t="shared" si="73"/>
        <v>28594.289999999997</v>
      </c>
      <c r="AG411" s="440" t="e">
        <f t="shared" si="74"/>
        <v>#DIV/0!</v>
      </c>
      <c r="AH411" s="441">
        <f t="shared" si="75"/>
        <v>28594.289999999997</v>
      </c>
      <c r="AI411" s="468">
        <f t="shared" si="76"/>
        <v>0</v>
      </c>
      <c r="AJ411" s="467"/>
      <c r="AK411" s="466">
        <f t="shared" si="77"/>
        <v>10.444842342609597</v>
      </c>
      <c r="AL411" s="439">
        <f>SUMIFS(BV_Data_An_Prec!$AM:$AM,BV_Data_An_Prec!$AQ:$AQ,$V411)</f>
        <v>36087.33</v>
      </c>
      <c r="AM411" s="459">
        <f t="shared" ref="AM411:AM416" si="80">AE411-AK411</f>
        <v>436.34093890739035</v>
      </c>
      <c r="AN411" s="441">
        <f t="shared" si="78"/>
        <v>-7493.0400000000045</v>
      </c>
      <c r="AO411" s="444">
        <f t="shared" si="79"/>
        <v>-0.20763630892061019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6.0723437499999999</v>
      </c>
      <c r="AF412" s="455">
        <f t="shared" si="73"/>
        <v>388.63</v>
      </c>
      <c r="AG412" s="456" t="e">
        <f t="shared" si="74"/>
        <v>#DIV/0!</v>
      </c>
      <c r="AH412" s="457">
        <f t="shared" si="75"/>
        <v>388.63</v>
      </c>
      <c r="AI412" s="458">
        <f t="shared" si="76"/>
        <v>0</v>
      </c>
      <c r="AJ412" s="463"/>
      <c r="AK412" s="462">
        <f t="shared" si="77"/>
        <v>1.173179480296461</v>
      </c>
      <c r="AL412" s="455">
        <f>SUMIFS(BV_Data_An_Prec!$AM:$AM,BV_Data_An_Prec!$AQ:$AQ,$V412)</f>
        <v>4053.38</v>
      </c>
      <c r="AM412" s="459">
        <f t="shared" si="80"/>
        <v>4.8991642697035385</v>
      </c>
      <c r="AN412" s="457">
        <f t="shared" si="78"/>
        <v>-3664.75</v>
      </c>
      <c r="AO412" s="464">
        <f t="shared" si="79"/>
        <v>-0.90412199201653931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14.815781250000001</v>
      </c>
      <c r="AF414" s="439">
        <f t="shared" si="73"/>
        <v>948.21</v>
      </c>
      <c r="AG414" s="440" t="e">
        <f t="shared" si="74"/>
        <v>#DIV/0!</v>
      </c>
      <c r="AH414" s="441">
        <f t="shared" si="75"/>
        <v>948.21</v>
      </c>
      <c r="AI414" s="468">
        <f t="shared" si="76"/>
        <v>0</v>
      </c>
      <c r="AJ414" s="467"/>
      <c r="AK414" s="466">
        <f t="shared" si="77"/>
        <v>0.19428438931060063</v>
      </c>
      <c r="AL414" s="439">
        <f>SUMIFS(BV_Data_An_Prec!$AM:$AM,BV_Data_An_Prec!$AQ:$AQ,$V414)</f>
        <v>671.26</v>
      </c>
      <c r="AM414" s="459">
        <f t="shared" si="80"/>
        <v>14.621496860689399</v>
      </c>
      <c r="AN414" s="441">
        <f t="shared" si="78"/>
        <v>276.95000000000005</v>
      </c>
      <c r="AO414" s="444">
        <f t="shared" si="79"/>
        <v>0.41258230789857886</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225.68703124999999</v>
      </c>
      <c r="AF415" s="455">
        <f t="shared" si="73"/>
        <v>14443.97</v>
      </c>
      <c r="AG415" s="456" t="e">
        <f t="shared" si="74"/>
        <v>#DIV/0!</v>
      </c>
      <c r="AH415" s="457">
        <f t="shared" si="75"/>
        <v>14443.97</v>
      </c>
      <c r="AI415" s="458">
        <f t="shared" si="76"/>
        <v>0</v>
      </c>
      <c r="AJ415" s="463"/>
      <c r="AK415" s="462">
        <f t="shared" si="77"/>
        <v>3.9872206702959123</v>
      </c>
      <c r="AL415" s="455">
        <f>SUMIFS(BV_Data_An_Prec!$AM:$AM,BV_Data_An_Prec!$AQ:$AQ,$V415)</f>
        <v>13776</v>
      </c>
      <c r="AM415" s="459">
        <f t="shared" si="80"/>
        <v>221.69981057970406</v>
      </c>
      <c r="AN415" s="457">
        <f t="shared" si="78"/>
        <v>667.96999999999935</v>
      </c>
      <c r="AO415" s="464">
        <f t="shared" si="79"/>
        <v>4.8487950058071959E-2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313.27648936170209</v>
      </c>
      <c r="AF416" s="455">
        <f t="shared" si="73"/>
        <v>29447.989999999998</v>
      </c>
      <c r="AG416" s="830" t="e">
        <f t="shared" si="74"/>
        <v>#DIV/0!</v>
      </c>
      <c r="AH416" s="778">
        <f t="shared" si="75"/>
        <v>29447.989999999998</v>
      </c>
      <c r="AI416" s="458">
        <f t="shared" si="76"/>
        <v>0</v>
      </c>
      <c r="AJ416" s="463"/>
      <c r="AK416" s="462">
        <f t="shared" ref="AK416:AK419" si="82">IF(AL416=0,0,AL416/(P$13+P$13))</f>
        <v>8.0389734889300506</v>
      </c>
      <c r="AL416" s="455">
        <f>SUMIFS(BV_Data_An_Prec!$AM:$AM,BV_Data_An_Prec!$AQ:$AQ,$V416)</f>
        <v>34682.21</v>
      </c>
      <c r="AM416" s="459">
        <f t="shared" si="80"/>
        <v>305.23751587277206</v>
      </c>
      <c r="AN416" s="457">
        <f t="shared" si="78"/>
        <v>-5234.2200000000012</v>
      </c>
      <c r="AO416" s="464">
        <f t="shared" si="79"/>
        <v>-0.15091944832811985</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0.23640691685451154</v>
      </c>
      <c r="AE420" s="470"/>
      <c r="AF420" s="472">
        <f>SUM(AF410:AF419)</f>
        <v>133844.88</v>
      </c>
      <c r="AG420" s="474"/>
      <c r="AH420" s="475">
        <f t="shared" ref="AH420:AH452" si="84">AF420-Z420</f>
        <v>133844.88</v>
      </c>
      <c r="AI420" s="471" t="e">
        <f>AH420/Z420</f>
        <v>#DIV/0!</v>
      </c>
      <c r="AJ420" s="473">
        <f>AL420/AL408</f>
        <v>0.21689138692439686</v>
      </c>
      <c r="AK420" s="470"/>
      <c r="AL420" s="1038">
        <f>SUM(AL410:AL419)</f>
        <v>157463.88</v>
      </c>
      <c r="AM420" s="476"/>
      <c r="AN420" s="475">
        <f t="shared" si="78"/>
        <v>-23619</v>
      </c>
      <c r="AO420" s="452">
        <f t="shared" si="79"/>
        <v>-0.1499963039142691</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40335.340000000004</v>
      </c>
      <c r="AG422" s="456"/>
      <c r="AH422" s="457">
        <f t="shared" si="84"/>
        <v>40335.340000000004</v>
      </c>
      <c r="AI422" s="458">
        <f t="shared" si="85"/>
        <v>0</v>
      </c>
      <c r="AJ422" s="463"/>
      <c r="AK422" s="462"/>
      <c r="AL422" s="455">
        <f>SUMIFS(BV_Data_An_Prec!$AM:$AM,BV_Data_An_Prec!$AQ:$AQ,$V422)</f>
        <v>50143.409999999996</v>
      </c>
      <c r="AM422" s="459"/>
      <c r="AN422" s="457">
        <f t="shared" si="78"/>
        <v>-9808.0699999999924</v>
      </c>
      <c r="AO422" s="464">
        <f t="shared" si="79"/>
        <v>-0.19560037899297222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61658.820000000007</v>
      </c>
      <c r="AG424" s="456"/>
      <c r="AH424" s="457">
        <f t="shared" si="84"/>
        <v>61658.820000000007</v>
      </c>
      <c r="AI424" s="458">
        <f t="shared" si="85"/>
        <v>0</v>
      </c>
      <c r="AJ424" s="463"/>
      <c r="AK424" s="462"/>
      <c r="AL424" s="455">
        <f>SUMIFS(BV_Data_An_Prec!$AM:$AM,BV_Data_An_Prec!$AQ:$AQ,$V424)</f>
        <v>73666.100000000006</v>
      </c>
      <c r="AM424" s="459"/>
      <c r="AN424" s="457">
        <f t="shared" si="78"/>
        <v>-12007.279999999999</v>
      </c>
      <c r="AO424" s="464">
        <f t="shared" si="79"/>
        <v>-0.16299600494664435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23755.61</v>
      </c>
      <c r="AG429" s="440"/>
      <c r="AH429" s="441">
        <f t="shared" si="84"/>
        <v>23755.61</v>
      </c>
      <c r="AI429" s="468">
        <f t="shared" si="85"/>
        <v>0</v>
      </c>
      <c r="AJ429" s="467"/>
      <c r="AK429" s="466"/>
      <c r="AL429" s="439">
        <f>SUMIFS(BV_Data_An_Prec!$AM:$AM,BV_Data_An_Prec!$AQ:$AQ,$V429)</f>
        <v>41661.879999999997</v>
      </c>
      <c r="AM429" s="443"/>
      <c r="AN429" s="441">
        <f t="shared" si="78"/>
        <v>-17906.269999999997</v>
      </c>
      <c r="AO429" s="444">
        <f t="shared" si="79"/>
        <v>-0.42979985540738913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38005.85</v>
      </c>
      <c r="AG430" s="456"/>
      <c r="AH430" s="457">
        <f t="shared" si="84"/>
        <v>38005.85</v>
      </c>
      <c r="AI430" s="458">
        <f t="shared" si="85"/>
        <v>0</v>
      </c>
      <c r="AJ430" s="463"/>
      <c r="AK430" s="462"/>
      <c r="AL430" s="455">
        <f>SUMIFS(BV_Data_An_Prec!$AM:$AM,BV_Data_An_Prec!$AQ:$AQ,$V430)</f>
        <v>49743.28</v>
      </c>
      <c r="AM430" s="459"/>
      <c r="AN430" s="457">
        <f t="shared" si="78"/>
        <v>-11737.43</v>
      </c>
      <c r="AO430" s="464">
        <f t="shared" si="79"/>
        <v>-0.23596011360730537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3953.9100000000003</v>
      </c>
      <c r="AG431" s="456"/>
      <c r="AH431" s="457">
        <f t="shared" si="84"/>
        <v>3953.9100000000003</v>
      </c>
      <c r="AI431" s="458">
        <f t="shared" si="85"/>
        <v>0</v>
      </c>
      <c r="AJ431" s="463"/>
      <c r="AK431" s="462"/>
      <c r="AL431" s="455">
        <f>SUMIFS(BV_Data_An_Prec!$AM:$AM,BV_Data_An_Prec!$AQ:$AQ,$V431)</f>
        <v>3335.6</v>
      </c>
      <c r="AM431" s="459"/>
      <c r="AN431" s="457">
        <f t="shared" si="78"/>
        <v>618.3100000000004</v>
      </c>
      <c r="AO431" s="464">
        <f t="shared" si="79"/>
        <v>0.18536695047367802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0.29622121454641526</v>
      </c>
      <c r="AE434" s="478"/>
      <c r="AF434" s="472">
        <f>SUM(AF421:AF433)</f>
        <v>167709.53</v>
      </c>
      <c r="AG434" s="474"/>
      <c r="AH434" s="475">
        <f t="shared" si="84"/>
        <v>167709.53</v>
      </c>
      <c r="AI434" s="471" t="e">
        <f>AH434/Z434</f>
        <v>#DIV/0!</v>
      </c>
      <c r="AJ434" s="473">
        <f>AL434/AL408</f>
        <v>0.3010320282530915</v>
      </c>
      <c r="AK434" s="478"/>
      <c r="AL434" s="1038">
        <f>SUM(AL421:AL433)</f>
        <v>218550.27000000002</v>
      </c>
      <c r="AM434" s="480"/>
      <c r="AN434" s="475">
        <f t="shared" ref="AN434:AN452" si="87">AF434-AL434</f>
        <v>-50840.74000000002</v>
      </c>
      <c r="AO434" s="452">
        <f t="shared" ref="AO434:AO462" si="88">IF(AL434=0,0,AN434/AL434)</f>
        <v>-0.23262721203684633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16166.55</v>
      </c>
      <c r="AG435" s="484"/>
      <c r="AH435" s="486">
        <f t="shared" si="84"/>
        <v>16166.55</v>
      </c>
      <c r="AI435" s="487">
        <f t="shared" ref="AI435:AI452" si="91">IF(Z435=0,0,AH435/Z435)</f>
        <v>0</v>
      </c>
      <c r="AJ435" s="484"/>
      <c r="AK435" s="485"/>
      <c r="AL435" s="483">
        <f>SUMIFS(BV_Data_An_Prec!$AM:$AM,BV_Data_An_Prec!$AQ:$AQ,$V435)</f>
        <v>7094.24</v>
      </c>
      <c r="AM435" s="488"/>
      <c r="AN435" s="486">
        <f t="shared" si="87"/>
        <v>9072.31</v>
      </c>
      <c r="AO435" s="460">
        <f t="shared" si="88"/>
        <v>1.278827612260087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-26533.7</v>
      </c>
      <c r="AG437" s="440"/>
      <c r="AH437" s="441">
        <f t="shared" si="84"/>
        <v>-26533.7</v>
      </c>
      <c r="AI437" s="468">
        <f t="shared" si="91"/>
        <v>0</v>
      </c>
      <c r="AJ437" s="467"/>
      <c r="AK437" s="466"/>
      <c r="AL437" s="439">
        <f>SUMIFS(BV_Data_An_Prec!$AM:$AM,BV_Data_An_Prec!$AQ:$AQ,$V437)</f>
        <v>-4235.1499999999996</v>
      </c>
      <c r="AM437" s="443"/>
      <c r="AN437" s="441">
        <f t="shared" si="87"/>
        <v>-22298.550000000003</v>
      </c>
      <c r="AO437" s="444">
        <f t="shared" si="88"/>
        <v>5.2651145768154626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7399.68</v>
      </c>
      <c r="AG438" s="456"/>
      <c r="AH438" s="457">
        <f t="shared" si="84"/>
        <v>7399.68</v>
      </c>
      <c r="AI438" s="458">
        <f t="shared" si="91"/>
        <v>0</v>
      </c>
      <c r="AJ438" s="463"/>
      <c r="AK438" s="462"/>
      <c r="AL438" s="455">
        <f>SUMIFS(BV_Data_An_Prec!$AM:$AM,BV_Data_An_Prec!$AQ:$AQ,$V438)</f>
        <v>7262.31</v>
      </c>
      <c r="AM438" s="459"/>
      <c r="AN438" s="457">
        <f t="shared" si="87"/>
        <v>137.36999999999989</v>
      </c>
      <c r="AO438" s="464">
        <f t="shared" si="88"/>
        <v>1.8915469044973276E-2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8173.93</v>
      </c>
      <c r="AG439" s="456"/>
      <c r="AH439" s="457">
        <f t="shared" si="84"/>
        <v>8173.93</v>
      </c>
      <c r="AI439" s="458">
        <f t="shared" si="91"/>
        <v>0</v>
      </c>
      <c r="AJ439" s="463"/>
      <c r="AK439" s="462"/>
      <c r="AL439" s="455">
        <f>SUMIFS(BV_Data_An_Prec!$AM:$AM,BV_Data_An_Prec!$AQ:$AQ,$V439)</f>
        <v>8463.52</v>
      </c>
      <c r="AM439" s="459"/>
      <c r="AN439" s="457">
        <f t="shared" si="87"/>
        <v>-289.59000000000015</v>
      </c>
      <c r="AO439" s="464">
        <f t="shared" si="88"/>
        <v>-3.4216259901317672E-2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33163.24</v>
      </c>
      <c r="AG440" s="456"/>
      <c r="AH440" s="457">
        <f t="shared" si="84"/>
        <v>33163.24</v>
      </c>
      <c r="AI440" s="458">
        <f t="shared" si="91"/>
        <v>0</v>
      </c>
      <c r="AJ440" s="463"/>
      <c r="AK440" s="462"/>
      <c r="AL440" s="455">
        <f>SUMIFS(BV_Data_An_Prec!$AM:$AM,BV_Data_An_Prec!$AQ:$AQ,$V440)</f>
        <v>24944.62</v>
      </c>
      <c r="AM440" s="459"/>
      <c r="AN440" s="457">
        <f t="shared" si="87"/>
        <v>8218.619999999999</v>
      </c>
      <c r="AO440" s="464">
        <f t="shared" si="88"/>
        <v>0.32947465224966344</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4872.16</v>
      </c>
      <c r="AG441" s="490"/>
      <c r="AH441" s="486">
        <f t="shared" si="84"/>
        <v>4872.16</v>
      </c>
      <c r="AI441" s="487">
        <f t="shared" si="91"/>
        <v>0</v>
      </c>
      <c r="AJ441" s="484"/>
      <c r="AK441" s="485"/>
      <c r="AL441" s="483">
        <f>SUMIFS(BV_Data_An_Prec!$AM:$AM,BV_Data_An_Prec!$AQ:$AQ,$V441)</f>
        <v>5444.81</v>
      </c>
      <c r="AM441" s="488"/>
      <c r="AN441" s="486">
        <f t="shared" si="87"/>
        <v>-572.65000000000055</v>
      </c>
      <c r="AO441" s="460">
        <f t="shared" si="88"/>
        <v>-0.10517355059221543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1849.85</v>
      </c>
      <c r="AG443" s="456"/>
      <c r="AH443" s="457">
        <f t="shared" si="84"/>
        <v>1849.85</v>
      </c>
      <c r="AI443" s="477">
        <f t="shared" si="91"/>
        <v>0</v>
      </c>
      <c r="AJ443" s="463"/>
      <c r="AK443" s="462"/>
      <c r="AL443" s="455">
        <f>SUMIFS(BV_Data_An_Prec!$AM:$AM,BV_Data_An_Prec!$AQ:$AQ,$V443)</f>
        <v>1632.83</v>
      </c>
      <c r="AM443" s="459"/>
      <c r="AN443" s="457">
        <f t="shared" si="87"/>
        <v>217.01999999999998</v>
      </c>
      <c r="AO443" s="464">
        <f t="shared" si="88"/>
        <v>0.13291034584126946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2727.0499999999997</v>
      </c>
      <c r="AG444" s="456"/>
      <c r="AH444" s="457">
        <f t="shared" si="84"/>
        <v>2727.0499999999997</v>
      </c>
      <c r="AI444" s="458">
        <f t="shared" si="91"/>
        <v>0</v>
      </c>
      <c r="AJ444" s="463"/>
      <c r="AK444" s="462"/>
      <c r="AL444" s="455">
        <f>SUMIFS(BV_Data_An_Prec!$AM:$AM,BV_Data_An_Prec!$AQ:$AQ,$V444)</f>
        <v>3699.1100000000006</v>
      </c>
      <c r="AM444" s="459"/>
      <c r="AN444" s="457">
        <f t="shared" si="87"/>
        <v>-972.06000000000085</v>
      </c>
      <c r="AO444" s="464">
        <f t="shared" si="88"/>
        <v>-0.26278212867419481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346.17</v>
      </c>
      <c r="AG445" s="456"/>
      <c r="AH445" s="457">
        <f t="shared" si="84"/>
        <v>346.17</v>
      </c>
      <c r="AI445" s="477">
        <f t="shared" si="91"/>
        <v>0</v>
      </c>
      <c r="AJ445" s="463"/>
      <c r="AK445" s="462"/>
      <c r="AL445" s="455">
        <f>SUMIFS(BV_Data_An_Prec!$AM:$AM,BV_Data_An_Prec!$AQ:$AQ,$V445)</f>
        <v>224.17000000000002</v>
      </c>
      <c r="AM445" s="459"/>
      <c r="AN445" s="457">
        <f t="shared" si="87"/>
        <v>122</v>
      </c>
      <c r="AO445" s="464">
        <f t="shared" si="88"/>
        <v>0.54422982557880173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102.37</v>
      </c>
      <c r="AG446" s="456"/>
      <c r="AH446" s="457">
        <f t="shared" si="84"/>
        <v>102.37</v>
      </c>
      <c r="AI446" s="458">
        <f t="shared" si="91"/>
        <v>0</v>
      </c>
      <c r="AJ446" s="463"/>
      <c r="AK446" s="462"/>
      <c r="AL446" s="455">
        <f>SUMIFS(BV_Data_An_Prec!$AM:$AM,BV_Data_An_Prec!$AQ:$AQ,$V446)</f>
        <v>62.93</v>
      </c>
      <c r="AM446" s="459"/>
      <c r="AN446" s="457">
        <f t="shared" si="87"/>
        <v>39.440000000000005</v>
      </c>
      <c r="AO446" s="464">
        <f t="shared" si="88"/>
        <v>0.6267281105990784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954.81</v>
      </c>
      <c r="AG447" s="456"/>
      <c r="AH447" s="457">
        <f t="shared" si="84"/>
        <v>954.81</v>
      </c>
      <c r="AI447" s="477">
        <f t="shared" si="91"/>
        <v>0</v>
      </c>
      <c r="AJ447" s="463"/>
      <c r="AK447" s="462"/>
      <c r="AL447" s="455">
        <f>SUMIFS(BV_Data_An_Prec!$AM:$AM,BV_Data_An_Prec!$AQ:$AQ,$V447)</f>
        <v>2209.6800000000003</v>
      </c>
      <c r="AM447" s="459"/>
      <c r="AN447" s="457">
        <f t="shared" si="87"/>
        <v>-1254.8700000000003</v>
      </c>
      <c r="AO447" s="464">
        <f t="shared" si="88"/>
        <v>-0.56789670902574141</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4202.75</v>
      </c>
      <c r="AG448" s="456"/>
      <c r="AH448" s="457">
        <f t="shared" si="84"/>
        <v>4202.75</v>
      </c>
      <c r="AI448" s="458">
        <f t="shared" si="91"/>
        <v>0</v>
      </c>
      <c r="AJ448" s="463"/>
      <c r="AK448" s="462"/>
      <c r="AL448" s="455">
        <f>SUMIFS(BV_Data_An_Prec!$AM:$AM,BV_Data_An_Prec!$AQ:$AQ,$V448)</f>
        <v>1550</v>
      </c>
      <c r="AM448" s="459"/>
      <c r="AN448" s="457">
        <f t="shared" si="87"/>
        <v>2652.75</v>
      </c>
      <c r="AO448" s="464">
        <f t="shared" si="88"/>
        <v>1.7114516129032258</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3934.36</v>
      </c>
      <c r="AG449" s="456"/>
      <c r="AH449" s="778">
        <f t="shared" si="84"/>
        <v>3934.36</v>
      </c>
      <c r="AI449" s="458">
        <f t="shared" si="91"/>
        <v>0</v>
      </c>
      <c r="AJ449" s="463"/>
      <c r="AK449" s="462"/>
      <c r="AL449" s="455">
        <f>SUMIFS(BV_Data_An_Prec!$AM:$AM,BV_Data_An_Prec!$AQ:$AQ,$V449)</f>
        <v>5410.24</v>
      </c>
      <c r="AM449" s="459"/>
      <c r="AN449" s="457">
        <f t="shared" si="87"/>
        <v>-1475.8799999999997</v>
      </c>
      <c r="AO449" s="464">
        <f t="shared" si="88"/>
        <v>-0.2727938132134618</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0.10131217834690154</v>
      </c>
      <c r="AE453" s="470"/>
      <c r="AF453" s="472">
        <f>+SUM(AF435:AF452)</f>
        <v>57359.22</v>
      </c>
      <c r="AG453" s="479"/>
      <c r="AH453" s="492">
        <f>+SUM(AH435:AH452)</f>
        <v>57359.22</v>
      </c>
      <c r="AI453" s="471" t="e">
        <f>AH453/Z453</f>
        <v>#DIV/0!</v>
      </c>
      <c r="AJ453" s="473">
        <f>AL453/AL408</f>
        <v>8.7827841793243391E-2</v>
      </c>
      <c r="AK453" s="470"/>
      <c r="AL453" s="472">
        <f>+SUM(AL435:AL452)</f>
        <v>63763.31</v>
      </c>
      <c r="AM453" s="480"/>
      <c r="AN453" s="475">
        <f>+SUM(AN435:AN452)</f>
        <v>-6404.0900000000056</v>
      </c>
      <c r="AO453" s="493">
        <f t="shared" si="88"/>
        <v>-0.10043534440103573</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97825</v>
      </c>
      <c r="AG454" s="456"/>
      <c r="AH454" s="457">
        <f t="shared" ref="AH454:AH462" si="92">AF454-Z454</f>
        <v>97825</v>
      </c>
      <c r="AI454" s="458">
        <f t="shared" ref="AI454:AI462" si="93">IF(Z454=0,0,AH454/Z454)</f>
        <v>0</v>
      </c>
      <c r="AJ454" s="463"/>
      <c r="AK454" s="462"/>
      <c r="AL454" s="455">
        <f>SUMIFS(BV_Data_An_Prec!$AM:$AM,BV_Data_An_Prec!$AQ:$AQ,$V454)</f>
        <v>130000</v>
      </c>
      <c r="AM454" s="459"/>
      <c r="AN454" s="457">
        <f t="shared" ref="AN454:AN462" si="94">AF454-AL454</f>
        <v>-32175</v>
      </c>
      <c r="AO454" s="464">
        <f t="shared" si="88"/>
        <v>-0.2475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23428.690000000002</v>
      </c>
      <c r="AG455" s="456"/>
      <c r="AH455" s="457">
        <f t="shared" si="92"/>
        <v>23428.690000000002</v>
      </c>
      <c r="AI455" s="458">
        <f t="shared" si="93"/>
        <v>0</v>
      </c>
      <c r="AJ455" s="463"/>
      <c r="AK455" s="462"/>
      <c r="AL455" s="455">
        <f>SUMIFS(BV_Data_An_Prec!$AM:$AM,BV_Data_An_Prec!$AQ:$AQ,$V455)</f>
        <v>44158.83</v>
      </c>
      <c r="AM455" s="459"/>
      <c r="AN455" s="457">
        <f t="shared" si="94"/>
        <v>-20730.14</v>
      </c>
      <c r="AO455" s="464">
        <f t="shared" si="88"/>
        <v>-0.46944495585594087</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3338.9700000000003</v>
      </c>
      <c r="AG458" s="440"/>
      <c r="AH458" s="441">
        <f t="shared" si="92"/>
        <v>3338.9700000000003</v>
      </c>
      <c r="AI458" s="468">
        <f t="shared" si="93"/>
        <v>0</v>
      </c>
      <c r="AJ458" s="467"/>
      <c r="AK458" s="466"/>
      <c r="AL458" s="439">
        <f>SUMIFS(BV_Data_An_Prec!$AM:$AM,BV_Data_An_Prec!$AQ:$AQ,$V458)</f>
        <v>4738.3899999999994</v>
      </c>
      <c r="AM458" s="443"/>
      <c r="AN458" s="441">
        <f t="shared" si="94"/>
        <v>-1399.4199999999992</v>
      </c>
      <c r="AO458" s="444">
        <f t="shared" si="88"/>
        <v>-0.29533660167271991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11413.699999999999</v>
      </c>
      <c r="AG459" s="456"/>
      <c r="AH459" s="457">
        <f t="shared" si="92"/>
        <v>11413.699999999999</v>
      </c>
      <c r="AI459" s="458">
        <f t="shared" si="93"/>
        <v>0</v>
      </c>
      <c r="AJ459" s="463"/>
      <c r="AK459" s="462"/>
      <c r="AL459" s="455">
        <f>SUMIFS(BV_Data_An_Prec!$AM:$AM,BV_Data_An_Prec!$AQ:$AQ,$V459)</f>
        <v>7625.42</v>
      </c>
      <c r="AM459" s="459"/>
      <c r="AN459" s="457">
        <f t="shared" si="94"/>
        <v>3788.2799999999988</v>
      </c>
      <c r="AO459" s="464">
        <f t="shared" si="88"/>
        <v>0.49679624204306105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1801.24</v>
      </c>
      <c r="AG460" s="456"/>
      <c r="AH460" s="457">
        <f t="shared" si="92"/>
        <v>1801.24</v>
      </c>
      <c r="AI460" s="458">
        <f t="shared" si="93"/>
        <v>0</v>
      </c>
      <c r="AJ460" s="463"/>
      <c r="AK460" s="462"/>
      <c r="AL460" s="455">
        <f>SUMIFS(BV_Data_An_Prec!$AM:$AM,BV_Data_An_Prec!$AQ:$AQ,$V460)</f>
        <v>5683.7000000000007</v>
      </c>
      <c r="AM460" s="459"/>
      <c r="AN460" s="457">
        <f t="shared" si="94"/>
        <v>-3882.4600000000009</v>
      </c>
      <c r="AO460" s="464">
        <f t="shared" si="88"/>
        <v>-0.6830867216777804</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0.24340617164526415</v>
      </c>
      <c r="AE467" s="470"/>
      <c r="AF467" s="472">
        <f>SUM(AF454:AF466)</f>
        <v>137807.6</v>
      </c>
      <c r="AG467" s="479"/>
      <c r="AH467" s="492">
        <f>SUM(AH454:AH466)</f>
        <v>137807.6</v>
      </c>
      <c r="AI467" s="471">
        <f>IF(Z467=0,0,AH467/Z467)</f>
        <v>0</v>
      </c>
      <c r="AJ467" s="473">
        <f>AL467/AL408</f>
        <v>0.26474579223033362</v>
      </c>
      <c r="AK467" s="470"/>
      <c r="AL467" s="472">
        <f>SUM(AL454:AL466)</f>
        <v>192206.34000000005</v>
      </c>
      <c r="AM467" s="480"/>
      <c r="AN467" s="475">
        <f>SUM(AN454:AN466)</f>
        <v>-54398.74</v>
      </c>
      <c r="AO467" s="493">
        <f t="shared" ref="AO467:AO484" si="95">IF(AL467=0,0,AN467/AL467)</f>
        <v>-0.28302260997217876</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0.87734648139309246</v>
      </c>
      <c r="AE469" s="470"/>
      <c r="AF469" s="472">
        <f>AF420+AF434+AF453+AF467</f>
        <v>496721.23</v>
      </c>
      <c r="AG469" s="479"/>
      <c r="AH469" s="492">
        <f t="shared" si="96"/>
        <v>496721.23</v>
      </c>
      <c r="AI469" s="471" t="e">
        <f>AH469/Z469</f>
        <v>#DIV/0!</v>
      </c>
      <c r="AJ469" s="473">
        <f>AL469/AL408</f>
        <v>0.8704970492010653</v>
      </c>
      <c r="AK469" s="470"/>
      <c r="AL469" s="472">
        <f>AL420+AL434+AL453+AL467</f>
        <v>631983.80000000005</v>
      </c>
      <c r="AM469" s="480"/>
      <c r="AN469" s="475">
        <f t="shared" si="97"/>
        <v>-135262.57000000007</v>
      </c>
      <c r="AO469" s="452">
        <f t="shared" si="95"/>
        <v>-0.214028539972069</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48926.41</v>
      </c>
      <c r="AG470" s="503"/>
      <c r="AH470" s="457">
        <f t="shared" si="96"/>
        <v>48926.41</v>
      </c>
      <c r="AI470" s="496" t="e">
        <f>IF(AH470=0,0,AH470/Z470)</f>
        <v>#DIV/0!</v>
      </c>
      <c r="AJ470" s="502"/>
      <c r="AK470" s="501"/>
      <c r="AL470" s="483">
        <f>-SUMIFS(BV_Data_An_Prec!$AM:$AM,BV_Data_An_Prec!$AQ:$AQ,$V470)</f>
        <v>37852.89</v>
      </c>
      <c r="AM470" s="505"/>
      <c r="AN470" s="457">
        <f t="shared" si="97"/>
        <v>11073.520000000004</v>
      </c>
      <c r="AO470" s="464">
        <f t="shared" si="95"/>
        <v>0.29254093941043879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43402</v>
      </c>
      <c r="AG471" s="508"/>
      <c r="AH471" s="457">
        <f t="shared" si="96"/>
        <v>43402</v>
      </c>
      <c r="AI471" s="477">
        <f>IF(Z471=0,0,AH471/Z471)</f>
        <v>0</v>
      </c>
      <c r="AJ471" s="506"/>
      <c r="AK471" s="507"/>
      <c r="AL471" s="455">
        <f>-SUMIFS(BV_Data_An_Prec!$AM:$AM,BV_Data_An_Prec!$AQ:$AQ,$V471)</f>
        <v>116817</v>
      </c>
      <c r="AM471" s="506"/>
      <c r="AN471" s="457">
        <f t="shared" si="97"/>
        <v>-73415</v>
      </c>
      <c r="AO471" s="464">
        <f t="shared" si="95"/>
        <v>-0.62846161089567443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0.16307739785174638</v>
      </c>
      <c r="AE482" s="491"/>
      <c r="AF482" s="472">
        <f>SUM(AF470:AF481)</f>
        <v>92328.41</v>
      </c>
      <c r="AG482" s="479"/>
      <c r="AH482" s="475">
        <f t="shared" si="96"/>
        <v>92328.41</v>
      </c>
      <c r="AI482" s="471" t="e">
        <f>AH482/Z482</f>
        <v>#DIV/0!</v>
      </c>
      <c r="AJ482" s="471">
        <f>AL482/+AL408</f>
        <v>0.21304293376705757</v>
      </c>
      <c r="AK482" s="491"/>
      <c r="AL482" s="472">
        <f>SUM(AL470:AL481)</f>
        <v>154669.89000000001</v>
      </c>
      <c r="AM482" s="512"/>
      <c r="AN482" s="475">
        <f t="shared" si="97"/>
        <v>-62341.48000000001</v>
      </c>
      <c r="AO482" s="493">
        <f t="shared" si="95"/>
        <v>-0.40306151378267613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4.0095523777466294E-2</v>
      </c>
      <c r="AF484" s="528">
        <f>AF408-AF469+AF482</f>
        <v>161770.31000000003</v>
      </c>
      <c r="AG484" s="530"/>
      <c r="AH484" s="530">
        <f>AF484-Z484</f>
        <v>161770.31000000003</v>
      </c>
      <c r="AI484" s="531" t="e">
        <f>AH484/Z484</f>
        <v>#DIV/0!</v>
      </c>
      <c r="AJ484" s="526" t="s">
        <v>215</v>
      </c>
      <c r="AK484" s="527">
        <f>AL484/AL407</f>
        <v>3.9983788564182228E-2</v>
      </c>
      <c r="AL484" s="528">
        <f>AL408-AL469+AL482</f>
        <v>248689.47000000032</v>
      </c>
      <c r="AM484" s="533"/>
      <c r="AN484" s="529">
        <f t="shared" si="97"/>
        <v>-86919.160000000295</v>
      </c>
      <c r="AO484" s="534">
        <f t="shared" si="95"/>
        <v>-0.34950880710791726</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Janvier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4.7394345070715896E-2</v>
      </c>
      <c r="AF489" s="882">
        <f>AF490+AF416</f>
        <v>191218.30000000002</v>
      </c>
      <c r="AG489" s="530"/>
      <c r="AH489" s="530">
        <f t="shared" ref="AH489" si="101">AF489-Z489</f>
        <v>191218.30000000002</v>
      </c>
      <c r="AI489" s="531" t="e">
        <f>AH489/Z489</f>
        <v>#DIV/0!</v>
      </c>
      <c r="AJ489" s="880" t="s">
        <v>215</v>
      </c>
      <c r="AK489" s="881">
        <f>IF($AL$407=0,0,AL489/$AL$407)</f>
        <v>4.555992394127948E-2</v>
      </c>
      <c r="AL489" s="882">
        <f>AL490+AL416</f>
        <v>283371.68000000034</v>
      </c>
      <c r="AM489" s="533"/>
      <c r="AN489" s="882">
        <f t="shared" ref="AN489" si="102">AF489-AL489</f>
        <v>-92153.380000000325</v>
      </c>
      <c r="AO489" s="883">
        <f t="shared" ref="AO489" si="103">IF(AL489=0,0,AN489/AL489)</f>
        <v>-0.32520321014435954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4.0095523777466294E-2</v>
      </c>
      <c r="AF490" s="528">
        <f>AF484</f>
        <v>161770.31000000003</v>
      </c>
      <c r="AG490" s="529"/>
      <c r="AH490" s="530">
        <f>AF490-Z490</f>
        <v>161770.31000000003</v>
      </c>
      <c r="AI490" s="531" t="e">
        <f>AH490/Z490</f>
        <v>#DIV/0!</v>
      </c>
      <c r="AJ490" s="526" t="s">
        <v>215</v>
      </c>
      <c r="AK490" s="527">
        <f>IF($AL$407=0,0,AL490/$AL$407)</f>
        <v>3.9983788564182228E-2</v>
      </c>
      <c r="AL490" s="528">
        <f>AL484</f>
        <v>248689.47000000032</v>
      </c>
      <c r="AM490" s="538"/>
      <c r="AN490" s="539">
        <f>AF490-AL490</f>
        <v>-86919.160000000295</v>
      </c>
      <c r="AO490" s="540">
        <f>IF(AL490=0,0,AN490/AL490)</f>
        <v>-0.34950880710791726</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3693.74</v>
      </c>
      <c r="AG492" s="454"/>
      <c r="AH492" s="457">
        <f t="shared" ref="AH492:AH499" si="104">AF492-Z492</f>
        <v>3693.74</v>
      </c>
      <c r="AI492" s="477">
        <f t="shared" ref="AI492:AI498" si="105">IF(Z492=0,0,AH492/Z492)</f>
        <v>0</v>
      </c>
      <c r="AJ492" s="454"/>
      <c r="AK492" s="462"/>
      <c r="AL492" s="455">
        <f>SUMIFS(BV_Data_An_Prec!$AM:$AM,BV_Data_An_Prec!$AQ:$AQ,$V492)</f>
        <v>4099.47</v>
      </c>
      <c r="AM492" s="459"/>
      <c r="AN492" s="457">
        <f t="shared" ref="AN492:AN499" si="106">AF492-AL492</f>
        <v>-405.73000000000047</v>
      </c>
      <c r="AO492" s="464">
        <f t="shared" ref="AO492:AO499" si="107">IF(AL492=0,0,AN492/AL492)</f>
        <v>-9.8971330440276534E-2</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-10998.63</v>
      </c>
      <c r="AG497" s="456"/>
      <c r="AH497" s="457">
        <f t="shared" si="104"/>
        <v>-10998.63</v>
      </c>
      <c r="AI497" s="458">
        <f t="shared" si="105"/>
        <v>0</v>
      </c>
      <c r="AJ497" s="463"/>
      <c r="AK497" s="462"/>
      <c r="AL497" s="455">
        <f>SUMIFS(BV_Data_An_Prec!$AM:$AM,BV_Data_An_Prec!$AQ:$AQ,$V497)</f>
        <v>0</v>
      </c>
      <c r="AM497" s="545"/>
      <c r="AN497" s="457">
        <f t="shared" si="106"/>
        <v>-10998.63</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4.1906074741278977E-2</v>
      </c>
      <c r="AF499" s="528">
        <f>AF490-AF492-AF493-AF494-AF498-AF497</f>
        <v>169075.20000000004</v>
      </c>
      <c r="AG499" s="530"/>
      <c r="AH499" s="530">
        <f t="shared" si="104"/>
        <v>169075.20000000004</v>
      </c>
      <c r="AI499" s="531" t="e">
        <f>AH499/Z499</f>
        <v>#DIV/0!</v>
      </c>
      <c r="AJ499" s="526" t="s">
        <v>215</v>
      </c>
      <c r="AK499" s="527">
        <f>IF($AL$407=0,0,AL499/$AL$407)</f>
        <v>3.932468409262898E-2</v>
      </c>
      <c r="AL499" s="528">
        <f>AL490-AL492-AL493-AL494-AL498-AL497</f>
        <v>244590.00000000032</v>
      </c>
      <c r="AM499" s="533"/>
      <c r="AN499" s="529">
        <f t="shared" si="106"/>
        <v>-75514.800000000279</v>
      </c>
      <c r="AO499" s="547">
        <f t="shared" si="107"/>
        <v>-0.30874034097878156</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Janvier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2324926.6199999996</v>
      </c>
      <c r="M5" s="250"/>
      <c r="N5" s="251"/>
      <c r="O5" s="245"/>
      <c r="P5" s="249"/>
      <c r="Q5" s="247">
        <f>-SUMIFS(BV_Data_An_Prec!$AN:$AN,BV_Data_An_Prec!$AS:$AS,"Oui",BV_Data_An_Prec!$AP:$AP,$B5)</f>
        <v>3974379.0300000003</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7</v>
      </c>
      <c r="K6" s="253">
        <f t="shared" ref="K6:K12" si="3">IF(J6=0,0,L6/J6)</f>
        <v>1735.6157142857151</v>
      </c>
      <c r="L6" s="255">
        <f>-SUMIFS(BV_Data_An_Cour!$AN:$AN,BV_Data_An_Cour!$AP:$AP,$B6,BV_Data_An_Cour!$AQ:$AQ,$C6,BV_Data_An_Cour!$AR:$AR,L$2)</f>
        <v>12149.310000000005</v>
      </c>
      <c r="M6" s="254">
        <f t="shared" ref="M6:M12" si="4">J6-D6</f>
        <v>7</v>
      </c>
      <c r="N6" s="255">
        <f t="shared" ref="N6:N12" si="5">L6-F6</f>
        <v>12149.310000000005</v>
      </c>
      <c r="O6" s="254">
        <f>SUMIFS(BV_Data_An_Prec!$AX:$AX,BV_Data_An_Prec!$AP:$AP,$B6,BV_Data_An_Prec!$AQ:$AQ,$C6,BV_Data_An_Prec!$AY:$AY,O$2)</f>
        <v>8</v>
      </c>
      <c r="P6" s="253">
        <f t="shared" ref="P6:P12" si="6">IF(O6=0,0,Q6/O6)</f>
        <v>1824.5962499999987</v>
      </c>
      <c r="Q6" s="255">
        <f>-SUMIFS(BV_Data_An_Prec!$AN:$AN,BV_Data_An_Prec!$AP:$AP,$B6,BV_Data_An_Prec!$AQ:$AQ,$C6,BV_Data_An_Prec!$AR:$AR,Q$2)</f>
        <v>14596.76999999999</v>
      </c>
      <c r="R6" s="254">
        <f t="shared" ref="R6:R12" si="7">J6-O6</f>
        <v>-1</v>
      </c>
      <c r="S6" s="255">
        <f t="shared" ref="S6:S12" si="8">L6-Q6</f>
        <v>-2447.4599999999846</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37</v>
      </c>
      <c r="K7" s="253">
        <f t="shared" si="3"/>
        <v>1774.3675675675638</v>
      </c>
      <c r="L7" s="255">
        <f>-SUMIFS(BV_Data_An_Cour!$AN:$AN,BV_Data_An_Cour!$AP:$AP,$B7,BV_Data_An_Cour!$AQ:$AQ,$C7,BV_Data_An_Cour!$AR:$AR,L$2)</f>
        <v>65651.59999999986</v>
      </c>
      <c r="M7" s="254">
        <f t="shared" si="4"/>
        <v>37</v>
      </c>
      <c r="N7" s="255">
        <f t="shared" si="5"/>
        <v>65651.59999999986</v>
      </c>
      <c r="O7" s="254">
        <f>SUMIFS(BV_Data_An_Prec!$AX:$AX,BV_Data_An_Prec!$AP:$AP,$B7,BV_Data_An_Prec!$AQ:$AQ,$C7,BV_Data_An_Prec!$AY:$AY,O$2)</f>
        <v>39</v>
      </c>
      <c r="P7" s="253">
        <f t="shared" si="6"/>
        <v>2469.9800000000032</v>
      </c>
      <c r="Q7" s="255">
        <f>-SUMIFS(BV_Data_An_Prec!$AN:$AN,BV_Data_An_Prec!$AP:$AP,$B7,BV_Data_An_Prec!$AQ:$AQ,$C7,BV_Data_An_Prec!$AR:$AR,Q$2)</f>
        <v>96329.220000000118</v>
      </c>
      <c r="R7" s="254">
        <f t="shared" si="7"/>
        <v>-2</v>
      </c>
      <c r="S7" s="255">
        <f t="shared" si="8"/>
        <v>-30677.620000000257</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3</v>
      </c>
      <c r="K8" s="253">
        <f t="shared" si="3"/>
        <v>578.32666666667012</v>
      </c>
      <c r="L8" s="255">
        <f>-SUMIFS(BV_Data_An_Cour!$AN:$AN,BV_Data_An_Cour!$AP:$AP,$B8,BV_Data_An_Cour!$AQ:$AQ,$C8,BV_Data_An_Cour!$AR:$AR,L$2)</f>
        <v>1734.9800000000105</v>
      </c>
      <c r="M8" s="254">
        <f t="shared" si="4"/>
        <v>3</v>
      </c>
      <c r="N8" s="255">
        <f t="shared" si="5"/>
        <v>1734.9800000000105</v>
      </c>
      <c r="O8" s="254">
        <f>SUMIFS(BV_Data_An_Prec!$AX:$AX,BV_Data_An_Prec!$AP:$AP,$B8,BV_Data_An_Prec!$AQ:$AQ,$C8,BV_Data_An_Prec!$AY:$AY,O$2)</f>
        <v>35</v>
      </c>
      <c r="P8" s="253">
        <f t="shared" si="6"/>
        <v>1843.2182857142952</v>
      </c>
      <c r="Q8" s="255">
        <f>-SUMIFS(BV_Data_An_Prec!$AN:$AN,BV_Data_An_Prec!$AP:$AP,$B8,BV_Data_An_Prec!$AQ:$AQ,$C8,BV_Data_An_Prec!$AR:$AR,Q$2)</f>
        <v>64512.640000000334</v>
      </c>
      <c r="R8" s="254">
        <f t="shared" si="7"/>
        <v>-32</v>
      </c>
      <c r="S8" s="255">
        <f t="shared" si="8"/>
        <v>-62777.660000000324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0</v>
      </c>
      <c r="K9" s="253">
        <f t="shared" si="3"/>
        <v>0</v>
      </c>
      <c r="L9" s="255">
        <f>-SUMIFS(BV_Data_An_Cour!$AN:$AN,BV_Data_An_Cour!$AP:$AP,$B9,BV_Data_An_Cour!$AQ:$AQ,$C9,BV_Data_An_Cour!$AR:$AR,L$2)</f>
        <v>0</v>
      </c>
      <c r="M9" s="254">
        <f t="shared" si="4"/>
        <v>0</v>
      </c>
      <c r="N9" s="255">
        <f t="shared" si="5"/>
        <v>0</v>
      </c>
      <c r="O9" s="254">
        <f>SUMIFS(BV_Data_An_Prec!$AX:$AX,BV_Data_An_Prec!$AP:$AP,$B9,BV_Data_An_Prec!$AQ:$AQ,$C9,BV_Data_An_Prec!$AY:$AY,O$2)</f>
        <v>2</v>
      </c>
      <c r="P9" s="253">
        <f t="shared" si="6"/>
        <v>722.98500000000058</v>
      </c>
      <c r="Q9" s="255">
        <f>-SUMIFS(BV_Data_An_Prec!$AN:$AN,BV_Data_An_Prec!$AP:$AP,$B9,BV_Data_An_Prec!$AQ:$AQ,$C9,BV_Data_An_Prec!$AR:$AR,Q$2)</f>
        <v>1445.9700000000012</v>
      </c>
      <c r="R9" s="254">
        <f t="shared" si="7"/>
        <v>-2</v>
      </c>
      <c r="S9" s="255">
        <f t="shared" si="8"/>
        <v>-1445.9700000000012</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47</v>
      </c>
      <c r="K13" s="259">
        <f>IF(J13&lt;=0,0,L13/J13)</f>
        <v>1692.2529787234014</v>
      </c>
      <c r="L13" s="260">
        <f t="shared" ref="L13" si="10">+SUM(L6:L12)</f>
        <v>79535.889999999868</v>
      </c>
      <c r="M13" s="261">
        <f>+SUM(M6:M12)</f>
        <v>47</v>
      </c>
      <c r="N13" s="260">
        <f t="shared" ref="N13" si="11">+SUM(N6:N12)</f>
        <v>79535.889999999868</v>
      </c>
      <c r="O13" s="261">
        <f>+SUM(O6:O8)</f>
        <v>82</v>
      </c>
      <c r="P13" s="259">
        <f>IF(O13&lt;=0,0,Q13/O13)</f>
        <v>2157.1292682926883</v>
      </c>
      <c r="Q13" s="260">
        <f t="shared" ref="Q13" si="12">+SUM(Q6:Q12)</f>
        <v>176884.60000000044</v>
      </c>
      <c r="R13" s="261">
        <f t="shared" ref="R13:S13" si="13">+SUM(R6:R12)</f>
        <v>-37</v>
      </c>
      <c r="S13" s="260">
        <f t="shared" si="13"/>
        <v>-97348.710000000574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-0.45121951219512196</v>
      </c>
      <c r="S14" s="264">
        <f>IF(Q13=0,0,(S13/Q13))</f>
        <v>-0.5503515286237487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8</v>
      </c>
      <c r="K17" s="253">
        <f>IF(J17=0,0,L17/J17)</f>
        <v>832.43250000000262</v>
      </c>
      <c r="L17" s="255">
        <f>-SUMIFS(BV_Data_An_Cour!$AN:$AN,BV_Data_An_Cour!$AP:$AP,$B17,BV_Data_An_Cour!$AQ:$AQ,$C17,BV_Data_An_Cour!$AR:$AR,L$2)</f>
        <v>6659.460000000021</v>
      </c>
      <c r="M17" s="266">
        <f>J17-D17</f>
        <v>8</v>
      </c>
      <c r="N17" s="255">
        <f>L17-F17</f>
        <v>6659.460000000021</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8</v>
      </c>
      <c r="S17" s="255">
        <f>L17-Q17</f>
        <v>6659.460000000021</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55.366808510638293</v>
      </c>
      <c r="L21" s="255">
        <f>-SUMIFS(BV_Data_An_Cour!$AN:$AN,BV_Data_An_Cour!$AP:$AP,$B21,BV_Data_An_Cour!$AQ:$AQ,$C21,BV_Data_An_Cour!$AR:$AR,L$2)</f>
        <v>2602.2399999999998</v>
      </c>
      <c r="M21" s="254"/>
      <c r="N21" s="255">
        <f>L21-F21</f>
        <v>2602.2399999999998</v>
      </c>
      <c r="O21" s="254"/>
      <c r="P21" s="253">
        <f>IF(O13=0,0,Q21/(O13+O15))</f>
        <v>0.31902439024390244</v>
      </c>
      <c r="Q21" s="255">
        <f>-SUMIFS(BV_Data_An_Prec!$AN:$AN,BV_Data_An_Prec!$AP:$AP,$B21,BV_Data_An_Prec!$AQ:$AQ,$C21,BV_Data_An_Prec!$AR:$AR,Q$2)</f>
        <v>26.16</v>
      </c>
      <c r="R21" s="254">
        <f t="shared" ref="R21:R23" si="14">O21-K21</f>
        <v>-55.366808510638293</v>
      </c>
      <c r="S21" s="255">
        <f t="shared" ref="S21:S24" si="15">L21-Q21</f>
        <v>2576.08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1463.9042553191489</v>
      </c>
      <c r="L22" s="255">
        <f>-SUMIFS(BV_Data_An_Cour!$AN:$AN,BV_Data_An_Cour!$AP:$AP,$B22,BV_Data_An_Cour!$AQ:$AQ,$C22,BV_Data_An_Cour!$AR:$AR,L$2)</f>
        <v>68803.5</v>
      </c>
      <c r="M22" s="254"/>
      <c r="N22" s="255">
        <f>L22-F22</f>
        <v>68803.5</v>
      </c>
      <c r="O22" s="254"/>
      <c r="P22" s="253">
        <f>IF(O13=0,0,Q22/(O13+O15))</f>
        <v>1064.9287804878049</v>
      </c>
      <c r="Q22" s="255">
        <f>-SUMIFS(BV_Data_An_Prec!$AN:$AN,BV_Data_An_Prec!$AP:$AP,$B22,BV_Data_An_Prec!$AQ:$AQ,$C22,BV_Data_An_Prec!$AR:$AR,Q$2)</f>
        <v>87324.160000000003</v>
      </c>
      <c r="R22" s="254">
        <f t="shared" si="14"/>
        <v>-1463.9042553191489</v>
      </c>
      <c r="S22" s="255">
        <f t="shared" si="15"/>
        <v>-18520.660000000003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47</v>
      </c>
      <c r="K24" s="259">
        <f>IF(J24&lt;=0,0,L24/J24)</f>
        <v>1519.2710638297874</v>
      </c>
      <c r="L24" s="260">
        <f>L21+L22+L23</f>
        <v>71405.740000000005</v>
      </c>
      <c r="M24" s="274">
        <f>J24-D24</f>
        <v>47</v>
      </c>
      <c r="N24" s="260">
        <f>L24-F24</f>
        <v>71405.740000000005</v>
      </c>
      <c r="O24" s="261">
        <f>+O15+O13</f>
        <v>82</v>
      </c>
      <c r="P24" s="259">
        <f>IF(O24&lt;=0,0,Q24/O24)</f>
        <v>1065.2478048780488</v>
      </c>
      <c r="Q24" s="260">
        <f>Q21+Q22+Q23</f>
        <v>87350.32</v>
      </c>
      <c r="R24" s="272"/>
      <c r="S24" s="260">
        <f t="shared" si="15"/>
        <v>-15944.580000000002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-0.18253602276442721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55</v>
      </c>
      <c r="K27" s="279">
        <f>IF(J27&lt;=0,0,L27/J27)</f>
        <v>2865.4743636363619</v>
      </c>
      <c r="L27" s="280">
        <f>L13+L17+L24+L19+L15</f>
        <v>157601.08999999991</v>
      </c>
      <c r="M27" s="281">
        <f>J27-D27</f>
        <v>55</v>
      </c>
      <c r="N27" s="280">
        <f>L27-F27</f>
        <v>157601.08999999991</v>
      </c>
      <c r="O27" s="281">
        <f>+O13+O15+O17</f>
        <v>82</v>
      </c>
      <c r="P27" s="279">
        <f>IF(O27&lt;=0,0,Q27/O27)</f>
        <v>3222.3770731707373</v>
      </c>
      <c r="Q27" s="280">
        <f>Q13+Q17+Q24+Q19+Q15</f>
        <v>264234.92000000045</v>
      </c>
      <c r="R27" s="281">
        <f>J27-O27</f>
        <v>-27</v>
      </c>
      <c r="S27" s="280">
        <f>L27-Q27</f>
        <v>-106633.83000000054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92.21332542814288</v>
      </c>
      <c r="R28" s="285">
        <f>R27/O27</f>
        <v>-0.32926829268292684</v>
      </c>
      <c r="S28" s="286">
        <f>IF(Q27=0,0,S27/Q27)</f>
        <v>-0.4035569182150503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0.49790551346447404</v>
      </c>
      <c r="K31" s="290">
        <f t="shared" ref="K31:K40" si="17">IF(L31=0,0,L31/J$24)</f>
        <v>913.13063829787234</v>
      </c>
      <c r="L31" s="253">
        <f>SUMIFS(BV_Data_An_Cour!$AN:$AN,BV_Data_An_Cour!$AP:$AP,$B31,BV_Data_An_Cour!$AQ:$AQ,$C31,BV_Data_An_Cour!$AR:$AR,L$2)</f>
        <v>42917.14</v>
      </c>
      <c r="M31" s="252"/>
      <c r="N31" s="275">
        <f t="shared" ref="N31:N53" si="18">L31-F31</f>
        <v>42917.14</v>
      </c>
      <c r="O31" s="291">
        <f>Q31/(Q13+Q15+Q17)</f>
        <v>0.33609500205218457</v>
      </c>
      <c r="P31" s="290">
        <f t="shared" ref="P31:P40" si="19">IF(Q31=0,0,Q31/O$24)</f>
        <v>725.00036585365854</v>
      </c>
      <c r="Q31" s="253">
        <f>SUMIFS(BV_Data_An_Prec!$AN:$AN,BV_Data_An_Prec!$AP:$AP,$B31,BV_Data_An_Prec!$AQ:$AQ,$C31,BV_Data_An_Prec!$AR:$AR,Q$2)</f>
        <v>59450.03</v>
      </c>
      <c r="R31" s="252"/>
      <c r="S31" s="275">
        <f t="shared" ref="S31:S41" si="20">L31-Q31</f>
        <v>-16532.89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0.31799852504854648</v>
      </c>
      <c r="K32" s="293">
        <f t="shared" si="17"/>
        <v>483.12595744680846</v>
      </c>
      <c r="L32" s="247">
        <f>SUMIFS(BV_Data_An_Cour!$AN:$AN,BV_Data_An_Cour!$AP:$AP,$B32,BV_Data_An_Cour!$AQ:$AQ,$C32,BV_Data_An_Cour!$AR:$AR,L$2)</f>
        <v>22706.92</v>
      </c>
      <c r="M32" s="245"/>
      <c r="N32" s="295">
        <f t="shared" si="18"/>
        <v>22706.92</v>
      </c>
      <c r="O32" s="294">
        <f>Q32/Q24</f>
        <v>0.35690779381231796</v>
      </c>
      <c r="P32" s="293">
        <f t="shared" si="19"/>
        <v>380.19524390243902</v>
      </c>
      <c r="Q32" s="247">
        <f>SUMIFS(BV_Data_An_Prec!$AN:$AN,BV_Data_An_Prec!$AP:$AP,$B32,BV_Data_An_Prec!$AQ:$AQ,$C32,BV_Data_An_Prec!$AR:$AR,Q$2)</f>
        <v>31176.01</v>
      </c>
      <c r="R32" s="245"/>
      <c r="S32" s="295">
        <f t="shared" si="20"/>
        <v>-8469.09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6.2214893617021279</v>
      </c>
      <c r="L33" s="253">
        <f>SUMIFS(BV_Data_An_Cour!$AN:$AN,BV_Data_An_Cour!$AP:$AP,$B33,BV_Data_An_Cour!$AQ:$AQ,$C33,BV_Data_An_Cour!$AR:$AR,L$2)</f>
        <v>292.41000000000003</v>
      </c>
      <c r="M33" s="252"/>
      <c r="N33" s="275">
        <f t="shared" si="18"/>
        <v>292.41000000000003</v>
      </c>
      <c r="O33" s="252"/>
      <c r="P33" s="290">
        <f t="shared" si="19"/>
        <v>49.431463414634145</v>
      </c>
      <c r="Q33" s="253">
        <f>SUMIFS(BV_Data_An_Prec!$AN:$AN,BV_Data_An_Prec!$AP:$AP,$B33,BV_Data_An_Prec!$AQ:$AQ,$C33,BV_Data_An_Prec!$AR:$AR,Q$2)</f>
        <v>4053.38</v>
      </c>
      <c r="R33" s="252"/>
      <c r="S33" s="275">
        <f t="shared" si="20"/>
        <v>-3760.9700000000003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20.17468085106383</v>
      </c>
      <c r="L35" s="247">
        <f>SUMIFS(BV_Data_An_Cour!$AN:$AN,BV_Data_An_Cour!$AP:$AP,$B35,BV_Data_An_Cour!$AQ:$AQ,$C35,BV_Data_An_Cour!$AR:$AR,L$2)</f>
        <v>948.21</v>
      </c>
      <c r="M35" s="245"/>
      <c r="N35" s="295">
        <f t="shared" si="18"/>
        <v>948.21</v>
      </c>
      <c r="O35" s="245"/>
      <c r="P35" s="293">
        <f t="shared" si="19"/>
        <v>3.5182926829268291</v>
      </c>
      <c r="Q35" s="247">
        <f>SUMIFS(BV_Data_An_Prec!$AN:$AN,BV_Data_An_Prec!$AP:$AP,$B35,BV_Data_An_Prec!$AQ:$AQ,$C35,BV_Data_An_Prec!$AR:$AR,Q$2)</f>
        <v>288.5</v>
      </c>
      <c r="R35" s="245"/>
      <c r="S35" s="295">
        <f t="shared" si="20"/>
        <v>659.71</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284.45744680851061</v>
      </c>
      <c r="L36" s="300">
        <f>SUMIFS(BV_Data_An_Cour!$AN:$AN,BV_Data_An_Cour!$AP:$AP,$B36,BV_Data_An_Cour!$AQ:$AQ,$C36,BV_Data_An_Cour!$AR:$AR,L$2)</f>
        <v>13369.5</v>
      </c>
      <c r="M36" s="41"/>
      <c r="N36" s="275">
        <f t="shared" si="18"/>
        <v>13369.5</v>
      </c>
      <c r="O36" s="252"/>
      <c r="P36" s="290">
        <f t="shared" si="19"/>
        <v>163.21951219512195</v>
      </c>
      <c r="Q36" s="300">
        <f>SUMIFS(BV_Data_An_Prec!$AN:$AN,BV_Data_An_Prec!$AP:$AP,$B36,BV_Data_An_Prec!$AQ:$AQ,$C36,BV_Data_An_Prec!$AR:$AR,Q$2)</f>
        <v>13384</v>
      </c>
      <c r="R36" s="252"/>
      <c r="S36" s="275">
        <f t="shared" si="20"/>
        <v>-14.5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583.81787234042554</v>
      </c>
      <c r="L37" s="768">
        <f>SUMIFS(BV_Data_An_Cour!$AN:$AN,BV_Data_An_Cour!$AP:$AP,$B37,BV_Data_An_Cour!$AQ:$AQ,$C37,BV_Data_An_Cour!$AR:$AR,L$2)</f>
        <v>27439.439999999999</v>
      </c>
      <c r="M37" s="800"/>
      <c r="N37" s="777">
        <f t="shared" si="18"/>
        <v>27439.439999999999</v>
      </c>
      <c r="O37" s="252"/>
      <c r="P37" s="290">
        <f t="shared" si="19"/>
        <v>422.95378048780486</v>
      </c>
      <c r="Q37" s="768">
        <f>SUMIFS(BV_Data_An_Prec!$AN:$AN,BV_Data_An_Prec!$AP:$AP,$B37,BV_Data_An_Prec!$AQ:$AQ,$C37,BV_Data_An_Prec!$AR:$AR,Q$2)</f>
        <v>34682.21</v>
      </c>
      <c r="R37" s="252"/>
      <c r="S37" s="275">
        <f t="shared" si="20"/>
        <v>-7242.77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0.68320352352893032</v>
      </c>
      <c r="L41" s="306">
        <f>SUM(L31:L40)</f>
        <v>107673.62000000001</v>
      </c>
      <c r="M41" s="308"/>
      <c r="N41" s="306">
        <f t="shared" si="18"/>
        <v>107673.62000000001</v>
      </c>
      <c r="O41" s="307" t="s">
        <v>115</v>
      </c>
      <c r="P41" s="305">
        <f>Q41/Q$27</f>
        <v>0.54131425929623445</v>
      </c>
      <c r="Q41" s="306">
        <f>SUM(Q31:Q40)</f>
        <v>143034.13</v>
      </c>
      <c r="R41" s="309"/>
      <c r="S41" s="306">
        <f t="shared" si="20"/>
        <v>-35360.509999999995</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14286.7</v>
      </c>
      <c r="M42" s="252"/>
      <c r="N42" s="275">
        <f t="shared" si="18"/>
        <v>14286.7</v>
      </c>
      <c r="O42" s="252"/>
      <c r="P42" s="41"/>
      <c r="Q42" s="253">
        <f>SUMIFS(BV_Data_An_Prec!$AN:$AN,BV_Data_An_Prec!$AP:$AP,$B42,BV_Data_An_Prec!$AQ:$AQ,$C42,BV_Data_An_Prec!$AR:$AR,Q$2)</f>
        <v>24606.94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2751.68</v>
      </c>
      <c r="M44" s="240"/>
      <c r="N44" s="315">
        <f t="shared" si="18"/>
        <v>2751.68</v>
      </c>
      <c r="O44" s="240"/>
      <c r="P44" s="313"/>
      <c r="Q44" s="271">
        <f>SUMIFS(BV_Data_An_Prec!$AN:$AN,BV_Data_An_Prec!$AP:$AP,$B44,BV_Data_An_Prec!$AQ:$AQ,$C44,BV_Data_An_Prec!$AR:$AR,Q$2)</f>
        <v>3653.9</v>
      </c>
      <c r="R44" s="240"/>
      <c r="S44" s="315">
        <f t="shared" si="21"/>
        <v>-902.22000000000025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6840.53</v>
      </c>
      <c r="M49" s="252"/>
      <c r="N49" s="275">
        <f t="shared" si="18"/>
        <v>6840.53</v>
      </c>
      <c r="O49" s="252"/>
      <c r="P49" s="41"/>
      <c r="Q49" s="247">
        <f>SUMIFS(BV_Data_An_Prec!$AN:$AN,BV_Data_An_Prec!$AP:$AP,$B49,BV_Data_An_Prec!$AQ:$AQ,$C49,BV_Data_An_Prec!$AR:$AR,Q$2)</f>
        <v>13085.27</v>
      </c>
      <c r="R49" s="252"/>
      <c r="S49" s="275">
        <f t="shared" si="21"/>
        <v>-6244.7400000000007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15423.71</v>
      </c>
      <c r="M50" s="240"/>
      <c r="N50" s="315">
        <f t="shared" si="18"/>
        <v>15423.71</v>
      </c>
      <c r="O50" s="240"/>
      <c r="P50" s="313"/>
      <c r="Q50" s="255">
        <f>SUMIFS(BV_Data_An_Prec!$AN:$AN,BV_Data_An_Prec!$AP:$AP,$B50,BV_Data_An_Prec!$AQ:$AQ,$C50,BV_Data_An_Prec!$AR:$AR,Q$2)</f>
        <v>23183.05</v>
      </c>
      <c r="R50" s="240"/>
      <c r="S50" s="315">
        <f t="shared" si="21"/>
        <v>-7759.34</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1607.52</v>
      </c>
      <c r="M51" s="252"/>
      <c r="N51" s="275">
        <f t="shared" si="18"/>
        <v>1607.52</v>
      </c>
      <c r="O51" s="252"/>
      <c r="P51" s="41"/>
      <c r="Q51" s="255">
        <f>SUMIFS(BV_Data_An_Prec!$AN:$AN,BV_Data_An_Prec!$AP:$AP,$B51,BV_Data_An_Prec!$AQ:$AQ,$C51,BV_Data_An_Prec!$AR:$AR,Q$2)</f>
        <v>1431.35</v>
      </c>
      <c r="R51" s="252"/>
      <c r="S51" s="275">
        <f t="shared" si="21"/>
        <v>176.17000000000007</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0.25958031127830405</v>
      </c>
      <c r="L54" s="306">
        <f>+SUM(L42:L53)</f>
        <v>40910.139999999992</v>
      </c>
      <c r="M54" s="309"/>
      <c r="N54" s="306">
        <f>+SUM(N42:N53)</f>
        <v>40910.139999999992</v>
      </c>
      <c r="O54" s="307" t="s">
        <v>115</v>
      </c>
      <c r="P54" s="305">
        <f>Q54/Q$27</f>
        <v>0.24962828531520323</v>
      </c>
      <c r="Q54" s="306">
        <f>+SUM(Q42:Q53)</f>
        <v>65960.510000000009</v>
      </c>
      <c r="R54" s="309"/>
      <c r="S54" s="306">
        <f>+SUM(S42:S53)</f>
        <v>-14730.130000000001</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1656.36</v>
      </c>
      <c r="M58" s="252"/>
      <c r="N58" s="275">
        <f t="shared" si="22"/>
        <v>1656.36</v>
      </c>
      <c r="O58" s="252"/>
      <c r="P58" s="41"/>
      <c r="Q58" s="255">
        <f>SUMIFS(BV_Data_An_Prec!$AN:$AN,BV_Data_An_Prec!$AP:$AP,$B58,BV_Data_An_Prec!$AQ:$AQ,$C58,BV_Data_An_Prec!$AR:$AR,Q$2)</f>
        <v>1698.72</v>
      </c>
      <c r="R58" s="252"/>
      <c r="S58" s="275">
        <f t="shared" si="23"/>
        <v>-42.360000000000127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546.74</v>
      </c>
      <c r="M59" s="252"/>
      <c r="N59" s="275">
        <f t="shared" si="22"/>
        <v>546.74</v>
      </c>
      <c r="O59" s="252"/>
      <c r="P59" s="41"/>
      <c r="Q59" s="255">
        <f>SUMIFS(BV_Data_An_Prec!$AN:$AN,BV_Data_An_Prec!$AP:$AP,$B59,BV_Data_An_Prec!$AQ:$AQ,$C59,BV_Data_An_Prec!$AR:$AR,Q$2)</f>
        <v>2099.63</v>
      </c>
      <c r="R59" s="252"/>
      <c r="S59" s="275">
        <f t="shared" si="23"/>
        <v>-1552.89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2278.7999999999997</v>
      </c>
      <c r="M60" s="245"/>
      <c r="N60" s="295">
        <f t="shared" si="22"/>
        <v>2278.7999999999997</v>
      </c>
      <c r="O60" s="245"/>
      <c r="P60" s="316"/>
      <c r="Q60" s="247">
        <f>SUMIFS(BV_Data_An_Prec!$AN:$AN,BV_Data_An_Prec!$AP:$AP,$B60,BV_Data_An_Prec!$AQ:$AQ,$C60,BV_Data_An_Prec!$AR:$AR,Q$2)</f>
        <v>0</v>
      </c>
      <c r="R60" s="245"/>
      <c r="S60" s="295">
        <f t="shared" si="23"/>
        <v>2278.7999999999997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473.64</v>
      </c>
      <c r="M63" s="252"/>
      <c r="N63" s="275">
        <f t="shared" si="22"/>
        <v>473.64</v>
      </c>
      <c r="O63" s="252"/>
      <c r="P63" s="41"/>
      <c r="Q63" s="255">
        <f>SUMIFS(BV_Data_An_Prec!$AN:$AN,BV_Data_An_Prec!$AP:$AP,$B63,BV_Data_An_Prec!$AQ:$AQ,$C63,BV_Data_An_Prec!$AR:$AR,Q$2)</f>
        <v>873.95</v>
      </c>
      <c r="R63" s="252"/>
      <c r="S63" s="275">
        <f t="shared" si="23"/>
        <v>-400.31000000000006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82.54</v>
      </c>
      <c r="M64" s="252"/>
      <c r="N64" s="275">
        <f t="shared" si="22"/>
        <v>82.54</v>
      </c>
      <c r="O64" s="252"/>
      <c r="P64" s="41"/>
      <c r="Q64" s="255">
        <f>SUMIFS(BV_Data_An_Prec!$AN:$AN,BV_Data_An_Prec!$AP:$AP,$B64,BV_Data_An_Prec!$AQ:$AQ,$C64,BV_Data_An_Prec!$AR:$AR,Q$2)</f>
        <v>56.04</v>
      </c>
      <c r="R64" s="252"/>
      <c r="S64" s="275">
        <f t="shared" si="23"/>
        <v>26.500000000000007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42.37</v>
      </c>
      <c r="M65" s="252"/>
      <c r="N65" s="275">
        <f t="shared" si="22"/>
        <v>42.37</v>
      </c>
      <c r="O65" s="252"/>
      <c r="P65" s="41"/>
      <c r="Q65" s="255">
        <f>SUMIFS(BV_Data_An_Prec!$AN:$AN,BV_Data_An_Prec!$AP:$AP,$B65,BV_Data_An_Prec!$AQ:$AQ,$C65,BV_Data_An_Prec!$AR:$AR,Q$2)</f>
        <v>62.93</v>
      </c>
      <c r="R65" s="252"/>
      <c r="S65" s="275">
        <f t="shared" si="23"/>
        <v>-20.560000000000002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200</v>
      </c>
      <c r="M66" s="252"/>
      <c r="N66" s="275">
        <f t="shared" si="22"/>
        <v>200</v>
      </c>
      <c r="O66" s="252"/>
      <c r="P66" s="41"/>
      <c r="Q66" s="255">
        <f>SUMIFS(BV_Data_An_Prec!$AN:$AN,BV_Data_An_Prec!$AP:$AP,$B66,BV_Data_An_Prec!$AQ:$AQ,$C66,BV_Data_An_Prec!$AR:$AR,Q$2)</f>
        <v>62.5</v>
      </c>
      <c r="R66" s="252"/>
      <c r="S66" s="275">
        <f t="shared" si="23"/>
        <v>137.5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775</v>
      </c>
      <c r="M67" s="252"/>
      <c r="N67" s="275">
        <f t="shared" si="22"/>
        <v>775</v>
      </c>
      <c r="O67" s="252"/>
      <c r="P67" s="41"/>
      <c r="Q67" s="255">
        <f>SUMIFS(BV_Data_An_Prec!$AN:$AN,BV_Data_An_Prec!$AP:$AP,$B67,BV_Data_An_Prec!$AQ:$AQ,$C67,BV_Data_An_Prec!$AR:$AR,Q$2)</f>
        <v>775</v>
      </c>
      <c r="R67" s="252"/>
      <c r="S67" s="275">
        <f t="shared" si="23"/>
        <v>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3.8422640351028048E-2</v>
      </c>
      <c r="L72" s="306">
        <f>+SUM(L55:L71)</f>
        <v>6055.45</v>
      </c>
      <c r="M72" s="309"/>
      <c r="N72" s="306">
        <f>+SUM(N55:N71)</f>
        <v>6055.45</v>
      </c>
      <c r="O72" s="307" t="s">
        <v>115</v>
      </c>
      <c r="P72" s="305">
        <f>Q72/Q$27</f>
        <v>2.1302142805349086E-2</v>
      </c>
      <c r="Q72" s="306">
        <f>+SUM(Q55:Q71)</f>
        <v>5628.77</v>
      </c>
      <c r="R72" s="309"/>
      <c r="S72" s="306">
        <f>+SUM(S55:S71)</f>
        <v>426.67999999999944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0.98120647515826265</v>
      </c>
      <c r="L74" s="306">
        <f>L41+L54+L72</f>
        <v>154639.21000000002</v>
      </c>
      <c r="M74" s="309"/>
      <c r="N74" s="318">
        <f t="shared" ref="N74:N82" si="24">L74-F74</f>
        <v>154639.21000000002</v>
      </c>
      <c r="O74" s="307" t="s">
        <v>115</v>
      </c>
      <c r="P74" s="305">
        <f>Q74/Q$27</f>
        <v>0.81224468741678668</v>
      </c>
      <c r="Q74" s="306">
        <f>Q41+Q54+Q72</f>
        <v>214623.41</v>
      </c>
      <c r="R74" s="309"/>
      <c r="S74" s="318">
        <f>L74-Q74</f>
        <v>-59984.199999999983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43402</v>
      </c>
      <c r="M78" s="252"/>
      <c r="N78" s="275">
        <f t="shared" si="24"/>
        <v>43402</v>
      </c>
      <c r="O78" s="252"/>
      <c r="P78" s="41"/>
      <c r="Q78" s="255">
        <f>-SUMIFS(BV_Data_An_Prec!$AN:$AN,BV_Data_An_Prec!$AP:$AP,$B78,BV_Data_An_Prec!$AQ:$AQ,$C78,BV_Data_An_Prec!$AR:$AR,Q$2)</f>
        <v>116817</v>
      </c>
      <c r="R78" s="252"/>
      <c r="S78" s="275">
        <f t="shared" si="25"/>
        <v>-73415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43402</v>
      </c>
      <c r="M83" s="309"/>
      <c r="N83" s="306">
        <f>+SUM(N75:N82)</f>
        <v>43402</v>
      </c>
      <c r="O83" s="307"/>
      <c r="P83" s="305"/>
      <c r="Q83" s="306">
        <f>+SUM(Q75:Q82)</f>
        <v>116817</v>
      </c>
      <c r="R83" s="309"/>
      <c r="S83" s="306">
        <f>+SUM(S75:S82)</f>
        <v>-73415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46363.879999999888</v>
      </c>
      <c r="M85" s="334"/>
      <c r="N85" s="333">
        <f>N27-N41-N54-N72+N83</f>
        <v>46363.87999999991</v>
      </c>
      <c r="O85" s="334"/>
      <c r="P85" s="331"/>
      <c r="Q85" s="333">
        <f>Q27-Q74+Q83</f>
        <v>166428.51000000045</v>
      </c>
      <c r="R85" s="334"/>
      <c r="S85" s="333">
        <f>L85-Q85</f>
        <v>-120064.63000000056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722475.29</v>
      </c>
      <c r="M93" s="340"/>
      <c r="N93" s="341"/>
      <c r="O93" s="245"/>
      <c r="P93" s="249"/>
      <c r="Q93" s="247">
        <f>-SUMIFS(BV_Data_An_Prec!$AN:$AN,BV_Data_An_Prec!$AS:$AS,"Oui",BV_Data_An_Prec!$AP:$AP,$B93)</f>
        <v>1272997.1599999999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8</v>
      </c>
      <c r="K94" s="253">
        <f t="shared" ref="K94:K95" si="28">IF(J94=0,0,L94/J94)</f>
        <v>3517.833749999998</v>
      </c>
      <c r="L94" s="255">
        <f>-SUMIFS(BV_Data_An_Cour!$AN:$AN,BV_Data_An_Cour!$AP:$AP,$B94,BV_Data_An_Cour!$AQ:$AQ,$C94,BV_Data_An_Cour!$AR:$AR,$L2)</f>
        <v>28142.669999999984</v>
      </c>
      <c r="M94" s="254">
        <f>J94-D94</f>
        <v>8</v>
      </c>
      <c r="N94" s="255">
        <f>L94-F94</f>
        <v>28142.669999999984</v>
      </c>
      <c r="O94" s="254">
        <f>SUMIFS(BV_Data_An_Prec!$AX:$AX,BV_Data_An_Prec!$AP:$AP,$B94,BV_Data_An_Prec!$AQ:$AQ,$C94,BV_Data_An_Prec!$AY:$AY,O$2)</f>
        <v>5</v>
      </c>
      <c r="P94" s="253">
        <f t="shared" ref="P94:P96" si="29">IF(O94=0,0,Q94/O94)</f>
        <v>2468.9399999999996</v>
      </c>
      <c r="Q94" s="255">
        <f>-SUMIFS(BV_Data_An_Prec!$AN:$AN,BV_Data_An_Prec!$AP:$AP,$B94,BV_Data_An_Prec!$AQ:$AQ,$C94,BV_Data_An_Prec!$AR:$AR,$L2)</f>
        <v>12344.699999999997</v>
      </c>
      <c r="R94" s="254">
        <f t="shared" ref="R94:R95" si="30">J94-O94</f>
        <v>3</v>
      </c>
      <c r="S94" s="255">
        <f t="shared" ref="S94:S95" si="31">L94-Q94</f>
        <v>15797.969999999987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9</v>
      </c>
      <c r="K95" s="253">
        <f t="shared" si="28"/>
        <v>2410.6788888888873</v>
      </c>
      <c r="L95" s="255">
        <f>-SUMIFS(BV_Data_An_Cour!$AN:$AN,BV_Data_An_Cour!$AP:$AP,$B95,BV_Data_An_Cour!$AQ:$AQ,$C95,BV_Data_An_Cour!$AR:$AR,$L2)</f>
        <v>21696.109999999986</v>
      </c>
      <c r="M95" s="254">
        <f>J95-D95</f>
        <v>9</v>
      </c>
      <c r="N95" s="255">
        <f>L95-F95</f>
        <v>21696.109999999986</v>
      </c>
      <c r="O95" s="254">
        <f>SUMIFS(BV_Data_An_Prec!$AX:$AX,BV_Data_An_Prec!$AP:$AP,$B95,BV_Data_An_Prec!$AQ:$AQ,$C95,BV_Data_An_Prec!$AY:$AY,O$2)</f>
        <v>5</v>
      </c>
      <c r="P95" s="253">
        <f t="shared" si="29"/>
        <v>126.87799999999989</v>
      </c>
      <c r="Q95" s="255">
        <f>-SUMIFS(BV_Data_An_Prec!$AN:$AN,BV_Data_An_Prec!$AP:$AP,$B95,BV_Data_An_Prec!$AQ:$AQ,$C95,BV_Data_An_Prec!$AR:$AR,$L2)</f>
        <v>634.38999999999942</v>
      </c>
      <c r="R95" s="254">
        <f t="shared" si="30"/>
        <v>4</v>
      </c>
      <c r="S95" s="255">
        <f t="shared" si="31"/>
        <v>21061.719999999987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0</v>
      </c>
      <c r="M96" s="865">
        <f>J96-D96</f>
        <v>0</v>
      </c>
      <c r="N96" s="769">
        <f>L96-F96</f>
        <v>0</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17</v>
      </c>
      <c r="K97" s="259">
        <f>IF(J97&lt;=0,0,L97/J97)</f>
        <v>2931.6929411764686</v>
      </c>
      <c r="L97" s="260">
        <f>+L94+L95+L96</f>
        <v>49838.77999999997</v>
      </c>
      <c r="M97" s="261">
        <f>J97-D97</f>
        <v>17</v>
      </c>
      <c r="N97" s="260">
        <f>L97-F97</f>
        <v>49838.77999999997</v>
      </c>
      <c r="O97" s="261">
        <f>+O94+O95+O96</f>
        <v>10</v>
      </c>
      <c r="P97" s="259">
        <f>IF(O97&lt;=0,0,Q97/O97)</f>
        <v>1297.9089999999997</v>
      </c>
      <c r="Q97" s="260">
        <f>+Q94+Q95+Q96</f>
        <v>12979.089999999997</v>
      </c>
      <c r="R97" s="261">
        <f>R94+R95</f>
        <v>7</v>
      </c>
      <c r="S97" s="260">
        <f>S94+S95</f>
        <v>36859.689999999973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1</v>
      </c>
      <c r="K99" s="253">
        <f t="shared" ref="K99:K101" si="34">IF(J99=0,0,L99/J99)</f>
        <v>324.31999999999971</v>
      </c>
      <c r="L99" s="255">
        <f>-SUMIFS(BV_Data_An_Cour!$AN:$AN,BV_Data_An_Cour!$AP:$AP,$B99,BV_Data_An_Cour!$AQ:$AQ,$C99,BV_Data_An_Cour!$AR:$AR,$L2)</f>
        <v>324.31999999999971</v>
      </c>
      <c r="M99" s="254">
        <f>J99-D99</f>
        <v>1</v>
      </c>
      <c r="N99" s="255">
        <f>L99-F99</f>
        <v>324.31999999999971</v>
      </c>
      <c r="O99" s="254">
        <f>SUMIFS(BV_Data_An_Prec!$AX:$AX,BV_Data_An_Prec!$AP:$AP,$B99,BV_Data_An_Prec!$AQ:$AQ,$C99,BV_Data_An_Prec!$AY:$AY,O$2)</f>
        <v>11</v>
      </c>
      <c r="P99" s="253">
        <f t="shared" ref="P99" si="35">IF(O99=0,0,Q99/O99)</f>
        <v>386.28636363636309</v>
      </c>
      <c r="Q99" s="255">
        <f>-SUMIFS(BV_Data_An_Prec!$AN:$AN,BV_Data_An_Prec!$AP:$AP,$B99,BV_Data_An_Prec!$AQ:$AQ,$C99,BV_Data_An_Prec!$AR:$AR,$L2)</f>
        <v>4249.1499999999942</v>
      </c>
      <c r="R99" s="254">
        <f t="shared" ref="R99" si="36">J99-O99</f>
        <v>-10</v>
      </c>
      <c r="S99" s="255">
        <f t="shared" ref="S99" si="37">L99-Q99</f>
        <v>-3924.8299999999945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31</v>
      </c>
      <c r="K101" s="253">
        <f t="shared" si="34"/>
        <v>1785.3190322580649</v>
      </c>
      <c r="L101" s="255">
        <f>-SUMIFS(BV_Data_An_Cour!$AN:$AN,BV_Data_An_Cour!$AP:$AP,$B101,BV_Data_An_Cour!$AQ:$AQ,$C101,BV_Data_An_Cour!$AR:$AR,L$2)</f>
        <v>55344.890000000014</v>
      </c>
      <c r="M101" s="254">
        <f>J101-D101</f>
        <v>31</v>
      </c>
      <c r="N101" s="255">
        <f>L101-F101</f>
        <v>55344.890000000014</v>
      </c>
      <c r="O101" s="254">
        <f>SUMIFS(BV_Data_An_Prec!$AX:$AX,BV_Data_An_Prec!$AP:$AP,$B101,BV_Data_An_Prec!$AQ:$AQ,$C101,BV_Data_An_Prec!$AY:$AY,O$2)</f>
        <v>54</v>
      </c>
      <c r="P101" s="253">
        <f t="shared" ref="P101" si="38">IF(O101=0,0,Q101/O101)</f>
        <v>2428.1000000000004</v>
      </c>
      <c r="Q101" s="255">
        <f>-SUMIFS(BV_Data_An_Prec!$AN:$AN,BV_Data_An_Prec!$AP:$AP,$B101,BV_Data_An_Prec!$AQ:$AQ,$C101,BV_Data_An_Prec!$AR:$AR,Q$2)</f>
        <v>131117.40000000002</v>
      </c>
      <c r="R101" s="254">
        <f t="shared" ref="R101" si="39">J101-O101</f>
        <v>-23</v>
      </c>
      <c r="S101" s="255">
        <f t="shared" ref="S101" si="40">L101-Q101</f>
        <v>-75772.510000000009</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384.79882352941178</v>
      </c>
      <c r="L103" s="255">
        <f>-SUMIFS(BV_Data_An_Cour!$AN:$AN,BV_Data_An_Cour!$AP:$AP,$B103,BV_Data_An_Cour!$AQ:$AQ,$C103,BV_Data_An_Cour!$AR:$AR,$L2)</f>
        <v>6541.58</v>
      </c>
      <c r="M103" s="254"/>
      <c r="N103" s="255">
        <f>L103-F103</f>
        <v>6541.58</v>
      </c>
      <c r="O103" s="254"/>
      <c r="P103" s="253">
        <f>IF(O97=0,0,Q103/O97)</f>
        <v>418.16700000000003</v>
      </c>
      <c r="Q103" s="255">
        <f>-SUMIFS(BV_Data_An_Prec!$AN:$AN,BV_Data_An_Prec!$AP:$AP,$B103,BV_Data_An_Prec!$AQ:$AQ,$C103,BV_Data_An_Prec!$AR:$AR,$L2)</f>
        <v>4181.67</v>
      </c>
      <c r="R103" s="254">
        <f t="shared" ref="R103:R105" si="42">O103-K103</f>
        <v>-384.79882352941178</v>
      </c>
      <c r="S103" s="255">
        <f t="shared" ref="S103:S106" si="43">L103-Q103</f>
        <v>2359.91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1187.3323529411766</v>
      </c>
      <c r="L104" s="255">
        <f>-SUMIFS(BV_Data_An_Cour!$AN:$AN,BV_Data_An_Cour!$AP:$AP,$B104,BV_Data_An_Cour!$AQ:$AQ,$C104,BV_Data_An_Cour!$AR:$AR,$L2)</f>
        <v>20184.650000000001</v>
      </c>
      <c r="M104" s="254"/>
      <c r="N104" s="255">
        <f>L104-F104</f>
        <v>20184.650000000001</v>
      </c>
      <c r="O104" s="254"/>
      <c r="P104" s="253">
        <f>IF(O97=0,0,Q104/O97)</f>
        <v>1530</v>
      </c>
      <c r="Q104" s="255">
        <f>-SUMIFS(BV_Data_An_Prec!$AN:$AN,BV_Data_An_Prec!$AP:$AP,$B104,BV_Data_An_Prec!$AQ:$AQ,$C104,BV_Data_An_Prec!$AR:$AR,$L2)</f>
        <v>15300</v>
      </c>
      <c r="R104" s="254">
        <f t="shared" si="42"/>
        <v>-1187.3323529411766</v>
      </c>
      <c r="S104" s="255">
        <f t="shared" si="43"/>
        <v>4884.6500000000015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17</v>
      </c>
      <c r="K106" s="259">
        <f>IF(J106&lt;=0,0,L106/J106)</f>
        <v>1572.1311764705883</v>
      </c>
      <c r="L106" s="260">
        <f>L103+L104+L105</f>
        <v>26726.230000000003</v>
      </c>
      <c r="M106" s="254">
        <f>J106-D106</f>
        <v>17</v>
      </c>
      <c r="N106" s="260">
        <f>L106-F106</f>
        <v>26726.230000000003</v>
      </c>
      <c r="O106" s="261">
        <f>O97</f>
        <v>10</v>
      </c>
      <c r="P106" s="259">
        <f>IF(O106&lt;=0,0,Q106/O106)</f>
        <v>1948.1669999999999</v>
      </c>
      <c r="Q106" s="260">
        <f>Q103+Q104+Q105</f>
        <v>19481.669999999998</v>
      </c>
      <c r="R106" s="272"/>
      <c r="S106" s="260">
        <f t="shared" si="43"/>
        <v>7244.5600000000049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0.37186545095979995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48</v>
      </c>
      <c r="K109" s="348">
        <f>IF(J109&lt;=0,0,L109/J109)</f>
        <v>2754.8795833333334</v>
      </c>
      <c r="L109" s="280">
        <f>L97+L106+L101+L99</f>
        <v>132234.22</v>
      </c>
      <c r="M109" s="281">
        <f>J109-D109</f>
        <v>48</v>
      </c>
      <c r="N109" s="280">
        <f>N97+N106+N101+N99</f>
        <v>132234.22</v>
      </c>
      <c r="O109" s="281">
        <f>O97+O101</f>
        <v>64</v>
      </c>
      <c r="P109" s="348">
        <f>IF(O109&lt;=0,0,Q109/O109)</f>
        <v>2622.3017187500004</v>
      </c>
      <c r="Q109" s="280">
        <f>Q97+Q106+Q101+Q99</f>
        <v>167827.31000000003</v>
      </c>
      <c r="R109" s="281">
        <f>J109-O109</f>
        <v>-16</v>
      </c>
      <c r="S109" s="280">
        <f>S97+S106+S101+S99</f>
        <v>-35593.090000000026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-4</v>
      </c>
      <c r="S110" s="350">
        <f>IF(Q109=0,0,(S109/Q109))</f>
        <v>-0.21208163319783901</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0.34319961283161449</v>
      </c>
      <c r="K113" s="290">
        <f>IF($J$97=0,0,L113/(J$94+J$95+J96))</f>
        <v>1006.1558823529413</v>
      </c>
      <c r="L113" s="255">
        <f>SUMIFS(BV_Data_An_Cour!$AN:$AN,BV_Data_An_Cour!$AP:$AP,$B113,BV_Data_An_Cour!$AQ:$AQ,$C113,BV_Data_An_Cour!$AR:$AR,$L$2)</f>
        <v>17104.650000000001</v>
      </c>
      <c r="M113" s="252"/>
      <c r="N113" s="275">
        <f t="shared" ref="N113:N154" si="45">L113-F113</f>
        <v>17104.650000000001</v>
      </c>
      <c r="O113" s="291">
        <f>+Q113/Q97</f>
        <v>0.67367357803975492</v>
      </c>
      <c r="P113" s="290">
        <f>IF($J$97=0,0,Q113/(O$94+O$95+O96))</f>
        <v>874.36699999999996</v>
      </c>
      <c r="Q113" s="255">
        <f>SUMIFS(BV_Data_An_Prec!$AN:$AN,BV_Data_An_Prec!$AP:$AP,$B113,BV_Data_An_Prec!$AQ:$AQ,$C113,BV_Data_An_Prec!$AR:$AR,$L$2)</f>
        <v>8743.67</v>
      </c>
      <c r="R113" s="252"/>
      <c r="S113" s="275">
        <f t="shared" ref="S113:S123" si="46">L113-Q113</f>
        <v>8360.9800000000014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0.22028434238573863</v>
      </c>
      <c r="K114" s="293">
        <f>IF($J$97=0,0,L114/(J$94+J$95+J96))</f>
        <v>346.31588235294117</v>
      </c>
      <c r="L114" s="255">
        <f>SUMIFS(BV_Data_An_Cour!$AN:$AN,BV_Data_An_Cour!$AP:$AP,$B114,BV_Data_An_Cour!$AQ:$AQ,$C114,BV_Data_An_Cour!$AR:$AR,$L$2)</f>
        <v>5887.37</v>
      </c>
      <c r="M114" s="245"/>
      <c r="N114" s="295">
        <f t="shared" si="45"/>
        <v>5887.37</v>
      </c>
      <c r="O114" s="294">
        <f>Q114/Q106</f>
        <v>0.252099537667972</v>
      </c>
      <c r="P114" s="293">
        <f>IF($J$97=0,0,Q114/(O$94+O$95+O96))</f>
        <v>491.13199999999995</v>
      </c>
      <c r="Q114" s="255">
        <f>SUMIFS(BV_Data_An_Prec!$AN:$AN,BV_Data_An_Prec!$AP:$AP,$B114,BV_Data_An_Prec!$AQ:$AQ,$C114,BV_Data_An_Prec!$AR:$AR,$L$2)</f>
        <v>4911.32</v>
      </c>
      <c r="R114" s="245"/>
      <c r="S114" s="295">
        <f t="shared" si="46"/>
        <v>976.05000000000018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5.66</v>
      </c>
      <c r="L115" s="271">
        <f>SUMIFS(BV_Data_An_Cour!$AN:$AN,BV_Data_An_Cour!$AP:$AP,$B115,BV_Data_An_Cour!$AQ:$AQ,$C115,BV_Data_An_Cour!$AR:$AR,$L$2)</f>
        <v>96.22</v>
      </c>
      <c r="M115" s="252"/>
      <c r="N115" s="275">
        <f t="shared" si="45"/>
        <v>96.22</v>
      </c>
      <c r="O115" s="252"/>
      <c r="P115" s="290">
        <f>IF($J$97=0,0,Q115/(O$94+O$95+O96))</f>
        <v>0</v>
      </c>
      <c r="Q115" s="271">
        <f>SUMIFS(BV_Data_An_Prec!$AN:$AN,BV_Data_An_Prec!$AP:$AP,$B115,BV_Data_An_Prec!$AQ:$AQ,$C115,BV_Data_An_Prec!$AR:$AR,$L$2)</f>
        <v>0</v>
      </c>
      <c r="R115" s="252"/>
      <c r="S115" s="275">
        <f t="shared" si="46"/>
        <v>96.22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0</v>
      </c>
      <c r="L117" s="247">
        <f>SUMIFS(BV_Data_An_Cour!$AN:$AN,BV_Data_An_Cour!$AP:$AP,$B117,BV_Data_An_Cour!$AQ:$AQ,$C117,BV_Data_An_Cour!$AR:$AR,$L$2)</f>
        <v>0</v>
      </c>
      <c r="M117" s="245"/>
      <c r="N117" s="295">
        <f t="shared" si="45"/>
        <v>0</v>
      </c>
      <c r="O117" s="245"/>
      <c r="P117" s="293">
        <f>IF($J$97=0,0,Q117/(O$94+O$95+O96))</f>
        <v>38.275999999999996</v>
      </c>
      <c r="Q117" s="247">
        <f>SUMIFS(BV_Data_An_Prec!$AN:$AN,BV_Data_An_Prec!$AP:$AP,$B117,BV_Data_An_Prec!$AQ:$AQ,$C117,BV_Data_An_Prec!$AR:$AR,$L$2)</f>
        <v>382.76</v>
      </c>
      <c r="R117" s="245"/>
      <c r="S117" s="295">
        <f t="shared" si="46"/>
        <v>-382.76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63.204117647058823</v>
      </c>
      <c r="L118" s="255">
        <f>SUMIFS(BV_Data_An_Cour!$AN:$AN,BV_Data_An_Cour!$AP:$AP,$B118,BV_Data_An_Cour!$AQ:$AQ,$C118,BV_Data_An_Cour!$AR:$AR,$L$2)</f>
        <v>1074.47</v>
      </c>
      <c r="M118" s="252"/>
      <c r="N118" s="275">
        <f t="shared" si="45"/>
        <v>1074.47</v>
      </c>
      <c r="O118" s="252"/>
      <c r="P118" s="290">
        <f>IF($J$97=0,0,Q118/(O$94+O$95+O96))</f>
        <v>39.200000000000003</v>
      </c>
      <c r="Q118" s="255">
        <f>SUMIFS(BV_Data_An_Prec!$AN:$AN,BV_Data_An_Prec!$AP:$AP,$B118,BV_Data_An_Prec!$AQ:$AQ,$C118,BV_Data_An_Prec!$AR:$AR,$L$2)</f>
        <v>392</v>
      </c>
      <c r="R118" s="252"/>
      <c r="S118" s="275">
        <f t="shared" si="46"/>
        <v>682.47</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118.14999999999999</v>
      </c>
      <c r="L119" s="769">
        <f>SUMIFS(BV_Data_An_Cour!$AN:$AN,BV_Data_An_Cour!$AP:$AP,$B119,BV_Data_An_Cour!$AQ:$AQ,$C119,BV_Data_An_Cour!$AR:$AR,$L$2)</f>
        <v>2008.55</v>
      </c>
      <c r="M119" s="801"/>
      <c r="N119" s="777">
        <f t="shared" si="45"/>
        <v>2008.55</v>
      </c>
      <c r="O119" s="252"/>
      <c r="P119" s="290">
        <f>IF($J$97=0,0,Q119/(O$94+O$95+O96))</f>
        <v>0</v>
      </c>
      <c r="Q119" s="769">
        <f>SUMIFS(BV_Data_An_Prec!$AN:$AN,BV_Data_An_Prec!$AP:$AP,$B119,BV_Data_An_Prec!$AQ:$AQ,$C119,BV_Data_An_Prec!$AR:$AR,$L$2)</f>
        <v>0</v>
      </c>
      <c r="R119" s="252"/>
      <c r="S119" s="275">
        <f t="shared" si="46"/>
        <v>2008.55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0.19791594036702453</v>
      </c>
      <c r="L123" s="306">
        <f>SUM(L113:L122)</f>
        <v>26171.260000000002</v>
      </c>
      <c r="M123" s="309"/>
      <c r="N123" s="306">
        <f t="shared" si="45"/>
        <v>26171.260000000002</v>
      </c>
      <c r="O123" s="307" t="s">
        <v>115</v>
      </c>
      <c r="P123" s="305">
        <f>Q123/Q$109</f>
        <v>8.5979749064678437E-2</v>
      </c>
      <c r="Q123" s="306">
        <f>SUM(Q113:Q122)</f>
        <v>14429.75</v>
      </c>
      <c r="R123" s="309"/>
      <c r="S123" s="306">
        <f t="shared" si="46"/>
        <v>11741.510000000002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10677.2</v>
      </c>
      <c r="M124" s="252"/>
      <c r="N124" s="275">
        <f t="shared" si="45"/>
        <v>10677.2</v>
      </c>
      <c r="O124" s="252"/>
      <c r="P124" s="41"/>
      <c r="Q124" s="255">
        <f>SUMIFS(BV_Data_An_Prec!$AN:$AN,BV_Data_An_Prec!$AP:$AP,$B124,BV_Data_An_Prec!$AQ:$AQ,$C124,BV_Data_An_Prec!$AR:$AR,$L$2)</f>
        <v>14487.16</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12969.55</v>
      </c>
      <c r="M126" s="240"/>
      <c r="N126" s="315">
        <f t="shared" si="45"/>
        <v>12969.55</v>
      </c>
      <c r="O126" s="240"/>
      <c r="P126" s="313"/>
      <c r="Q126" s="255">
        <f>SUMIFS(BV_Data_An_Prec!$AN:$AN,BV_Data_An_Prec!$AP:$AP,$B126,BV_Data_An_Prec!$AQ:$AQ,$C126,BV_Data_An_Prec!$AR:$AR,$L$2)</f>
        <v>11149.9</v>
      </c>
      <c r="R126" s="240"/>
      <c r="S126" s="315">
        <f t="shared" si="49"/>
        <v>1819.6499999999996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2375.58</v>
      </c>
      <c r="M131" s="252"/>
      <c r="N131" s="275">
        <f t="shared" si="45"/>
        <v>2375.58</v>
      </c>
      <c r="O131" s="252"/>
      <c r="P131" s="41"/>
      <c r="Q131" s="255">
        <f>SUMIFS(BV_Data_An_Prec!$AN:$AN,BV_Data_An_Prec!$AP:$AP,$B131,BV_Data_An_Prec!$AQ:$AQ,$C131,BV_Data_An_Prec!$AR:$AR,$L$2)</f>
        <v>5068.7299999999996</v>
      </c>
      <c r="R131" s="252"/>
      <c r="S131" s="275">
        <f t="shared" si="49"/>
        <v>-2693.1499999999996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5717.46</v>
      </c>
      <c r="M132" s="240"/>
      <c r="N132" s="315">
        <f t="shared" si="45"/>
        <v>5717.46</v>
      </c>
      <c r="O132" s="240"/>
      <c r="P132" s="313"/>
      <c r="Q132" s="271">
        <f>SUMIFS(BV_Data_An_Prec!$AN:$AN,BV_Data_An_Prec!$AP:$AP,$B132,BV_Data_An_Prec!$AQ:$AQ,$C132,BV_Data_An_Prec!$AR:$AR,$L$2)</f>
        <v>5849.9</v>
      </c>
      <c r="R132" s="240"/>
      <c r="S132" s="315">
        <f t="shared" si="49"/>
        <v>-132.4399999999996</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578.28</v>
      </c>
      <c r="M133" s="252"/>
      <c r="N133" s="275">
        <f t="shared" si="45"/>
        <v>578.28</v>
      </c>
      <c r="O133" s="252"/>
      <c r="P133" s="41"/>
      <c r="Q133" s="255">
        <f>SUMIFS(BV_Data_An_Prec!$AN:$AN,BV_Data_An_Prec!$AP:$AP,$B133,BV_Data_An_Prec!$AQ:$AQ,$C133,BV_Data_An_Prec!$AR:$AR,$L$2)</f>
        <v>391.51</v>
      </c>
      <c r="R133" s="252"/>
      <c r="S133" s="275">
        <f t="shared" si="49"/>
        <v>186.76999999999998</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0.24440020140021243</v>
      </c>
      <c r="L136" s="306">
        <f>SUM(L124:L135)</f>
        <v>32318.07</v>
      </c>
      <c r="M136" s="353"/>
      <c r="N136" s="318">
        <f t="shared" si="45"/>
        <v>32318.07</v>
      </c>
      <c r="O136" s="307" t="s">
        <v>115</v>
      </c>
      <c r="P136" s="305">
        <f>Q136/Q$109</f>
        <v>0.22015010548640737</v>
      </c>
      <c r="Q136" s="306">
        <f>SUM(Q124:Q135)</f>
        <v>36947.199999999997</v>
      </c>
      <c r="R136" s="353"/>
      <c r="S136" s="318">
        <f t="shared" si="49"/>
        <v>-4629.1299999999974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1756.36</v>
      </c>
      <c r="M140" s="252"/>
      <c r="N140" s="275">
        <f t="shared" si="45"/>
        <v>1756.36</v>
      </c>
      <c r="O140" s="252"/>
      <c r="P140" s="41"/>
      <c r="Q140" s="255">
        <f>SUMIFS(BV_Data_An_Prec!$AN:$AN,BV_Data_An_Prec!$AP:$AP,$B140,BV_Data_An_Prec!$AQ:$AQ,$C140,BV_Data_An_Prec!$AR:$AR,$L$2)</f>
        <v>1698.72</v>
      </c>
      <c r="R140" s="252"/>
      <c r="S140" s="275">
        <f t="shared" si="49"/>
        <v>57.639999999999873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546.74</v>
      </c>
      <c r="M141" s="252"/>
      <c r="N141" s="275">
        <f t="shared" si="45"/>
        <v>546.74</v>
      </c>
      <c r="O141" s="252"/>
      <c r="P141" s="41"/>
      <c r="Q141" s="255">
        <f>SUMIFS(BV_Data_An_Prec!$AN:$AN,BV_Data_An_Prec!$AP:$AP,$B141,BV_Data_An_Prec!$AQ:$AQ,$C141,BV_Data_An_Prec!$AR:$AR,$L$2)</f>
        <v>2099.63</v>
      </c>
      <c r="R141" s="252"/>
      <c r="S141" s="275">
        <f t="shared" si="49"/>
        <v>-1552.89</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2278.7999999999997</v>
      </c>
      <c r="M142" s="245"/>
      <c r="N142" s="295">
        <f t="shared" si="45"/>
        <v>2278.7999999999997</v>
      </c>
      <c r="O142" s="245"/>
      <c r="P142" s="316"/>
      <c r="Q142" s="247">
        <f>SUMIFS(BV_Data_An_Prec!$AN:$AN,BV_Data_An_Prec!$AP:$AP,$B142,BV_Data_An_Prec!$AQ:$AQ,$C142,BV_Data_An_Prec!$AR:$AR,$L$2)</f>
        <v>0</v>
      </c>
      <c r="R142" s="245"/>
      <c r="S142" s="295">
        <f t="shared" si="49"/>
        <v>2278.7999999999997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473.64</v>
      </c>
      <c r="M145" s="252"/>
      <c r="N145" s="275">
        <f t="shared" si="45"/>
        <v>473.64</v>
      </c>
      <c r="O145" s="252"/>
      <c r="P145" s="41"/>
      <c r="Q145" s="255">
        <f>SUMIFS(BV_Data_An_Prec!$AN:$AN,BV_Data_An_Prec!$AP:$AP,$B145,BV_Data_An_Prec!$AQ:$AQ,$C145,BV_Data_An_Prec!$AR:$AR,$L$2)</f>
        <v>744.95</v>
      </c>
      <c r="R145" s="252"/>
      <c r="S145" s="275">
        <f t="shared" si="49"/>
        <v>-271.31000000000006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82.54</v>
      </c>
      <c r="M146" s="252"/>
      <c r="N146" s="275">
        <f t="shared" si="45"/>
        <v>82.54</v>
      </c>
      <c r="O146" s="252"/>
      <c r="P146" s="41"/>
      <c r="Q146" s="255">
        <f>SUMIFS(BV_Data_An_Prec!$AN:$AN,BV_Data_An_Prec!$AP:$AP,$B146,BV_Data_An_Prec!$AQ:$AQ,$C146,BV_Data_An_Prec!$AR:$AR,$L$2)</f>
        <v>56.04</v>
      </c>
      <c r="R146" s="252"/>
      <c r="S146" s="275">
        <f t="shared" si="49"/>
        <v>26.500000000000007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0</v>
      </c>
      <c r="M148" s="252"/>
      <c r="N148" s="275">
        <f t="shared" si="45"/>
        <v>0</v>
      </c>
      <c r="O148" s="252"/>
      <c r="P148" s="41"/>
      <c r="Q148" s="255">
        <f>SUMIFS(BV_Data_An_Prec!$AN:$AN,BV_Data_An_Prec!$AP:$AP,$B148,BV_Data_An_Prec!$AQ:$AQ,$C148,BV_Data_An_Prec!$AR:$AR,$L$2)</f>
        <v>62.5</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3.9082772976616796E-2</v>
      </c>
      <c r="L154" s="306">
        <f>+SUM(L137:L153)</f>
        <v>5168.08</v>
      </c>
      <c r="M154" s="309"/>
      <c r="N154" s="306">
        <f t="shared" si="45"/>
        <v>5168.08</v>
      </c>
      <c r="O154" s="307" t="s">
        <v>115</v>
      </c>
      <c r="P154" s="305">
        <f>Q154/Q$109</f>
        <v>2.777760067774428E-2</v>
      </c>
      <c r="Q154" s="306">
        <f>+SUM(Q137:Q153)</f>
        <v>4661.84</v>
      </c>
      <c r="R154" s="309"/>
      <c r="S154" s="306">
        <f t="shared" si="49"/>
        <v>506.23999999999978</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0.48139891474385377</v>
      </c>
      <c r="L156" s="306">
        <f>L123+L136+L154</f>
        <v>63657.41</v>
      </c>
      <c r="M156" s="309"/>
      <c r="N156" s="318">
        <f t="shared" ref="N156:N163" si="50">L156-F156</f>
        <v>63657.41</v>
      </c>
      <c r="O156" s="307" t="s">
        <v>115</v>
      </c>
      <c r="P156" s="305">
        <f>Q156/Q$109</f>
        <v>0.33390745522883009</v>
      </c>
      <c r="Q156" s="306">
        <f>Q123+Q136+Q154</f>
        <v>56038.789999999994</v>
      </c>
      <c r="R156" s="309"/>
      <c r="S156" s="318">
        <f t="shared" ref="S156:S163" si="51">L156-Q156</f>
        <v>7618.6200000000099</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68576.81</v>
      </c>
      <c r="M166" s="330"/>
      <c r="N166" s="333">
        <f>L166-F166</f>
        <v>68576.81</v>
      </c>
      <c r="O166" s="330"/>
      <c r="P166" s="332"/>
      <c r="Q166" s="333">
        <f>Q109-Q156+Q164</f>
        <v>111788.52000000003</v>
      </c>
      <c r="R166" s="330"/>
      <c r="S166" s="333">
        <f>L166-Q166</f>
        <v>-43211.710000000036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Janvier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569</v>
      </c>
      <c r="K173" s="253">
        <f>-SUMIFS(BV_Data_An_Cour!$AN:$AN,BV_Data_An_Cour!$AS:$AS,"Oui",BV_Data_An_Cour!$AP:$AP,$B173,BV_Data_An_Cour!$AQ:$AQ,$C173)</f>
        <v>64654.93</v>
      </c>
      <c r="L173" s="255">
        <f>-SUMIFS(BV_Data_An_Cour!$AN:$AN,BV_Data_An_Cour!$AP:$AP,$B173,BV_Data_An_Cour!$AQ:$AQ,$C173,BV_Data_An_Cour!$AR:$AR,$L$2)</f>
        <v>50617.46</v>
      </c>
      <c r="M173" s="291" t="e">
        <f>(K173-E173)/E173</f>
        <v>#DIV/0!</v>
      </c>
      <c r="N173" s="275">
        <f>L173-F173</f>
        <v>50617.46</v>
      </c>
      <c r="O173" s="254">
        <f>SUMIFS(BV_Data_An_Prec!$AX:$AX,BV_Data_An_Prec!$AP:$AP,$B173,BV_Data_An_Prec!$AQ:$AQ,$C173,BV_Data_An_Prec!$AY:$AY,O$2)</f>
        <v>610</v>
      </c>
      <c r="P173" s="253">
        <f>-SUMIFS(BV_Data_An_Prec!$AN:$AN,BV_Data_An_Prec!$AS:$AS,"Oui",BV_Data_An_Prec!$AP:$AP,$B173,BV_Data_An_Prec!$AQ:$AQ,$C173)</f>
        <v>69366.210000000006</v>
      </c>
      <c r="Q173" s="255">
        <f>-SUMIFS(BV_Data_An_Prec!$AN:$AN,BV_Data_An_Prec!$AP:$AP,$B173,BV_Data_An_Prec!$AQ:$AQ,$C173,BV_Data_An_Prec!$AR:$AR,$L$2)</f>
        <v>53964.73000000001</v>
      </c>
      <c r="R173" s="291">
        <f>IF(O173=0,0,J173/O173)</f>
        <v>0.93278688524590159</v>
      </c>
      <c r="S173" s="275">
        <f>L173-Q173</f>
        <v>-3347.2700000000114</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0.78288631663509645</v>
      </c>
      <c r="M174" s="291"/>
      <c r="N174" s="275"/>
      <c r="O174" s="276"/>
      <c r="P174" s="41"/>
      <c r="Q174" s="360">
        <f>IF(Q173=0,0,Q173/P173)</f>
        <v>0.77796855270022691</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113.62905096660809</v>
      </c>
      <c r="L175" s="362"/>
      <c r="M175" s="294"/>
      <c r="N175" s="295"/>
      <c r="O175" s="363"/>
      <c r="P175" s="557">
        <f>IFERROR(P173/O173,0)</f>
        <v>113.71509836065574</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285</v>
      </c>
      <c r="K176" s="270">
        <f>-SUMIFS(BV_Data_An_Cour!$AN:$AN,BV_Data_An_Cour!$AS:$AS,"Oui",BV_Data_An_Cour!$AP:$AP,$B176,BV_Data_An_Cour!$AQ:$AQ,$C176)</f>
        <v>56610.18</v>
      </c>
      <c r="L176" s="255">
        <f>-SUMIFS(BV_Data_An_Cour!$AN:$AN,BV_Data_An_Cour!$AP:$AP,$B176,BV_Data_An_Cour!$AQ:$AQ,$C176,BV_Data_An_Cour!$AR:$AR,$L$2)</f>
        <v>40738.130000000005</v>
      </c>
      <c r="M176" s="291" t="e">
        <f>(K176-E176)/E176</f>
        <v>#DIV/0!</v>
      </c>
      <c r="N176" s="315">
        <f>L176-F176</f>
        <v>40738.130000000005</v>
      </c>
      <c r="O176" s="254">
        <f>SUMIFS(BV_Data_An_Prec!$AX:$AX,BV_Data_An_Prec!$AP:$AP,$B176,BV_Data_An_Prec!$AQ:$AQ,$C176,BV_Data_An_Prec!$AY:$AY,O$2)</f>
        <v>415</v>
      </c>
      <c r="P176" s="270">
        <f>-SUMIFS(BV_Data_An_Prec!$AN:$AN,BV_Data_An_Prec!$AS:$AS,"Oui",BV_Data_An_Prec!$AP:$AP,$B176,BV_Data_An_Prec!$AQ:$AQ,$C176)</f>
        <v>70670.22</v>
      </c>
      <c r="Q176" s="255">
        <f>-SUMIFS(BV_Data_An_Prec!$AN:$AN,BV_Data_An_Prec!$AP:$AP,$B176,BV_Data_An_Prec!$AQ:$AQ,$C176,BV_Data_An_Prec!$AR:$AR,$L$2)</f>
        <v>50907.16</v>
      </c>
      <c r="R176" s="291">
        <f>IF(O176=0,0,J176/O176)</f>
        <v>0.68674698795180722</v>
      </c>
      <c r="S176" s="275">
        <f>L176-Q176</f>
        <v>-10169.029999999999</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0.71962551611741921</v>
      </c>
      <c r="M177" s="263"/>
      <c r="N177" s="264"/>
      <c r="O177" s="252"/>
      <c r="P177" s="41"/>
      <c r="Q177" s="360">
        <f>IF(Q176=0,0,Q176/P176)</f>
        <v>0.72034811834461532</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198.63221052631579</v>
      </c>
      <c r="L178" s="362"/>
      <c r="M178" s="367"/>
      <c r="N178" s="368"/>
      <c r="O178" s="245"/>
      <c r="P178" s="557">
        <f>IFERROR(P176/O176,0)</f>
        <v>170.28968674698797</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148</v>
      </c>
      <c r="K179" s="270">
        <f>-SUMIFS(BV_Data_An_Cour!$AN:$AN,BV_Data_An_Cour!$AS:$AS,"Oui",BV_Data_An_Cour!$AP:$AP,$B179,BV_Data_An_Cour!$AQ:$AQ,$C179)</f>
        <v>32818.03</v>
      </c>
      <c r="L179" s="255">
        <f>-SUMIFS(BV_Data_An_Cour!$AN:$AN,BV_Data_An_Cour!$AP:$AP,$B179,BV_Data_An_Cour!$AQ:$AQ,$C179,BV_Data_An_Cour!$AR:$AR,$L$2)</f>
        <v>26783.969999999998</v>
      </c>
      <c r="M179" s="291" t="e">
        <f>(K179-E179)/E179</f>
        <v>#DIV/0!</v>
      </c>
      <c r="N179" s="275">
        <f>L179-F179</f>
        <v>26783.969999999998</v>
      </c>
      <c r="O179" s="254">
        <f>SUMIFS(BV_Data_An_Prec!$AX:$AX,BV_Data_An_Prec!$AP:$AP,$B179,BV_Data_An_Prec!$AQ:$AQ,$C179,BV_Data_An_Prec!$AY:$AY,O$2)</f>
        <v>157</v>
      </c>
      <c r="P179" s="270">
        <f>-SUMIFS(BV_Data_An_Prec!$AN:$AN,BV_Data_An_Prec!$AS:$AS,"Oui",BV_Data_An_Prec!$AP:$AP,$B179,BV_Data_An_Prec!$AQ:$AQ,$C179)</f>
        <v>32273.41</v>
      </c>
      <c r="Q179" s="255">
        <f>-SUMIFS(BV_Data_An_Prec!$AN:$AN,BV_Data_An_Prec!$AP:$AP,$B179,BV_Data_An_Prec!$AQ:$AQ,$C179,BV_Data_An_Prec!$AR:$AR,$L$2)</f>
        <v>26518.28</v>
      </c>
      <c r="R179" s="291">
        <f>IF(O179=0,0,J179/O179)</f>
        <v>0.9426751592356688</v>
      </c>
      <c r="S179" s="275">
        <f>L179-Q179</f>
        <v>265.68999999999869</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0.81613582533747453</v>
      </c>
      <c r="M180" s="291"/>
      <c r="N180" s="275" t="e">
        <f>L180-F180</f>
        <v>#DIV/0!</v>
      </c>
      <c r="O180" s="276"/>
      <c r="P180" s="347"/>
      <c r="Q180" s="360">
        <f>IF(Q179=0,0,Q179/P179)</f>
        <v>0.8216758006048942</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221.74344594594595</v>
      </c>
      <c r="L181" s="360"/>
      <c r="M181" s="291"/>
      <c r="N181" s="275"/>
      <c r="O181" s="276"/>
      <c r="P181" s="557">
        <f>IFERROR(P179/O179,0)</f>
        <v>205.56312101910828</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-4736.8100000000004</v>
      </c>
      <c r="M185" s="371"/>
      <c r="N185" s="275">
        <f>L185-F185</f>
        <v>-4736.8100000000004</v>
      </c>
      <c r="O185" s="276"/>
      <c r="P185" s="290"/>
      <c r="Q185" s="290">
        <f>-SUMIFS(BV_Data_An_Prec!$AN:$AN,BV_Data_An_Prec!$AP:$AP,$B185,BV_Data_An_Prec!$AQ:$AQ,$C185,BV_Data_An_Prec!$AR:$AR,$L$2)</f>
        <v>-104.46</v>
      </c>
      <c r="R185" s="377"/>
      <c r="S185" s="275">
        <f t="shared" ref="S185:S186" si="53">L185-Q185</f>
        <v>-4632.3500000000004</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1002</v>
      </c>
      <c r="K186" s="379">
        <f t="shared" si="56"/>
        <v>154083.14000000001</v>
      </c>
      <c r="L186" s="380">
        <f t="shared" si="56"/>
        <v>113402.75</v>
      </c>
      <c r="M186" s="382" t="e">
        <f>(K186-E186)/E186</f>
        <v>#DIV/0!</v>
      </c>
      <c r="N186" s="380">
        <f>L186-F186</f>
        <v>113402.75</v>
      </c>
      <c r="O186" s="381">
        <f t="shared" ref="O186:Q186" si="57">O173+O176+O179+O182+O185</f>
        <v>1182</v>
      </c>
      <c r="P186" s="379">
        <f t="shared" si="57"/>
        <v>172309.84</v>
      </c>
      <c r="Q186" s="380">
        <f t="shared" si="57"/>
        <v>131285.71000000002</v>
      </c>
      <c r="R186" s="263">
        <f>IF(O186=0,0,J186/O186)</f>
        <v>0.84771573604060912</v>
      </c>
      <c r="S186" s="380">
        <f t="shared" si="53"/>
        <v>-17882.960000000021</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153.7755888223553</v>
      </c>
      <c r="L187" s="264">
        <f>IF(L186=0,0,L186/K186)</f>
        <v>0.73598415764372394</v>
      </c>
      <c r="M187" s="387"/>
      <c r="N187" s="386" t="e">
        <f>N186/F186</f>
        <v>#DIV/0!</v>
      </c>
      <c r="O187" s="387"/>
      <c r="P187" s="558">
        <f>IF(O186=0,0,P186/O186)</f>
        <v>145.77820642978003</v>
      </c>
      <c r="Q187" s="264">
        <f>IF(Q186=0,0,Q186/P186)</f>
        <v>0.76191649879078305</v>
      </c>
      <c r="R187" s="387"/>
      <c r="S187" s="264">
        <f>IF(Q186=0,0,(S186/Q186))</f>
        <v>-0.13621406320611754</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136</v>
      </c>
      <c r="K189" s="253">
        <f>-SUMIFS(BV_Data_An_Cour!$AN:$AN,BV_Data_An_Cour!$AS:$AS,"Oui",BV_Data_An_Cour!$AP:$AP,$B189,BV_Data_An_Cour!$AQ:$AQ,$C189)</f>
        <v>26065.94</v>
      </c>
      <c r="L189" s="255">
        <f>-SUMIFS(BV_Data_An_Cour!$AN:$AN,BV_Data_An_Cour!$AP:$AP,$B189,BV_Data_An_Cour!$AQ:$AQ,$C189,BV_Data_An_Cour!$AR:$AR,$L$2)</f>
        <v>1686.4499999999971</v>
      </c>
      <c r="M189" s="291">
        <f>IF(E189=0,0,(K189-E189)/E189)</f>
        <v>0</v>
      </c>
      <c r="N189" s="275">
        <f>L189-F189</f>
        <v>1686.4499999999971</v>
      </c>
      <c r="O189" s="254">
        <f>SUMIFS(BV_Data_An_Prec!$AX:$AX,BV_Data_An_Prec!$AP:$AP,$B189,BV_Data_An_Prec!$AQ:$AQ,$C189,BV_Data_An_Prec!$AY:$AY,O$2)</f>
        <v>191</v>
      </c>
      <c r="P189" s="253">
        <f>-SUMIFS(BV_Data_An_Prec!$AN:$AN,BV_Data_An_Prec!$AS:$AS,"Oui",BV_Data_An_Prec!$AP:$AP,$B189,BV_Data_An_Prec!$AQ:$AQ,$C189)</f>
        <v>45982.16</v>
      </c>
      <c r="Q189" s="255">
        <f>-SUMIFS(BV_Data_An_Prec!$AN:$AN,BV_Data_An_Prec!$AP:$AP,$B189,BV_Data_An_Prec!$AQ:$AQ,$C189,BV_Data_An_Prec!$AR:$AR,$L$2)</f>
        <v>5708.25</v>
      </c>
      <c r="R189" s="291">
        <f>IF(O189=0,0,J189/O189)</f>
        <v>0.7120418848167539</v>
      </c>
      <c r="S189" s="275">
        <f>L189-Q189</f>
        <v>-4021.8000000000029</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6.4699373972317786E-2</v>
      </c>
      <c r="M190" s="371"/>
      <c r="N190" s="372"/>
      <c r="O190" s="371"/>
      <c r="P190" s="370"/>
      <c r="Q190" s="360">
        <f>IF(Q189=0,0,Q189/P189)</f>
        <v>0.12414053624275152</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180149.08000000002</v>
      </c>
      <c r="L195" s="280">
        <f t="shared" si="59"/>
        <v>115089.2</v>
      </c>
      <c r="M195" s="397" t="e">
        <f>L196-F196</f>
        <v>#DIV/0!</v>
      </c>
      <c r="N195" s="280">
        <f>L195-F195</f>
        <v>115089.2</v>
      </c>
      <c r="O195" s="281"/>
      <c r="P195" s="278">
        <f t="shared" ref="P195:Q195" si="60">P186+P189+P192</f>
        <v>218292</v>
      </c>
      <c r="Q195" s="280">
        <f t="shared" si="60"/>
        <v>136993.96000000002</v>
      </c>
      <c r="R195" s="397">
        <f>L196-Q196</f>
        <v>1.1283270819820834E-2</v>
      </c>
      <c r="S195" s="280">
        <f>L195-Q195</f>
        <v>-21904.760000000024</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0.63885533026313535</v>
      </c>
      <c r="M196" s="285"/>
      <c r="N196" s="286" t="e">
        <f>N195/F195</f>
        <v>#DIV/0!</v>
      </c>
      <c r="O196" s="282"/>
      <c r="P196" s="283"/>
      <c r="Q196" s="286">
        <f>Q195/P195</f>
        <v>0.62757205944331451</v>
      </c>
      <c r="R196" s="285"/>
      <c r="S196" s="286">
        <f>L195/S195</f>
        <v>-5.2540726307889187</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5016</v>
      </c>
      <c r="M199" s="252"/>
      <c r="N199" s="275">
        <f t="shared" ref="N199:N230" si="61">L199-F199</f>
        <v>5016</v>
      </c>
      <c r="O199" s="252"/>
      <c r="P199" s="41"/>
      <c r="Q199" s="255">
        <f>SUMIFS(BV_Data_An_Prec!$AN:$AN,BV_Data_An_Prec!$AP:$AP,$B199,BV_Data_An_Prec!$AQ:$AQ,$C199,BV_Data_An_Prec!$AR:$AR,$L$2)</f>
        <v>3395.06</v>
      </c>
      <c r="R199" s="252"/>
      <c r="S199" s="255">
        <f t="shared" ref="S199:S230" si="62">L199-Q199</f>
        <v>1620.94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25016.1</v>
      </c>
      <c r="M201" s="240"/>
      <c r="N201" s="315">
        <f t="shared" si="61"/>
        <v>25016.1</v>
      </c>
      <c r="O201" s="240"/>
      <c r="P201" s="313"/>
      <c r="Q201" s="271">
        <f>SUMIFS(BV_Data_An_Prec!$AN:$AN,BV_Data_An_Prec!$AP:$AP,$B201,BV_Data_An_Prec!$AQ:$AQ,$C201,BV_Data_An_Prec!$AR:$AR,$L$2)</f>
        <v>39272.980000000003</v>
      </c>
      <c r="R201" s="240"/>
      <c r="S201" s="315">
        <f t="shared" si="62"/>
        <v>-14256.880000000005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11633.98</v>
      </c>
      <c r="M206" s="252"/>
      <c r="N206" s="275">
        <f t="shared" si="61"/>
        <v>11633.98</v>
      </c>
      <c r="O206" s="252"/>
      <c r="P206" s="41"/>
      <c r="Q206" s="255">
        <f>SUMIFS(BV_Data_An_Prec!$AN:$AN,BV_Data_An_Prec!$AP:$AP,$B206,BV_Data_An_Prec!$AQ:$AQ,$C206,BV_Data_An_Prec!$AR:$AR,$L$2)</f>
        <v>19265.509999999998</v>
      </c>
      <c r="R206" s="252"/>
      <c r="S206" s="275">
        <f t="shared" si="62"/>
        <v>-7631.5299999999988</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12954.46</v>
      </c>
      <c r="M207" s="240"/>
      <c r="N207" s="315">
        <f t="shared" si="61"/>
        <v>12954.46</v>
      </c>
      <c r="O207" s="240"/>
      <c r="P207" s="313"/>
      <c r="Q207" s="271">
        <f>SUMIFS(BV_Data_An_Prec!$AN:$AN,BV_Data_An_Prec!$AP:$AP,$B207,BV_Data_An_Prec!$AQ:$AQ,$C207,BV_Data_An_Prec!$AR:$AR,$L$2)</f>
        <v>16273.09</v>
      </c>
      <c r="R207" s="240"/>
      <c r="S207" s="315">
        <f t="shared" si="62"/>
        <v>-3318.630000000001</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1314.01</v>
      </c>
      <c r="M208" s="252"/>
      <c r="N208" s="275">
        <f t="shared" si="61"/>
        <v>1314.01</v>
      </c>
      <c r="O208" s="252"/>
      <c r="P208" s="41"/>
      <c r="Q208" s="255">
        <f>SUMIFS(BV_Data_An_Prec!$AN:$AN,BV_Data_An_Prec!$AP:$AP,$B208,BV_Data_An_Prec!$AQ:$AQ,$C208,BV_Data_An_Prec!$AR:$AR,$L$2)</f>
        <v>1258.29</v>
      </c>
      <c r="R208" s="252"/>
      <c r="S208" s="275">
        <f t="shared" si="62"/>
        <v>55.720000000000027</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0.48601041626842489</v>
      </c>
      <c r="L211" s="306">
        <f>+SUM(L199:L210)</f>
        <v>55934.55</v>
      </c>
      <c r="M211" s="353"/>
      <c r="N211" s="318">
        <f t="shared" si="61"/>
        <v>55934.55</v>
      </c>
      <c r="O211" s="307" t="s">
        <v>171</v>
      </c>
      <c r="P211" s="305">
        <f>Q211/Q$195</f>
        <v>0.58006155891836386</v>
      </c>
      <c r="Q211" s="306">
        <f>+SUM(Q199:Q210)</f>
        <v>79464.929999999993</v>
      </c>
      <c r="R211" s="353"/>
      <c r="S211" s="318">
        <f t="shared" si="62"/>
        <v>-23530.37999999999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0</v>
      </c>
      <c r="M212" s="252"/>
      <c r="N212" s="275">
        <f t="shared" si="61"/>
        <v>0</v>
      </c>
      <c r="O212" s="252"/>
      <c r="P212" s="41"/>
      <c r="Q212" s="255">
        <f>SUMIFS(BV_Data_An_Prec!$AN:$AN,BV_Data_An_Prec!$AP:$AP,$B212,BV_Data_An_Prec!$AQ:$AQ,$C212,BV_Data_An_Prec!$AR:$AR,$L$2)</f>
        <v>0</v>
      </c>
      <c r="R212" s="252"/>
      <c r="S212" s="275">
        <f t="shared" si="62"/>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-26540.560000000001</v>
      </c>
      <c r="M214" s="245"/>
      <c r="N214" s="295">
        <f t="shared" si="61"/>
        <v>-26540.560000000001</v>
      </c>
      <c r="O214" s="245"/>
      <c r="P214" s="316"/>
      <c r="Q214" s="255">
        <f>SUMIFS(BV_Data_An_Prec!$AN:$AN,BV_Data_An_Prec!$AP:$AP,$B214,BV_Data_An_Prec!$AQ:$AQ,$C214,BV_Data_An_Prec!$AR:$AR,$L$2)</f>
        <v>-4875.7099999999991</v>
      </c>
      <c r="R214" s="245"/>
      <c r="S214" s="295">
        <f t="shared" si="62"/>
        <v>-21664.850000000002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1835.32</v>
      </c>
      <c r="M215" s="252"/>
      <c r="N215" s="275">
        <f t="shared" si="61"/>
        <v>1835.32</v>
      </c>
      <c r="O215" s="252"/>
      <c r="P215" s="41"/>
      <c r="Q215" s="271">
        <f>SUMIFS(BV_Data_An_Prec!$AN:$AN,BV_Data_An_Prec!$AP:$AP,$B215,BV_Data_An_Prec!$AQ:$AQ,$C215,BV_Data_An_Prec!$AR:$AR,$L$2)</f>
        <v>1698.71</v>
      </c>
      <c r="R215" s="252"/>
      <c r="S215" s="275">
        <f t="shared" si="62"/>
        <v>136.6099999999999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6468.71</v>
      </c>
      <c r="M216" s="252"/>
      <c r="N216" s="275">
        <f t="shared" si="61"/>
        <v>6468.71</v>
      </c>
      <c r="O216" s="252"/>
      <c r="P216" s="41"/>
      <c r="Q216" s="255">
        <f>SUMIFS(BV_Data_An_Prec!$AN:$AN,BV_Data_An_Prec!$AP:$AP,$B216,BV_Data_An_Prec!$AQ:$AQ,$C216,BV_Data_An_Prec!$AR:$AR,$L$2)</f>
        <v>2099.63</v>
      </c>
      <c r="R216" s="252"/>
      <c r="S216" s="275">
        <f t="shared" si="62"/>
        <v>4369.08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2278.8200000000002</v>
      </c>
      <c r="M217" s="245"/>
      <c r="N217" s="295">
        <f t="shared" si="61"/>
        <v>2278.8200000000002</v>
      </c>
      <c r="O217" s="245"/>
      <c r="P217" s="316"/>
      <c r="Q217" s="255">
        <f>SUMIFS(BV_Data_An_Prec!$AN:$AN,BV_Data_An_Prec!$AP:$AP,$B217,BV_Data_An_Prec!$AQ:$AQ,$C217,BV_Data_An_Prec!$AR:$AR,$L$2)</f>
        <v>0</v>
      </c>
      <c r="R217" s="245"/>
      <c r="S217" s="295">
        <f t="shared" si="62"/>
        <v>2278.8200000000002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4872.16</v>
      </c>
      <c r="M218" s="252"/>
      <c r="N218" s="275">
        <f t="shared" si="61"/>
        <v>4872.16</v>
      </c>
      <c r="O218" s="252"/>
      <c r="P218" s="41"/>
      <c r="Q218" s="271">
        <f>SUMIFS(BV_Data_An_Prec!$AN:$AN,BV_Data_An_Prec!$AP:$AP,$B218,BV_Data_An_Prec!$AQ:$AQ,$C218,BV_Data_An_Prec!$AR:$AR,$L$2)</f>
        <v>5444.81</v>
      </c>
      <c r="R218" s="252"/>
      <c r="S218" s="275">
        <f t="shared" si="62"/>
        <v>-572.65000000000055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1849.85</v>
      </c>
      <c r="M220" s="252"/>
      <c r="N220" s="275">
        <f t="shared" si="61"/>
        <v>1849.85</v>
      </c>
      <c r="O220" s="252"/>
      <c r="P220" s="41"/>
      <c r="Q220" s="255">
        <f>SUMIFS(BV_Data_An_Prec!$AN:$AN,BV_Data_An_Prec!$AP:$AP,$B220,BV_Data_An_Prec!$AQ:$AQ,$C220,BV_Data_An_Prec!$AR:$AR,$L$2)</f>
        <v>1632.83</v>
      </c>
      <c r="R220" s="252"/>
      <c r="S220" s="275">
        <f t="shared" si="62"/>
        <v>217.01999999999998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1306.1300000000001</v>
      </c>
      <c r="M221" s="252"/>
      <c r="N221" s="275">
        <f t="shared" si="61"/>
        <v>1306.1300000000001</v>
      </c>
      <c r="O221" s="252"/>
      <c r="P221" s="41"/>
      <c r="Q221" s="255">
        <f>SUMIFS(BV_Data_An_Prec!$AN:$AN,BV_Data_An_Prec!$AP:$AP,$B221,BV_Data_An_Prec!$AQ:$AQ,$C221,BV_Data_An_Prec!$AR:$AR,$L$2)</f>
        <v>1335.26</v>
      </c>
      <c r="R221" s="252"/>
      <c r="S221" s="275">
        <f t="shared" si="62"/>
        <v>-29.129999999999882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98.55</v>
      </c>
      <c r="M222" s="252"/>
      <c r="N222" s="275">
        <f t="shared" si="61"/>
        <v>98.55</v>
      </c>
      <c r="O222" s="252"/>
      <c r="P222" s="41"/>
      <c r="Q222" s="255">
        <f>SUMIFS(BV_Data_An_Prec!$AN:$AN,BV_Data_An_Prec!$AP:$AP,$B222,BV_Data_An_Prec!$AQ:$AQ,$C222,BV_Data_An_Prec!$AR:$AR,$L$2)</f>
        <v>56.05</v>
      </c>
      <c r="R222" s="252"/>
      <c r="S222" s="275">
        <f t="shared" si="62"/>
        <v>42.5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30</v>
      </c>
      <c r="M223" s="252"/>
      <c r="N223" s="275">
        <f t="shared" si="61"/>
        <v>30</v>
      </c>
      <c r="O223" s="252"/>
      <c r="P223" s="41"/>
      <c r="Q223" s="255">
        <f>SUMIFS(BV_Data_An_Prec!$AN:$AN,BV_Data_An_Prec!$AP:$AP,$B223,BV_Data_An_Prec!$AQ:$AQ,$C223,BV_Data_An_Prec!$AR:$AR,$L$2)</f>
        <v>0</v>
      </c>
      <c r="R223" s="252"/>
      <c r="S223" s="275">
        <f t="shared" si="62"/>
        <v>30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500</v>
      </c>
      <c r="M224" s="252"/>
      <c r="N224" s="275">
        <f t="shared" si="61"/>
        <v>500</v>
      </c>
      <c r="O224" s="252"/>
      <c r="P224" s="41"/>
      <c r="Q224" s="255">
        <f>SUMIFS(BV_Data_An_Prec!$AN:$AN,BV_Data_An_Prec!$AP:$AP,$B224,BV_Data_An_Prec!$AQ:$AQ,$C224,BV_Data_An_Prec!$AR:$AR,$L$2)</f>
        <v>62.5</v>
      </c>
      <c r="R224" s="252"/>
      <c r="S224" s="275">
        <f t="shared" si="62"/>
        <v>437.5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3427.75</v>
      </c>
      <c r="M225" s="252"/>
      <c r="N225" s="275">
        <f t="shared" si="61"/>
        <v>3427.75</v>
      </c>
      <c r="O225" s="252"/>
      <c r="P225" s="41"/>
      <c r="Q225" s="255">
        <f>SUMIFS(BV_Data_An_Prec!$AN:$AN,BV_Data_An_Prec!$AP:$AP,$B225,BV_Data_An_Prec!$AQ:$AQ,$C225,BV_Data_An_Prec!$AR:$AR,$L$2)</f>
        <v>775</v>
      </c>
      <c r="R225" s="252"/>
      <c r="S225" s="275">
        <f t="shared" si="62"/>
        <v>2652.75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-3.3654504506070097E-2</v>
      </c>
      <c r="L230" s="306">
        <f>+SUM(L212:L229)</f>
        <v>-3873.2700000000023</v>
      </c>
      <c r="M230" s="309"/>
      <c r="N230" s="306">
        <f t="shared" si="61"/>
        <v>-3873.2700000000023</v>
      </c>
      <c r="O230" s="307" t="s">
        <v>171</v>
      </c>
      <c r="P230" s="305">
        <f>Q230/Q$195</f>
        <v>6.006892566650384E-2</v>
      </c>
      <c r="Q230" s="306">
        <f>+SUM(Q212:Q229)</f>
        <v>8229.0800000000017</v>
      </c>
      <c r="R230" s="309"/>
      <c r="S230" s="306">
        <f t="shared" si="62"/>
        <v>-12102.350000000004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0.45235591176235479</v>
      </c>
      <c r="L232" s="306">
        <f>L211+L230</f>
        <v>52061.279999999999</v>
      </c>
      <c r="M232" s="309"/>
      <c r="N232" s="318">
        <f>L232-F232</f>
        <v>52061.279999999999</v>
      </c>
      <c r="O232" s="307" t="s">
        <v>115</v>
      </c>
      <c r="P232" s="305">
        <f>Q232/Q$195</f>
        <v>0.64013048458486765</v>
      </c>
      <c r="Q232" s="306">
        <f>Q211+Q230</f>
        <v>87694.01</v>
      </c>
      <c r="R232" s="309"/>
      <c r="S232" s="318">
        <f>L232-Q232</f>
        <v>-35632.729999999996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63027.92</v>
      </c>
      <c r="M234" s="330"/>
      <c r="N234" s="333">
        <f>L234-F234</f>
        <v>63027.92</v>
      </c>
      <c r="O234" s="330"/>
      <c r="P234" s="332"/>
      <c r="Q234" s="333">
        <f>Q195-Q232</f>
        <v>49299.950000000026</v>
      </c>
      <c r="R234" s="330"/>
      <c r="S234" s="333">
        <f>L234-Q234</f>
        <v>13727.969999999972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Janvier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Janvier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47640.78</v>
      </c>
      <c r="K296" s="351">
        <f t="shared" ref="K296:K305" si="71">IF(J296&lt;=0,0,L296/J296)</f>
        <v>0.30837908195457753</v>
      </c>
      <c r="L296" s="275">
        <f>-SUMIFS(BV_Data_An_Cour!$AN:$AN,BV_Data_An_Cour!$AP:$AP,$B296,BV_Data_An_Cour!$AQ:$AQ,$C296,BV_Data_An_Cour!$AR:$AR,$L$2)</f>
        <v>14691.419999999998</v>
      </c>
      <c r="M296" s="291" t="e">
        <f t="shared" ref="M296:M302" si="72">(+J296-D296)/D296</f>
        <v>#DIV/0!</v>
      </c>
      <c r="N296" s="275">
        <f t="shared" ref="N296:N305" si="73">L296-F296</f>
        <v>14691.419999999998</v>
      </c>
      <c r="O296" s="253">
        <f>-SUMIFS(BV_Data_An_Prec!$AN:$AN,BV_Data_An_Prec!$AS:$AS,"Oui",BV_Data_An_Prec!$AP:$AP,$B296,BV_Data_An_Prec!$AQ:$AQ,$C296)</f>
        <v>64769.74</v>
      </c>
      <c r="P296" s="351">
        <f t="shared" ref="P296:P305" si="74">IF(O296&lt;=0,0,Q296/O296)</f>
        <v>0.34111083354665306</v>
      </c>
      <c r="Q296" s="255">
        <f>-SUMIFS(BV_Data_An_Prec!$AN:$AN,BV_Data_An_Prec!$AP:$AP,$B296,BV_Data_An_Prec!$AQ:$AQ,$C296,BV_Data_An_Prec!$AR:$AR,$L$2)</f>
        <v>22093.659999999996</v>
      </c>
      <c r="R296" s="291">
        <f t="shared" ref="R296:R305" si="75">IF(O296=0,0,(J296-O296)/O296)</f>
        <v>-0.26445929843164417</v>
      </c>
      <c r="S296" s="275">
        <f t="shared" ref="S296:S305" si="76">L296-Q296</f>
        <v>-7402.239999999998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200449.43</v>
      </c>
      <c r="K298" s="351">
        <f t="shared" si="71"/>
        <v>0.17054640664231369</v>
      </c>
      <c r="L298" s="275">
        <f>-SUMIFS(BV_Data_An_Cour!$AN:$AN,BV_Data_An_Cour!$AP:$AP,$B298,BV_Data_An_Cour!$AQ:$AQ,$C298,BV_Data_An_Cour!$AR:$AR,$L$2)</f>
        <v>34185.929999999993</v>
      </c>
      <c r="M298" s="291" t="e">
        <f t="shared" si="72"/>
        <v>#DIV/0!</v>
      </c>
      <c r="N298" s="275">
        <f t="shared" si="73"/>
        <v>34185.929999999993</v>
      </c>
      <c r="O298" s="253">
        <f>-SUMIFS(BV_Data_An_Prec!$AN:$AN,BV_Data_An_Prec!$AS:$AS,"Oui",BV_Data_An_Prec!$AP:$AP,$B298,BV_Data_An_Prec!$AQ:$AQ,$C298)</f>
        <v>129177.47</v>
      </c>
      <c r="P298" s="351">
        <f t="shared" si="74"/>
        <v>0.18769890755717697</v>
      </c>
      <c r="Q298" s="255">
        <f>-SUMIFS(BV_Data_An_Prec!$AN:$AN,BV_Data_An_Prec!$AP:$AP,$B298,BV_Data_An_Prec!$AQ:$AQ,$C298,BV_Data_An_Prec!$AR:$AR,$L$2)</f>
        <v>24246.47</v>
      </c>
      <c r="R298" s="291">
        <f t="shared" si="75"/>
        <v>0.55173676957754314</v>
      </c>
      <c r="S298" s="275">
        <f t="shared" si="76"/>
        <v>9939.4599999999919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15763.85</v>
      </c>
      <c r="K299" s="351">
        <f t="shared" si="71"/>
        <v>0.32817363778518577</v>
      </c>
      <c r="L299" s="275">
        <f>-SUMIFS(BV_Data_An_Cour!$AN:$AN,BV_Data_An_Cour!$AP:$AP,$B299,BV_Data_An_Cour!$AQ:$AQ,$C299,BV_Data_An_Cour!$AR:$AR,$L$2)</f>
        <v>5173.2800000000007</v>
      </c>
      <c r="M299" s="291" t="e">
        <f t="shared" si="72"/>
        <v>#DIV/0!</v>
      </c>
      <c r="N299" s="275">
        <f t="shared" si="73"/>
        <v>5173.2800000000007</v>
      </c>
      <c r="O299" s="253">
        <f>-SUMIFS(BV_Data_An_Prec!$AN:$AN,BV_Data_An_Prec!$AS:$AS,"Oui",BV_Data_An_Prec!$AP:$AP,$B299,BV_Data_An_Prec!$AQ:$AQ,$C299)</f>
        <v>10268.86</v>
      </c>
      <c r="P299" s="351">
        <f t="shared" si="74"/>
        <v>0.33909898469742511</v>
      </c>
      <c r="Q299" s="255">
        <f>-SUMIFS(BV_Data_An_Prec!$AN:$AN,BV_Data_An_Prec!$AP:$AP,$B299,BV_Data_An_Prec!$AQ:$AQ,$C299,BV_Data_An_Prec!$AR:$AR,$L$2)</f>
        <v>3482.1600000000008</v>
      </c>
      <c r="R299" s="291">
        <f t="shared" si="75"/>
        <v>0.53511197932389765</v>
      </c>
      <c r="S299" s="275">
        <f t="shared" si="76"/>
        <v>1691.12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20047.37</v>
      </c>
      <c r="K300" s="351">
        <f t="shared" si="71"/>
        <v>0.2486914742432548</v>
      </c>
      <c r="L300" s="275">
        <f>-SUMIFS(BV_Data_An_Cour!$AN:$AN,BV_Data_An_Cour!$AP:$AP,$B300,BV_Data_An_Cour!$AQ:$AQ,$C300,BV_Data_An_Cour!$AR:$AR,$L$2)</f>
        <v>4985.6099999999988</v>
      </c>
      <c r="M300" s="291" t="e">
        <f t="shared" si="72"/>
        <v>#DIV/0!</v>
      </c>
      <c r="N300" s="275">
        <f t="shared" si="73"/>
        <v>4985.6099999999988</v>
      </c>
      <c r="O300" s="253">
        <f>-SUMIFS(BV_Data_An_Prec!$AN:$AN,BV_Data_An_Prec!$AS:$AS,"Oui",BV_Data_An_Prec!$AP:$AP,$B300,BV_Data_An_Prec!$AQ:$AQ,$C300)</f>
        <v>28373.25</v>
      </c>
      <c r="P300" s="351">
        <f t="shared" si="74"/>
        <v>0.24657767439401546</v>
      </c>
      <c r="Q300" s="255">
        <f>-SUMIFS(BV_Data_An_Prec!$AN:$AN,BV_Data_An_Prec!$AP:$AP,$B300,BV_Data_An_Prec!$AQ:$AQ,$C300,BV_Data_An_Prec!$AR:$AR,$L$2)</f>
        <v>6996.2099999999991</v>
      </c>
      <c r="R300" s="291">
        <f t="shared" si="75"/>
        <v>-0.29344118139444725</v>
      </c>
      <c r="S300" s="275">
        <f t="shared" si="76"/>
        <v>-2010.6000000000004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445526.65</v>
      </c>
      <c r="K301" s="351">
        <f t="shared" si="71"/>
        <v>0.18349400647525804</v>
      </c>
      <c r="L301" s="275">
        <f>-SUMIFS(BV_Data_An_Cour!$AN:$AN,BV_Data_An_Cour!$AP:$AP,$B301,BV_Data_An_Cour!$AQ:$AQ,$C301,BV_Data_An_Cour!$AR:$AR,$L$2)</f>
        <v>81751.47000000003</v>
      </c>
      <c r="M301" s="291" t="e">
        <f t="shared" si="72"/>
        <v>#DIV/0!</v>
      </c>
      <c r="N301" s="275">
        <f t="shared" si="73"/>
        <v>81751.47000000003</v>
      </c>
      <c r="O301" s="253">
        <f>-SUMIFS(BV_Data_An_Prec!$AN:$AN,BV_Data_An_Prec!$AS:$AS,"Oui",BV_Data_An_Prec!$AP:$AP,$B301,BV_Data_An_Prec!$AQ:$AQ,$C301)</f>
        <v>421311.65</v>
      </c>
      <c r="P301" s="351">
        <f t="shared" si="74"/>
        <v>0.16834644852569353</v>
      </c>
      <c r="Q301" s="255">
        <f>-SUMIFS(BV_Data_An_Prec!$AN:$AN,BV_Data_An_Prec!$AP:$AP,$B301,BV_Data_An_Prec!$AQ:$AQ,$C301,BV_Data_An_Prec!$AR:$AR,$L$2)</f>
        <v>70926.320000000007</v>
      </c>
      <c r="R301" s="291">
        <f t="shared" si="75"/>
        <v>5.7475268011221617E-2</v>
      </c>
      <c r="S301" s="275">
        <f t="shared" si="76"/>
        <v>10825.150000000023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937.03</v>
      </c>
      <c r="M303" s="291"/>
      <c r="N303" s="275">
        <f t="shared" si="73"/>
        <v>937.03</v>
      </c>
      <c r="O303" s="253">
        <f>-SUMIFS(BV_Data_An_Prec!$AN:$AN,BV_Data_An_Prec!$AS:$AS,"Oui",BV_Data_An_Prec!$AP:$AP,$B303,BV_Data_An_Prec!$AQ:$AQ,$C303)</f>
        <v>0</v>
      </c>
      <c r="P303" s="351">
        <f t="shared" si="74"/>
        <v>0</v>
      </c>
      <c r="Q303" s="255">
        <f>-SUMIFS(BV_Data_An_Prec!$AN:$AN,BV_Data_An_Prec!$AP:$AP,$B303,BV_Data_An_Prec!$AQ:$AQ,$C303,BV_Data_An_Prec!$AR:$AR,$L$2)</f>
        <v>7893.75</v>
      </c>
      <c r="R303" s="291">
        <f t="shared" si="75"/>
        <v>0</v>
      </c>
      <c r="S303" s="275">
        <f t="shared" si="76"/>
        <v>-6956.72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3178.76</v>
      </c>
      <c r="M304" s="291"/>
      <c r="N304" s="275">
        <f t="shared" si="73"/>
        <v>3178.76</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3178.76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729428.08000000007</v>
      </c>
      <c r="K305" s="405">
        <f t="shared" si="71"/>
        <v>0.19865358076151937</v>
      </c>
      <c r="L305" s="390">
        <f>SUM(L296:L304)</f>
        <v>144903.50000000003</v>
      </c>
      <c r="M305" s="406" t="e">
        <f>(+J305-D305)/D305</f>
        <v>#DIV/0!</v>
      </c>
      <c r="N305" s="390">
        <f t="shared" si="73"/>
        <v>144903.50000000003</v>
      </c>
      <c r="O305" s="388">
        <f t="shared" ref="O305" si="79">SUM(O296:O304)</f>
        <v>653900.97</v>
      </c>
      <c r="P305" s="405">
        <f t="shared" si="74"/>
        <v>0.20742983452066147</v>
      </c>
      <c r="Q305" s="390">
        <f>SUM(Q296:Q304)</f>
        <v>135638.57</v>
      </c>
      <c r="R305" s="406">
        <f t="shared" si="75"/>
        <v>0.11550236727741833</v>
      </c>
      <c r="S305" s="390">
        <f t="shared" si="76"/>
        <v>9264.9300000000221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6.8306013547621613E-2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61424.61</v>
      </c>
      <c r="K308" s="351">
        <f t="shared" ref="K308:K310" si="81">IF(J308&lt;=0,0,L308/J308)</f>
        <v>0.19698684289570587</v>
      </c>
      <c r="L308" s="315">
        <f>-SUMIFS(BV_Data_An_Cour!$AN:$AN,BV_Data_An_Cour!$AP:$AP,$B308,BV_Data_An_Cour!$AQ:$AQ,$C308,BV_Data_An_Cour!$AR:$AR,$L$2)</f>
        <v>12099.840000000004</v>
      </c>
      <c r="M308" s="291" t="e">
        <f>(+J308-D308)/D308</f>
        <v>#DIV/0!</v>
      </c>
      <c r="N308" s="275">
        <f>L308-F308</f>
        <v>12099.840000000004</v>
      </c>
      <c r="O308" s="253">
        <f>-SUMIFS(BV_Data_An_Prec!$AN:$AN,BV_Data_An_Prec!$AS:$AS,"Oui",BV_Data_An_Prec!$AP:$AP,$B308,BV_Data_An_Prec!$AQ:$AQ,$C308)</f>
        <v>81279.009999999995</v>
      </c>
      <c r="P308" s="351">
        <f t="shared" ref="P308:P310" si="82">IF(O308&lt;=0,0,Q308/O308)</f>
        <v>0.20525090057076234</v>
      </c>
      <c r="Q308" s="255">
        <f>-SUMIFS(BV_Data_An_Prec!$AN:$AN,BV_Data_An_Prec!$AP:$AP,$B308,BV_Data_An_Prec!$AQ:$AQ,$C308,BV_Data_An_Prec!$AR:$AR,$L$2)</f>
        <v>16682.589999999997</v>
      </c>
      <c r="R308" s="291">
        <f t="shared" ref="R308:R310" si="83">IF(O308=0,0,(J308-O308)/O308)</f>
        <v>-0.2442746288371376</v>
      </c>
      <c r="S308" s="275">
        <f t="shared" ref="S308:S310" si="84">L308-Q308</f>
        <v>-4582.7499999999927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16219.01</v>
      </c>
      <c r="K309" s="351">
        <f t="shared" si="81"/>
        <v>0.2611306115478072</v>
      </c>
      <c r="L309" s="295">
        <f>-SUMIFS(BV_Data_An_Cour!$AN:$AN,BV_Data_An_Cour!$AP:$AP,$B309,BV_Data_An_Cour!$AQ:$AQ,$C309,BV_Data_An_Cour!$AR:$AR,$L$2)</f>
        <v>4235.2800000000007</v>
      </c>
      <c r="M309" s="291" t="e">
        <f>(+J309-D309)/D309</f>
        <v>#DIV/0!</v>
      </c>
      <c r="N309" s="275">
        <f>L309-F309</f>
        <v>4235.2800000000007</v>
      </c>
      <c r="O309" s="253">
        <f>-SUMIFS(BV_Data_An_Prec!$AN:$AN,BV_Data_An_Prec!$AS:$AS,"Oui",BV_Data_An_Prec!$AP:$AP,$B309,BV_Data_An_Prec!$AQ:$AQ,$C309)</f>
        <v>18909.36</v>
      </c>
      <c r="P309" s="351">
        <f t="shared" si="82"/>
        <v>0.24464233585906664</v>
      </c>
      <c r="Q309" s="255">
        <f>-SUMIFS(BV_Data_An_Prec!$AN:$AN,BV_Data_An_Prec!$AP:$AP,$B309,BV_Data_An_Prec!$AQ:$AQ,$C309,BV_Data_An_Prec!$AR:$AR,$L$2)</f>
        <v>4626.0300000000007</v>
      </c>
      <c r="R309" s="291">
        <f t="shared" si="83"/>
        <v>-0.14227610030164956</v>
      </c>
      <c r="S309" s="275">
        <f t="shared" si="84"/>
        <v>-390.75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807071.70000000007</v>
      </c>
      <c r="K310" s="405">
        <f t="shared" si="81"/>
        <v>0.19978227461079356</v>
      </c>
      <c r="L310" s="390">
        <f>L305+L308+L309</f>
        <v>161238.62000000002</v>
      </c>
      <c r="M310" s="406" t="e">
        <f>(+J310-D310)/D310</f>
        <v>#DIV/0!</v>
      </c>
      <c r="N310" s="390">
        <f>L310-F310</f>
        <v>161238.62000000002</v>
      </c>
      <c r="O310" s="391">
        <f t="shared" ref="O310" si="87">O305+O308+O309</f>
        <v>754089.34</v>
      </c>
      <c r="P310" s="405">
        <f t="shared" si="82"/>
        <v>0.20812811118640134</v>
      </c>
      <c r="Q310" s="390">
        <f>Q305+Q308+Q309</f>
        <v>156947.19</v>
      </c>
      <c r="R310" s="406">
        <f t="shared" si="83"/>
        <v>7.0260056984760066E-2</v>
      </c>
      <c r="S310" s="390">
        <f t="shared" si="84"/>
        <v>4291.4300000000221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2.7343146443080772E-2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807071.70000000007</v>
      </c>
      <c r="K315" s="408">
        <f>IF(J315&lt;=0,0,L315/J315)</f>
        <v>0.19978227461079356</v>
      </c>
      <c r="L315" s="280">
        <f>L310+L313</f>
        <v>161238.62000000002</v>
      </c>
      <c r="M315" s="409" t="e">
        <f>(+J315-D315)/D315</f>
        <v>#DIV/0!</v>
      </c>
      <c r="N315" s="410">
        <f>L315-F315</f>
        <v>161238.62000000002</v>
      </c>
      <c r="O315" s="281">
        <f t="shared" ref="O315" si="90">O310+O313</f>
        <v>754089.34</v>
      </c>
      <c r="P315" s="408">
        <f>IF(O315&lt;=0,0,Q315/O315)</f>
        <v>0.20812811118640134</v>
      </c>
      <c r="Q315" s="280">
        <f>Q310+Q313</f>
        <v>156947.19</v>
      </c>
      <c r="R315" s="409">
        <f>IF(O315=0,0,(J315-O315)/O315)</f>
        <v>7.0260056984760066E-2</v>
      </c>
      <c r="S315" s="410">
        <f>L315-Q315</f>
        <v>4291.4300000000221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2.7343146443080772E-2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10355.44</v>
      </c>
      <c r="M319" s="252"/>
      <c r="N319" s="275">
        <f t="shared" ref="N319:N349" si="91">L319-F319</f>
        <v>10355.44</v>
      </c>
      <c r="O319" s="252"/>
      <c r="P319" s="41"/>
      <c r="Q319" s="255">
        <f>SUMIFS(BV_Data_An_Prec!$AN:$AN,BV_Data_An_Prec!$AP:$AP,$B319,BV_Data_An_Prec!$AQ:$AQ,$C319,BV_Data_An_Prec!$AR:$AR,$L$2)</f>
        <v>7654.25</v>
      </c>
      <c r="R319" s="252"/>
      <c r="S319" s="255">
        <f t="shared" ref="S319:S349" si="92">L319-Q319</f>
        <v>2701.1900000000005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20921.490000000002</v>
      </c>
      <c r="M321" s="240"/>
      <c r="N321" s="315">
        <f t="shared" si="91"/>
        <v>20921.490000000002</v>
      </c>
      <c r="O321" s="240"/>
      <c r="P321" s="313"/>
      <c r="Q321" s="271">
        <f>SUMIFS(BV_Data_An_Prec!$AN:$AN,BV_Data_An_Prec!$AP:$AP,$B321,BV_Data_An_Prec!$AQ:$AQ,$C321,BV_Data_An_Prec!$AR:$AR,$L$2)</f>
        <v>19589.32</v>
      </c>
      <c r="R321" s="240"/>
      <c r="S321" s="315">
        <f t="shared" si="92"/>
        <v>1332.1700000000019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2905.52</v>
      </c>
      <c r="M326" s="252"/>
      <c r="N326" s="275">
        <f t="shared" si="91"/>
        <v>2905.52</v>
      </c>
      <c r="O326" s="252"/>
      <c r="P326" s="41"/>
      <c r="Q326" s="255">
        <f>SUMIFS(BV_Data_An_Prec!$AN:$AN,BV_Data_An_Prec!$AP:$AP,$B326,BV_Data_An_Prec!$AQ:$AQ,$C326,BV_Data_An_Prec!$AR:$AR,$L$2)</f>
        <v>4242.37</v>
      </c>
      <c r="R326" s="252"/>
      <c r="S326" s="275">
        <f t="shared" si="92"/>
        <v>-1336.85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3910.22</v>
      </c>
      <c r="M327" s="240"/>
      <c r="N327" s="315">
        <f t="shared" si="91"/>
        <v>3910.22</v>
      </c>
      <c r="O327" s="240"/>
      <c r="P327" s="313"/>
      <c r="Q327" s="271">
        <f>SUMIFS(BV_Data_An_Prec!$AN:$AN,BV_Data_An_Prec!$AP:$AP,$B327,BV_Data_An_Prec!$AQ:$AQ,$C327,BV_Data_An_Prec!$AR:$AR,$L$2)</f>
        <v>4437.24</v>
      </c>
      <c r="R327" s="240"/>
      <c r="S327" s="315">
        <f t="shared" si="92"/>
        <v>-527.02</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454.1</v>
      </c>
      <c r="M328" s="252"/>
      <c r="N328" s="275">
        <f t="shared" si="91"/>
        <v>454.1</v>
      </c>
      <c r="O328" s="252"/>
      <c r="P328" s="41"/>
      <c r="Q328" s="255">
        <f>SUMIFS(BV_Data_An_Prec!$AN:$AN,BV_Data_An_Prec!$AP:$AP,$B328,BV_Data_An_Prec!$AQ:$AQ,$C328,BV_Data_An_Prec!$AR:$AR,$L$2)</f>
        <v>254.45</v>
      </c>
      <c r="R328" s="252"/>
      <c r="S328" s="275">
        <f t="shared" si="92"/>
        <v>199.65000000000003</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0.23906660823566953</v>
      </c>
      <c r="L331" s="306">
        <f>+SUM(L319:L330)</f>
        <v>38546.769999999997</v>
      </c>
      <c r="M331" s="353"/>
      <c r="N331" s="318">
        <f t="shared" si="91"/>
        <v>38546.769999999997</v>
      </c>
      <c r="O331" s="307" t="s">
        <v>115</v>
      </c>
      <c r="P331" s="305">
        <f>Q331/Q$315</f>
        <v>0.2305083002760355</v>
      </c>
      <c r="Q331" s="306">
        <f>+SUM(Q319:Q330)</f>
        <v>36177.629999999997</v>
      </c>
      <c r="R331" s="353"/>
      <c r="S331" s="318">
        <f t="shared" si="92"/>
        <v>2369.1399999999994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16166.55</v>
      </c>
      <c r="M332" s="252"/>
      <c r="N332" s="275">
        <f t="shared" si="91"/>
        <v>16166.55</v>
      </c>
      <c r="O332" s="252"/>
      <c r="P332" s="41"/>
      <c r="Q332" s="255">
        <f>SUMIFS(BV_Data_An_Prec!$AN:$AN,BV_Data_An_Prec!$AP:$AP,$B332,BV_Data_An_Prec!$AQ:$AQ,$C332,BV_Data_An_Prec!$AR:$AR,$L$2)</f>
        <v>7094.24</v>
      </c>
      <c r="R332" s="252"/>
      <c r="S332" s="275">
        <f t="shared" si="92"/>
        <v>9072.31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6.86</v>
      </c>
      <c r="M334" s="245"/>
      <c r="N334" s="295">
        <f t="shared" si="91"/>
        <v>6.86</v>
      </c>
      <c r="O334" s="245"/>
      <c r="P334" s="316"/>
      <c r="Q334" s="255">
        <f>SUMIFS(BV_Data_An_Prec!$AN:$AN,BV_Data_An_Prec!$AP:$AP,$B334,BV_Data_An_Prec!$AQ:$AQ,$C334,BV_Data_An_Prec!$AR:$AR,$L$2)</f>
        <v>640.55999999999995</v>
      </c>
      <c r="R334" s="245"/>
      <c r="S334" s="295">
        <f t="shared" si="92"/>
        <v>-633.69999999999993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2151.64</v>
      </c>
      <c r="M335" s="252"/>
      <c r="N335" s="275">
        <f t="shared" si="91"/>
        <v>2151.64</v>
      </c>
      <c r="O335" s="252"/>
      <c r="P335" s="41"/>
      <c r="Q335" s="271">
        <f>SUMIFS(BV_Data_An_Prec!$AN:$AN,BV_Data_An_Prec!$AP:$AP,$B335,BV_Data_An_Prec!$AQ:$AQ,$C335,BV_Data_An_Prec!$AR:$AR,$L$2)</f>
        <v>2166.16</v>
      </c>
      <c r="R335" s="252"/>
      <c r="S335" s="275">
        <f t="shared" si="92"/>
        <v>-14.519999999999982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611.74</v>
      </c>
      <c r="M336" s="252"/>
      <c r="N336" s="275">
        <f t="shared" si="91"/>
        <v>611.74</v>
      </c>
      <c r="O336" s="252"/>
      <c r="P336" s="41"/>
      <c r="Q336" s="255">
        <f>SUMIFS(BV_Data_An_Prec!$AN:$AN,BV_Data_An_Prec!$AP:$AP,$B336,BV_Data_An_Prec!$AQ:$AQ,$C336,BV_Data_An_Prec!$AR:$AR,$L$2)</f>
        <v>2164.63</v>
      </c>
      <c r="R336" s="252"/>
      <c r="S336" s="275">
        <f t="shared" si="92"/>
        <v>-1552.89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25338.39</v>
      </c>
      <c r="M337" s="245"/>
      <c r="N337" s="295">
        <f t="shared" si="91"/>
        <v>25338.39</v>
      </c>
      <c r="O337" s="245"/>
      <c r="P337" s="316"/>
      <c r="Q337" s="247">
        <f>SUMIFS(BV_Data_An_Prec!$AN:$AN,BV_Data_An_Prec!$AP:$AP,$B337,BV_Data_An_Prec!$AQ:$AQ,$C337,BV_Data_An_Prec!$AR:$AR,$L$2)</f>
        <v>16376.92</v>
      </c>
      <c r="R337" s="245"/>
      <c r="S337" s="295">
        <f t="shared" si="92"/>
        <v>8961.4699999999993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473.64</v>
      </c>
      <c r="M341" s="252"/>
      <c r="N341" s="275">
        <f t="shared" si="91"/>
        <v>473.64</v>
      </c>
      <c r="O341" s="252"/>
      <c r="P341" s="41"/>
      <c r="Q341" s="255">
        <f>SUMIFS(BV_Data_An_Prec!$AN:$AN,BV_Data_An_Prec!$AP:$AP,$B341,BV_Data_An_Prec!$AQ:$AQ,$C341,BV_Data_An_Prec!$AR:$AR,$L$2)</f>
        <v>744.95</v>
      </c>
      <c r="R341" s="252"/>
      <c r="S341" s="275">
        <f t="shared" si="92"/>
        <v>-271.31000000000006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82.54</v>
      </c>
      <c r="M342" s="252"/>
      <c r="N342" s="275">
        <f t="shared" si="91"/>
        <v>82.54</v>
      </c>
      <c r="O342" s="252"/>
      <c r="P342" s="41"/>
      <c r="Q342" s="255">
        <f>SUMIFS(BV_Data_An_Prec!$AN:$AN,BV_Data_An_Prec!$AP:$AP,$B342,BV_Data_An_Prec!$AQ:$AQ,$C342,BV_Data_An_Prec!$AR:$AR,$L$2)</f>
        <v>56.04</v>
      </c>
      <c r="R342" s="252"/>
      <c r="S342" s="275">
        <f t="shared" si="92"/>
        <v>26.500000000000007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0</v>
      </c>
      <c r="M344" s="252"/>
      <c r="N344" s="275">
        <f t="shared" si="91"/>
        <v>0</v>
      </c>
      <c r="O344" s="252"/>
      <c r="P344" s="41"/>
      <c r="Q344" s="255">
        <f>SUMIFS(BV_Data_An_Prec!$AN:$AN,BV_Data_An_Prec!$AP:$AP,$B344,BV_Data_An_Prec!$AQ:$AQ,$C344,BV_Data_An_Prec!$AR:$AR,$L$2)</f>
        <v>74.760000000000005</v>
      </c>
      <c r="R344" s="252"/>
      <c r="S344" s="275">
        <f t="shared" si="92"/>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0.27804356053158974</v>
      </c>
      <c r="L350" s="306">
        <f>+SUM(L332:L349)</f>
        <v>44831.360000000001</v>
      </c>
      <c r="M350" s="309"/>
      <c r="N350" s="306">
        <f>+SUM(N332:N349)</f>
        <v>44831.360000000001</v>
      </c>
      <c r="O350" s="307" t="s">
        <v>115</v>
      </c>
      <c r="P350" s="305">
        <f>Q350/Q$315</f>
        <v>0.18680334448804087</v>
      </c>
      <c r="Q350" s="306">
        <f>+SUM(Q332:Q349)</f>
        <v>29318.260000000002</v>
      </c>
      <c r="R350" s="309"/>
      <c r="S350" s="306">
        <f>+SUM(S332:S349)</f>
        <v>15513.099999999999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0.51711016876725935</v>
      </c>
      <c r="L352" s="306">
        <f>L331+L350</f>
        <v>83378.13</v>
      </c>
      <c r="M352" s="309"/>
      <c r="N352" s="318">
        <f>L352-F352</f>
        <v>83378.13</v>
      </c>
      <c r="O352" s="307" t="s">
        <v>115</v>
      </c>
      <c r="P352" s="305">
        <f>Q352/Q$315</f>
        <v>0.41731164476407634</v>
      </c>
      <c r="Q352" s="306">
        <f>Q331+Q350</f>
        <v>65495.89</v>
      </c>
      <c r="R352" s="309"/>
      <c r="S352" s="318">
        <f>L352-Q352</f>
        <v>17882.240000000005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77860.49000000002</v>
      </c>
      <c r="M354" s="330"/>
      <c r="N354" s="333">
        <f>L354-F354</f>
        <v>77860.49000000002</v>
      </c>
      <c r="O354" s="330"/>
      <c r="P354" s="332"/>
      <c r="Q354" s="333">
        <f>Q315-Q352</f>
        <v>91451.3</v>
      </c>
      <c r="R354" s="330"/>
      <c r="S354" s="333">
        <f>L354-Q354</f>
        <v>-13590.809999999983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Janvier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Janvier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4034622.69</v>
      </c>
      <c r="AG407" s="440"/>
      <c r="AH407" s="441"/>
      <c r="AI407" s="442"/>
      <c r="AJ407" s="440"/>
      <c r="AK407" s="441"/>
      <c r="AL407" s="441">
        <f>Q5+Q93+P195+P251+O315+O363</f>
        <v>6219757.5300000003</v>
      </c>
      <c r="AM407" s="443"/>
      <c r="AN407" s="441"/>
      <c r="AO407" s="444"/>
      <c r="AP407" s="38"/>
      <c r="AQ407" s="443">
        <v>54204064.640000001</v>
      </c>
      <c r="AR407" s="569">
        <f t="shared" ref="AR407:AR408" si="99">AF407-AQ407</f>
        <v>-50169441.950000003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0.14032616517109808</v>
      </c>
      <c r="AE408" s="449"/>
      <c r="AF408" s="449">
        <f>L27+L109+L195+L251+L315+L363</f>
        <v>566163.13</v>
      </c>
      <c r="AG408" s="448"/>
      <c r="AH408" s="449">
        <f>AF408-Z408</f>
        <v>566163.13</v>
      </c>
      <c r="AI408" s="450" t="e">
        <f>AH408/Z408</f>
        <v>#DIV/0!</v>
      </c>
      <c r="AJ408" s="473">
        <f>+AL408/AL407</f>
        <v>0.11672535086749601</v>
      </c>
      <c r="AK408" s="449"/>
      <c r="AL408" s="449">
        <f>Q27+Q109+Q195+Q251+Q315+Q363</f>
        <v>726003.38000000035</v>
      </c>
      <c r="AM408" s="451"/>
      <c r="AN408" s="449">
        <f>AF408-AL408</f>
        <v>-159840.25000000035</v>
      </c>
      <c r="AO408" s="452">
        <f>IF(AL408=0,0,AN408/AL408)</f>
        <v>-0.22016460860003195</v>
      </c>
      <c r="AP408" s="94"/>
      <c r="AQ408" s="451">
        <v>7795760.1900000032</v>
      </c>
      <c r="AR408" s="570">
        <f t="shared" si="99"/>
        <v>-7229597.0600000033</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937.84046875000001</v>
      </c>
      <c r="AF410" s="455">
        <f t="shared" ref="AF410:AF419" si="103">+SUMIF($C:$C,$V410,L:L)</f>
        <v>60021.79</v>
      </c>
      <c r="AG410" s="456" t="e">
        <f t="shared" ref="AG410:AG419" si="104">AE410-Y410</f>
        <v>#DIV/0!</v>
      </c>
      <c r="AH410" s="457">
        <f t="shared" ref="AH410:AH419" si="105">AF410-Z410</f>
        <v>60021.79</v>
      </c>
      <c r="AI410" s="458">
        <f t="shared" ref="AI410:AI419" si="106">IF(Z410=0,0,AH410/Z410)</f>
        <v>0</v>
      </c>
      <c r="AJ410" s="463"/>
      <c r="AK410" s="462">
        <f t="shared" ref="AK410:AK419" si="107">AL410/(O$13+O$97)</f>
        <v>741.2358695652174</v>
      </c>
      <c r="AL410" s="455">
        <f>SUMIFS(BV_Data_An_Prec!$AN:$AN,BV_Data_An_Prec!$AQ:$AQ,$V410)</f>
        <v>68193.7</v>
      </c>
      <c r="AM410" s="459">
        <f t="shared" ref="AM410:AM416" si="108">AE410-AK410</f>
        <v>196.60459918478261</v>
      </c>
      <c r="AN410" s="457">
        <f t="shared" ref="AN410:AN432" si="109">AF410-AL410</f>
        <v>-8171.9099999999962</v>
      </c>
      <c r="AO410" s="464">
        <f t="shared" ref="AO410:AO432" si="110">IF(AL410=0,0,AN410/AL410)</f>
        <v>-0.11983379696364908</v>
      </c>
      <c r="AP410" s="94"/>
      <c r="AQ410" s="571">
        <v>778277.40999999992</v>
      </c>
      <c r="AR410" s="510">
        <f t="shared" ref="AR410:AR467" si="111">AF410-AQ410</f>
        <v>-718255.61999999988</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446.78578124999996</v>
      </c>
      <c r="AF411" s="439">
        <f t="shared" si="103"/>
        <v>28594.289999999997</v>
      </c>
      <c r="AG411" s="440" t="e">
        <f t="shared" si="104"/>
        <v>#DIV/0!</v>
      </c>
      <c r="AH411" s="441">
        <f t="shared" si="105"/>
        <v>28594.289999999997</v>
      </c>
      <c r="AI411" s="468">
        <f t="shared" si="106"/>
        <v>0</v>
      </c>
      <c r="AJ411" s="467"/>
      <c r="AK411" s="466">
        <f t="shared" si="107"/>
        <v>392.25358695652176</v>
      </c>
      <c r="AL411" s="439">
        <f>SUMIFS(BV_Data_An_Prec!$AN:$AN,BV_Data_An_Prec!$AQ:$AQ,$V411)</f>
        <v>36087.33</v>
      </c>
      <c r="AM411" s="443">
        <f t="shared" si="108"/>
        <v>54.532194293478199</v>
      </c>
      <c r="AN411" s="441">
        <f t="shared" si="109"/>
        <v>-7493.0400000000045</v>
      </c>
      <c r="AO411" s="444">
        <f t="shared" si="110"/>
        <v>-0.20763630892061019</v>
      </c>
      <c r="AP411" s="94"/>
      <c r="AQ411" s="572">
        <v>469053.9</v>
      </c>
      <c r="AR411" s="569">
        <f t="shared" si="111"/>
        <v>-440459.61000000004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6.0723437499999999</v>
      </c>
      <c r="AF412" s="455">
        <f t="shared" si="103"/>
        <v>388.63</v>
      </c>
      <c r="AG412" s="456" t="e">
        <f t="shared" si="104"/>
        <v>#DIV/0!</v>
      </c>
      <c r="AH412" s="457">
        <f t="shared" si="105"/>
        <v>388.63</v>
      </c>
      <c r="AI412" s="458">
        <f t="shared" si="106"/>
        <v>0</v>
      </c>
      <c r="AJ412" s="463"/>
      <c r="AK412" s="462">
        <f t="shared" si="107"/>
        <v>44.058478260869563</v>
      </c>
      <c r="AL412" s="455">
        <f>SUMIFS(BV_Data_An_Prec!$AN:$AN,BV_Data_An_Prec!$AQ:$AQ,$V412)</f>
        <v>4053.38</v>
      </c>
      <c r="AM412" s="459">
        <f t="shared" si="108"/>
        <v>-37.986134510869562</v>
      </c>
      <c r="AN412" s="457">
        <f t="shared" si="109"/>
        <v>-3664.75</v>
      </c>
      <c r="AO412" s="464">
        <f t="shared" si="110"/>
        <v>-0.90412199201653931</v>
      </c>
      <c r="AP412" s="94"/>
      <c r="AQ412" s="571">
        <v>56454.65</v>
      </c>
      <c r="AR412" s="510">
        <f t="shared" si="111"/>
        <v>-56066.020000000004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14.815781250000001</v>
      </c>
      <c r="AF414" s="439">
        <f t="shared" si="103"/>
        <v>948.21</v>
      </c>
      <c r="AG414" s="440" t="e">
        <f t="shared" si="104"/>
        <v>#DIV/0!</v>
      </c>
      <c r="AH414" s="441">
        <f t="shared" si="105"/>
        <v>948.21</v>
      </c>
      <c r="AI414" s="468">
        <f t="shared" si="106"/>
        <v>0</v>
      </c>
      <c r="AJ414" s="467"/>
      <c r="AK414" s="466">
        <f t="shared" si="107"/>
        <v>7.2963043478260872</v>
      </c>
      <c r="AL414" s="439">
        <f>SUMIFS(BV_Data_An_Prec!$AN:$AN,BV_Data_An_Prec!$AQ:$AQ,$V414)</f>
        <v>671.26</v>
      </c>
      <c r="AM414" s="443">
        <f t="shared" si="108"/>
        <v>7.5194769021739134</v>
      </c>
      <c r="AN414" s="441">
        <f t="shared" si="109"/>
        <v>276.95000000000005</v>
      </c>
      <c r="AO414" s="444">
        <f t="shared" si="110"/>
        <v>0.41258230789857886</v>
      </c>
      <c r="AP414" s="94"/>
      <c r="AQ414" s="572">
        <v>111419.39000000001</v>
      </c>
      <c r="AR414" s="569">
        <f t="shared" si="111"/>
        <v>-110471.18000000001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225.68703124999999</v>
      </c>
      <c r="AF415" s="455">
        <f t="shared" si="103"/>
        <v>14443.97</v>
      </c>
      <c r="AG415" s="456" t="e">
        <f t="shared" si="104"/>
        <v>#DIV/0!</v>
      </c>
      <c r="AH415" s="457">
        <f t="shared" si="105"/>
        <v>14443.97</v>
      </c>
      <c r="AI415" s="458">
        <f t="shared" si="106"/>
        <v>0</v>
      </c>
      <c r="AJ415" s="463"/>
      <c r="AK415" s="462">
        <f t="shared" si="107"/>
        <v>149.7391304347826</v>
      </c>
      <c r="AL415" s="455">
        <f>SUMIFS(BV_Data_An_Prec!$AN:$AN,BV_Data_An_Prec!$AQ:$AQ,$V415)</f>
        <v>13776</v>
      </c>
      <c r="AM415" s="459">
        <f t="shared" si="108"/>
        <v>75.947900815217395</v>
      </c>
      <c r="AN415" s="457">
        <f t="shared" si="109"/>
        <v>667.96999999999935</v>
      </c>
      <c r="AO415" s="464">
        <f t="shared" si="110"/>
        <v>4.8487950058071959E-2</v>
      </c>
      <c r="AP415" s="94"/>
      <c r="AQ415" s="571">
        <v>186022.03999999998</v>
      </c>
      <c r="AR415" s="510">
        <f t="shared" si="111"/>
        <v>-171578.06999999998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313.27648936170209</v>
      </c>
      <c r="AF416" s="455">
        <f t="shared" si="103"/>
        <v>29447.989999999998</v>
      </c>
      <c r="AG416" s="456" t="e">
        <f t="shared" si="104"/>
        <v>#DIV/0!</v>
      </c>
      <c r="AH416" s="457">
        <f t="shared" si="105"/>
        <v>29447.989999999998</v>
      </c>
      <c r="AI416" s="458">
        <f t="shared" si="106"/>
        <v>0</v>
      </c>
      <c r="AJ416" s="463"/>
      <c r="AK416" s="462">
        <f t="shared" si="107"/>
        <v>376.98054347826087</v>
      </c>
      <c r="AL416" s="455">
        <f>SUMIFS(BV_Data_An_Prec!$AN:$AN,BV_Data_An_Prec!$AQ:$AQ,$V416)</f>
        <v>34682.21</v>
      </c>
      <c r="AM416" s="459">
        <f t="shared" si="108"/>
        <v>-63.70405411655878</v>
      </c>
      <c r="AN416" s="457">
        <f t="shared" si="109"/>
        <v>-5234.2200000000012</v>
      </c>
      <c r="AO416" s="464">
        <f t="shared" si="110"/>
        <v>-0.15091944832811985</v>
      </c>
      <c r="AP416" s="94"/>
      <c r="AQ416" s="571">
        <v>67811.08</v>
      </c>
      <c r="AR416" s="510">
        <f t="shared" si="111"/>
        <v>-38363.090000000004</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0.23640691685451154</v>
      </c>
      <c r="AE420" s="470"/>
      <c r="AF420" s="472">
        <f>SUM(AF410:AF419)</f>
        <v>133844.88</v>
      </c>
      <c r="AG420" s="474"/>
      <c r="AH420" s="475">
        <f t="shared" ref="AH420:AH452" si="114">AF420-Z420</f>
        <v>133844.88</v>
      </c>
      <c r="AI420" s="471" t="e">
        <f>AH420/Z420</f>
        <v>#DIV/0!</v>
      </c>
      <c r="AJ420" s="473">
        <f>IF($AL$408=0,0,AL420/$AL$408)</f>
        <v>0.21689138692439686</v>
      </c>
      <c r="AK420" s="470"/>
      <c r="AL420" s="472">
        <f>SUM(AL410:AL419)</f>
        <v>157463.88</v>
      </c>
      <c r="AM420" s="476"/>
      <c r="AN420" s="475">
        <f t="shared" si="109"/>
        <v>-23619</v>
      </c>
      <c r="AO420" s="452">
        <f t="shared" si="110"/>
        <v>-0.1499963039142691</v>
      </c>
      <c r="AP420" s="94"/>
      <c r="AQ420" s="573">
        <v>1672155.7200000002</v>
      </c>
      <c r="AR420" s="574">
        <f t="shared" si="111"/>
        <v>-1538310.8400000003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40335.340000000004</v>
      </c>
      <c r="AG422" s="456"/>
      <c r="AH422" s="457">
        <f t="shared" si="114"/>
        <v>40335.340000000004</v>
      </c>
      <c r="AI422" s="458">
        <f t="shared" si="115"/>
        <v>0</v>
      </c>
      <c r="AJ422" s="463"/>
      <c r="AK422" s="462"/>
      <c r="AL422" s="455">
        <f>SUMIFS(BV_Data_An_Prec!$AN:$AN,BV_Data_An_Prec!$AQ:$AQ,$V422)</f>
        <v>50143.409999999996</v>
      </c>
      <c r="AM422" s="459"/>
      <c r="AN422" s="457">
        <f t="shared" si="109"/>
        <v>-9808.0699999999924</v>
      </c>
      <c r="AO422" s="464">
        <f t="shared" si="110"/>
        <v>-0.19560037899297222</v>
      </c>
      <c r="AP422" s="94"/>
      <c r="AQ422" s="571">
        <v>480874.87</v>
      </c>
      <c r="AR422" s="510">
        <f t="shared" si="111"/>
        <v>-440539.52999999997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61658.820000000007</v>
      </c>
      <c r="AG424" s="456"/>
      <c r="AH424" s="457">
        <f t="shared" si="114"/>
        <v>61658.820000000007</v>
      </c>
      <c r="AI424" s="458">
        <f t="shared" si="115"/>
        <v>0</v>
      </c>
      <c r="AJ424" s="463"/>
      <c r="AK424" s="462"/>
      <c r="AL424" s="455">
        <f>SUMIFS(BV_Data_An_Prec!$AN:$AN,BV_Data_An_Prec!$AQ:$AQ,$V424)</f>
        <v>73666.100000000006</v>
      </c>
      <c r="AM424" s="459"/>
      <c r="AN424" s="457">
        <f t="shared" si="109"/>
        <v>-12007.279999999999</v>
      </c>
      <c r="AO424" s="464">
        <f t="shared" si="110"/>
        <v>-0.16299600494664435</v>
      </c>
      <c r="AP424" s="94"/>
      <c r="AQ424" s="571">
        <v>653651.56000000006</v>
      </c>
      <c r="AR424" s="510">
        <f t="shared" si="111"/>
        <v>-591992.74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23755.61</v>
      </c>
      <c r="AG429" s="440"/>
      <c r="AH429" s="441">
        <f t="shared" si="114"/>
        <v>23755.61</v>
      </c>
      <c r="AI429" s="468">
        <f t="shared" si="115"/>
        <v>0</v>
      </c>
      <c r="AJ429" s="467"/>
      <c r="AK429" s="466"/>
      <c r="AL429" s="439">
        <f>SUMIFS(BV_Data_An_Prec!$AN:$AN,BV_Data_An_Prec!$AQ:$AQ,$V429)</f>
        <v>41661.879999999997</v>
      </c>
      <c r="AM429" s="443"/>
      <c r="AN429" s="441">
        <f t="shared" si="109"/>
        <v>-17906.269999999997</v>
      </c>
      <c r="AO429" s="444">
        <f t="shared" si="110"/>
        <v>-0.42979985540738913</v>
      </c>
      <c r="AP429" s="94"/>
      <c r="AQ429" s="572">
        <v>484984.30000000005</v>
      </c>
      <c r="AR429" s="569">
        <f t="shared" si="111"/>
        <v>-461228.69000000006</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38005.85</v>
      </c>
      <c r="AG430" s="456"/>
      <c r="AH430" s="457">
        <f t="shared" si="114"/>
        <v>38005.85</v>
      </c>
      <c r="AI430" s="458">
        <f t="shared" si="115"/>
        <v>0</v>
      </c>
      <c r="AJ430" s="463"/>
      <c r="AK430" s="462"/>
      <c r="AL430" s="455">
        <f>SUMIFS(BV_Data_An_Prec!$AN:$AN,BV_Data_An_Prec!$AQ:$AQ,$V430)</f>
        <v>49743.28</v>
      </c>
      <c r="AM430" s="459"/>
      <c r="AN430" s="457">
        <f t="shared" si="109"/>
        <v>-11737.43</v>
      </c>
      <c r="AO430" s="464">
        <f t="shared" si="110"/>
        <v>-0.23596011360730537</v>
      </c>
      <c r="AP430" s="94"/>
      <c r="AQ430" s="571">
        <v>452089.25</v>
      </c>
      <c r="AR430" s="510">
        <f t="shared" si="111"/>
        <v>-414083.4</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3953.9100000000003</v>
      </c>
      <c r="AG431" s="456"/>
      <c r="AH431" s="457">
        <f t="shared" si="114"/>
        <v>3953.9100000000003</v>
      </c>
      <c r="AI431" s="458">
        <f t="shared" si="115"/>
        <v>0</v>
      </c>
      <c r="AJ431" s="463"/>
      <c r="AK431" s="462"/>
      <c r="AL431" s="455">
        <f>SUMIFS(BV_Data_An_Prec!$AN:$AN,BV_Data_An_Prec!$AQ:$AQ,$V431)</f>
        <v>3335.6</v>
      </c>
      <c r="AM431" s="459"/>
      <c r="AN431" s="457">
        <f t="shared" si="109"/>
        <v>618.3100000000004</v>
      </c>
      <c r="AO431" s="464">
        <f t="shared" si="110"/>
        <v>0.18536695047367802</v>
      </c>
      <c r="AP431" s="94"/>
      <c r="AQ431" s="571">
        <v>250596.99999999997</v>
      </c>
      <c r="AR431" s="510">
        <f t="shared" si="111"/>
        <v>-246643.08999999997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0.29622121454641526</v>
      </c>
      <c r="AE434" s="478"/>
      <c r="AF434" s="472">
        <f>SUM(AF421:AF433)</f>
        <v>167709.53</v>
      </c>
      <c r="AG434" s="474"/>
      <c r="AH434" s="475">
        <f t="shared" si="114"/>
        <v>167709.53</v>
      </c>
      <c r="AI434" s="471" t="e">
        <f>AH434/Z434</f>
        <v>#DIV/0!</v>
      </c>
      <c r="AJ434" s="473">
        <f>IF($AL$408=0,0,AL434/$AL$408)</f>
        <v>0.3010320282530915</v>
      </c>
      <c r="AK434" s="478"/>
      <c r="AL434" s="472">
        <f>SUM(AL421:AL433)</f>
        <v>218550.27000000002</v>
      </c>
      <c r="AM434" s="480"/>
      <c r="AN434" s="475">
        <f t="shared" ref="AN434:AN452" si="118">AF434-AL434</f>
        <v>-50840.74000000002</v>
      </c>
      <c r="AO434" s="452">
        <f t="shared" ref="AO434:AO462" si="119">IF(AL434=0,0,AN434/AL434)</f>
        <v>-0.23262721203684633</v>
      </c>
      <c r="AP434" s="94"/>
      <c r="AQ434" s="573">
        <v>3367938.6900000004</v>
      </c>
      <c r="AR434" s="574">
        <f t="shared" si="111"/>
        <v>-3200229.1600000006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16166.55</v>
      </c>
      <c r="AG435" s="484"/>
      <c r="AH435" s="486">
        <f t="shared" si="114"/>
        <v>16166.55</v>
      </c>
      <c r="AI435" s="487">
        <f t="shared" ref="AI435:AI452" si="121">IF(Z435=0,0,AH435/Z435)</f>
        <v>0</v>
      </c>
      <c r="AJ435" s="484"/>
      <c r="AK435" s="485"/>
      <c r="AL435" s="483">
        <f>SUMIFS(BV_Data_An_Prec!$AN:$AN,BV_Data_An_Prec!$AQ:$AQ,$V435)</f>
        <v>7094.24</v>
      </c>
      <c r="AM435" s="488"/>
      <c r="AN435" s="486">
        <f t="shared" si="118"/>
        <v>9072.31</v>
      </c>
      <c r="AO435" s="460">
        <f t="shared" si="119"/>
        <v>1.278827612260087</v>
      </c>
      <c r="AP435" s="94"/>
      <c r="AQ435" s="577">
        <v>176878.05000000002</v>
      </c>
      <c r="AR435" s="504">
        <f t="shared" si="111"/>
        <v>-160711.50000000003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-26533.7</v>
      </c>
      <c r="AG437" s="440"/>
      <c r="AH437" s="441">
        <f t="shared" si="114"/>
        <v>-26533.7</v>
      </c>
      <c r="AI437" s="468">
        <f t="shared" si="121"/>
        <v>0</v>
      </c>
      <c r="AJ437" s="467"/>
      <c r="AK437" s="466"/>
      <c r="AL437" s="439">
        <f>SUMIFS(BV_Data_An_Prec!$AN:$AN,BV_Data_An_Prec!$AQ:$AQ,$V437)</f>
        <v>-4235.1499999999996</v>
      </c>
      <c r="AM437" s="443"/>
      <c r="AN437" s="441">
        <f t="shared" si="118"/>
        <v>-22298.550000000003</v>
      </c>
      <c r="AO437" s="444">
        <f t="shared" si="119"/>
        <v>5.2651145768154626</v>
      </c>
      <c r="AP437" s="94"/>
      <c r="AQ437" s="572">
        <v>276796.59999999998</v>
      </c>
      <c r="AR437" s="569">
        <f t="shared" si="111"/>
        <v>-303330.3</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7399.68</v>
      </c>
      <c r="AG438" s="456"/>
      <c r="AH438" s="457">
        <f t="shared" si="114"/>
        <v>7399.68</v>
      </c>
      <c r="AI438" s="458">
        <f t="shared" si="121"/>
        <v>0</v>
      </c>
      <c r="AJ438" s="463"/>
      <c r="AK438" s="462"/>
      <c r="AL438" s="455">
        <f>SUMIFS(BV_Data_An_Prec!$AN:$AN,BV_Data_An_Prec!$AQ:$AQ,$V438)</f>
        <v>7262.31</v>
      </c>
      <c r="AM438" s="459"/>
      <c r="AN438" s="457">
        <f t="shared" si="118"/>
        <v>137.36999999999989</v>
      </c>
      <c r="AO438" s="464">
        <f t="shared" si="119"/>
        <v>1.8915469044973276E-2</v>
      </c>
      <c r="AP438" s="94"/>
      <c r="AQ438" s="571">
        <v>239193.79</v>
      </c>
      <c r="AR438" s="510">
        <f t="shared" si="111"/>
        <v>-231794.11000000002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8173.93</v>
      </c>
      <c r="AG439" s="456"/>
      <c r="AH439" s="457">
        <f t="shared" si="114"/>
        <v>8173.93</v>
      </c>
      <c r="AI439" s="458">
        <f t="shared" si="121"/>
        <v>0</v>
      </c>
      <c r="AJ439" s="463"/>
      <c r="AK439" s="462"/>
      <c r="AL439" s="455">
        <f>SUMIFS(BV_Data_An_Prec!$AN:$AN,BV_Data_An_Prec!$AQ:$AQ,$V439)</f>
        <v>8463.52</v>
      </c>
      <c r="AM439" s="459"/>
      <c r="AN439" s="457">
        <f t="shared" si="118"/>
        <v>-289.59000000000015</v>
      </c>
      <c r="AO439" s="464">
        <f t="shared" si="119"/>
        <v>-3.4216259901317672E-2</v>
      </c>
      <c r="AP439" s="94"/>
      <c r="AQ439" s="571">
        <v>42486.400000000001</v>
      </c>
      <c r="AR439" s="510">
        <f t="shared" si="111"/>
        <v>-34312.47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33163.24</v>
      </c>
      <c r="AG440" s="456"/>
      <c r="AH440" s="457">
        <f t="shared" si="114"/>
        <v>33163.24</v>
      </c>
      <c r="AI440" s="458">
        <f t="shared" si="121"/>
        <v>0</v>
      </c>
      <c r="AJ440" s="463"/>
      <c r="AK440" s="462"/>
      <c r="AL440" s="455">
        <f>SUMIFS(BV_Data_An_Prec!$AN:$AN,BV_Data_An_Prec!$AQ:$AQ,$V440)</f>
        <v>24944.62</v>
      </c>
      <c r="AM440" s="459"/>
      <c r="AN440" s="457">
        <f t="shared" si="118"/>
        <v>8218.619999999999</v>
      </c>
      <c r="AO440" s="464">
        <f t="shared" si="119"/>
        <v>0.32947465224966344</v>
      </c>
      <c r="AP440" s="94"/>
      <c r="AQ440" s="571">
        <v>240398.68</v>
      </c>
      <c r="AR440" s="510">
        <f t="shared" si="111"/>
        <v>-207235.44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4872.16</v>
      </c>
      <c r="AG441" s="490"/>
      <c r="AH441" s="486">
        <f t="shared" si="114"/>
        <v>4872.16</v>
      </c>
      <c r="AI441" s="487">
        <f t="shared" si="121"/>
        <v>0</v>
      </c>
      <c r="AJ441" s="484"/>
      <c r="AK441" s="485"/>
      <c r="AL441" s="483">
        <f>SUMIFS(BV_Data_An_Prec!$AN:$AN,BV_Data_An_Prec!$AQ:$AQ,$V441)</f>
        <v>5444.81</v>
      </c>
      <c r="AM441" s="488"/>
      <c r="AN441" s="486">
        <f t="shared" si="118"/>
        <v>-572.65000000000055</v>
      </c>
      <c r="AO441" s="460">
        <f t="shared" si="119"/>
        <v>-0.10517355059221543</v>
      </c>
      <c r="AP441" s="94"/>
      <c r="AQ441" s="577">
        <v>0</v>
      </c>
      <c r="AR441" s="504">
        <f t="shared" si="111"/>
        <v>4872.16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1849.85</v>
      </c>
      <c r="AG443" s="456"/>
      <c r="AH443" s="457">
        <f t="shared" si="114"/>
        <v>1849.85</v>
      </c>
      <c r="AI443" s="477">
        <f t="shared" si="121"/>
        <v>0</v>
      </c>
      <c r="AJ443" s="463"/>
      <c r="AK443" s="462"/>
      <c r="AL443" s="455">
        <f>SUMIFS(BV_Data_An_Prec!$AN:$AN,BV_Data_An_Prec!$AQ:$AQ,$V443)</f>
        <v>1632.83</v>
      </c>
      <c r="AM443" s="459"/>
      <c r="AN443" s="457">
        <f t="shared" si="118"/>
        <v>217.01999999999998</v>
      </c>
      <c r="AO443" s="464">
        <f t="shared" si="119"/>
        <v>0.13291034584126946</v>
      </c>
      <c r="AP443" s="94"/>
      <c r="AQ443" s="571">
        <v>14808.84</v>
      </c>
      <c r="AR443" s="510">
        <f t="shared" si="111"/>
        <v>-12958.99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2727.0499999999997</v>
      </c>
      <c r="AG444" s="456"/>
      <c r="AH444" s="457">
        <f t="shared" si="114"/>
        <v>2727.0499999999997</v>
      </c>
      <c r="AI444" s="458">
        <f t="shared" si="121"/>
        <v>0</v>
      </c>
      <c r="AJ444" s="463"/>
      <c r="AK444" s="462"/>
      <c r="AL444" s="455">
        <f>SUMIFS(BV_Data_An_Prec!$AN:$AN,BV_Data_An_Prec!$AQ:$AQ,$V444)</f>
        <v>3699.1100000000006</v>
      </c>
      <c r="AM444" s="459"/>
      <c r="AN444" s="457">
        <f t="shared" si="118"/>
        <v>-972.06000000000085</v>
      </c>
      <c r="AO444" s="464">
        <f t="shared" si="119"/>
        <v>-0.26278212867419481</v>
      </c>
      <c r="AP444" s="94"/>
      <c r="AQ444" s="571">
        <v>30323.510000000002</v>
      </c>
      <c r="AR444" s="510">
        <f t="shared" si="111"/>
        <v>-27596.460000000003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346.17</v>
      </c>
      <c r="AG445" s="456"/>
      <c r="AH445" s="457">
        <f t="shared" si="114"/>
        <v>346.17</v>
      </c>
      <c r="AI445" s="477">
        <f t="shared" si="121"/>
        <v>0</v>
      </c>
      <c r="AJ445" s="463"/>
      <c r="AK445" s="462"/>
      <c r="AL445" s="455">
        <f>SUMIFS(BV_Data_An_Prec!$AN:$AN,BV_Data_An_Prec!$AQ:$AQ,$V445)</f>
        <v>224.17000000000002</v>
      </c>
      <c r="AM445" s="459"/>
      <c r="AN445" s="457">
        <f t="shared" si="118"/>
        <v>122</v>
      </c>
      <c r="AO445" s="464">
        <f t="shared" si="119"/>
        <v>0.54422982557880173</v>
      </c>
      <c r="AP445" s="94"/>
      <c r="AQ445" s="571">
        <v>8588.4900000000016</v>
      </c>
      <c r="AR445" s="510">
        <f t="shared" si="111"/>
        <v>-8242.3200000000015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102.37</v>
      </c>
      <c r="AG446" s="456"/>
      <c r="AH446" s="457">
        <f t="shared" si="114"/>
        <v>102.37</v>
      </c>
      <c r="AI446" s="458">
        <f t="shared" si="121"/>
        <v>0</v>
      </c>
      <c r="AJ446" s="463"/>
      <c r="AK446" s="462"/>
      <c r="AL446" s="455">
        <f>SUMIFS(BV_Data_An_Prec!$AN:$AN,BV_Data_An_Prec!$AQ:$AQ,$V446)</f>
        <v>62.93</v>
      </c>
      <c r="AM446" s="459"/>
      <c r="AN446" s="457">
        <f t="shared" si="118"/>
        <v>39.440000000000005</v>
      </c>
      <c r="AO446" s="464">
        <f t="shared" si="119"/>
        <v>0.6267281105990784</v>
      </c>
      <c r="AP446" s="94"/>
      <c r="AQ446" s="571">
        <v>3965.16</v>
      </c>
      <c r="AR446" s="510">
        <f t="shared" si="111"/>
        <v>-3862.79</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954.81</v>
      </c>
      <c r="AG447" s="456"/>
      <c r="AH447" s="457">
        <f t="shared" si="114"/>
        <v>954.81</v>
      </c>
      <c r="AI447" s="477">
        <f t="shared" si="121"/>
        <v>0</v>
      </c>
      <c r="AJ447" s="463"/>
      <c r="AK447" s="462"/>
      <c r="AL447" s="455">
        <f>SUMIFS(BV_Data_An_Prec!$AN:$AN,BV_Data_An_Prec!$AQ:$AQ,$V447)</f>
        <v>2209.6800000000003</v>
      </c>
      <c r="AM447" s="459"/>
      <c r="AN447" s="457">
        <f t="shared" si="118"/>
        <v>-1254.8700000000003</v>
      </c>
      <c r="AO447" s="464">
        <f t="shared" si="119"/>
        <v>-0.56789670902574141</v>
      </c>
      <c r="AP447" s="94"/>
      <c r="AQ447" s="571">
        <v>9676.7800000000007</v>
      </c>
      <c r="AR447" s="510">
        <f t="shared" si="111"/>
        <v>-8721.9700000000012</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4202.75</v>
      </c>
      <c r="AG448" s="456"/>
      <c r="AH448" s="829">
        <f t="shared" si="114"/>
        <v>4202.75</v>
      </c>
      <c r="AI448" s="458">
        <f t="shared" si="121"/>
        <v>0</v>
      </c>
      <c r="AJ448" s="463"/>
      <c r="AK448" s="462"/>
      <c r="AL448" s="455">
        <f>SUMIFS(BV_Data_An_Prec!$AN:$AN,BV_Data_An_Prec!$AQ:$AQ,$V448)</f>
        <v>1550</v>
      </c>
      <c r="AM448" s="459"/>
      <c r="AN448" s="457">
        <f t="shared" si="118"/>
        <v>2652.75</v>
      </c>
      <c r="AO448" s="464">
        <f t="shared" si="119"/>
        <v>1.7114516129032258</v>
      </c>
      <c r="AP448" s="94"/>
      <c r="AQ448" s="571">
        <v>39202.850000000006</v>
      </c>
      <c r="AR448" s="510">
        <f t="shared" si="111"/>
        <v>-35000.100000000006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3934.36</v>
      </c>
      <c r="AG449" s="456"/>
      <c r="AH449" s="778">
        <f t="shared" si="114"/>
        <v>3934.36</v>
      </c>
      <c r="AI449" s="458">
        <f t="shared" si="121"/>
        <v>0</v>
      </c>
      <c r="AJ449" s="463"/>
      <c r="AK449" s="462"/>
      <c r="AL449" s="439">
        <f>SUMIFS(BV_Data_An_Prec!$AN:$AN,BV_Data_An_Prec!$AQ:$AQ,$V449)</f>
        <v>5410.24</v>
      </c>
      <c r="AM449" s="459"/>
      <c r="AN449" s="457">
        <f t="shared" si="118"/>
        <v>-1475.8799999999997</v>
      </c>
      <c r="AO449" s="464">
        <f t="shared" si="119"/>
        <v>-0.2727938132134618</v>
      </c>
      <c r="AP449" s="94"/>
      <c r="AQ449" s="572">
        <v>99368.799999999988</v>
      </c>
      <c r="AR449" s="569">
        <f t="shared" si="111"/>
        <v>-95434.439999999988</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0.10131217834690154</v>
      </c>
      <c r="AE453" s="470"/>
      <c r="AF453" s="472">
        <f>+SUM(AF435:AF452)</f>
        <v>57359.22</v>
      </c>
      <c r="AG453" s="479"/>
      <c r="AH453" s="826">
        <f>+SUM(AH435:AH452)</f>
        <v>57359.22</v>
      </c>
      <c r="AI453" s="471" t="e">
        <f>AH453/Z453</f>
        <v>#DIV/0!</v>
      </c>
      <c r="AJ453" s="473">
        <f>IF($AL$408=0,0,AL453/$AL$408)</f>
        <v>8.7827841793243391E-2</v>
      </c>
      <c r="AK453" s="470"/>
      <c r="AL453" s="472">
        <f>+SUM(AL435:AL452)</f>
        <v>63763.31</v>
      </c>
      <c r="AM453" s="480"/>
      <c r="AN453" s="475">
        <f>+SUM(AN435:AN452)</f>
        <v>-6404.0900000000056</v>
      </c>
      <c r="AO453" s="493">
        <f t="shared" si="119"/>
        <v>-0.10043534440103573</v>
      </c>
      <c r="AP453" s="94"/>
      <c r="AQ453" s="573">
        <v>1279865.6600000001</v>
      </c>
      <c r="AR453" s="574">
        <f t="shared" si="111"/>
        <v>-1222506.4400000002</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97825</v>
      </c>
      <c r="AG454" s="456"/>
      <c r="AH454" s="457">
        <f t="shared" ref="AH454:AH462" si="124">AF454-Z454</f>
        <v>97825</v>
      </c>
      <c r="AI454" s="458">
        <f t="shared" ref="AI454:AI462" si="125">IF(Z454=0,0,AH454/Z454)</f>
        <v>0</v>
      </c>
      <c r="AJ454" s="463"/>
      <c r="AK454" s="462"/>
      <c r="AL454" s="455">
        <f>SUMIFS(BV_Data_An_Prec!$AN:$AN,BV_Data_An_Prec!$AQ:$AQ,$V454)</f>
        <v>130000</v>
      </c>
      <c r="AM454" s="459"/>
      <c r="AN454" s="457">
        <f t="shared" ref="AN454:AN462" si="126">AF454-AL454</f>
        <v>-32175</v>
      </c>
      <c r="AO454" s="464">
        <f t="shared" si="119"/>
        <v>-0.2475</v>
      </c>
      <c r="AP454" s="94"/>
      <c r="AQ454" s="571">
        <v>312000</v>
      </c>
      <c r="AR454" s="510">
        <f t="shared" si="111"/>
        <v>-214175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23428.690000000002</v>
      </c>
      <c r="AG455" s="456"/>
      <c r="AH455" s="457">
        <f t="shared" si="124"/>
        <v>23428.690000000002</v>
      </c>
      <c r="AI455" s="458">
        <f t="shared" si="125"/>
        <v>0</v>
      </c>
      <c r="AJ455" s="463"/>
      <c r="AK455" s="462"/>
      <c r="AL455" s="455">
        <f>SUMIFS(BV_Data_An_Prec!$AN:$AN,BV_Data_An_Prec!$AQ:$AQ,$V455)</f>
        <v>44158.83</v>
      </c>
      <c r="AM455" s="459"/>
      <c r="AN455" s="457">
        <f t="shared" si="126"/>
        <v>-20730.14</v>
      </c>
      <c r="AO455" s="464">
        <f t="shared" si="119"/>
        <v>-0.46944495585594087</v>
      </c>
      <c r="AP455" s="94"/>
      <c r="AQ455" s="571">
        <v>59160</v>
      </c>
      <c r="AR455" s="510">
        <f t="shared" si="111"/>
        <v>-35731.31</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3338.9700000000003</v>
      </c>
      <c r="AG458" s="440"/>
      <c r="AH458" s="441">
        <f t="shared" si="124"/>
        <v>3338.9700000000003</v>
      </c>
      <c r="AI458" s="468">
        <f t="shared" si="125"/>
        <v>0</v>
      </c>
      <c r="AJ458" s="467"/>
      <c r="AK458" s="466"/>
      <c r="AL458" s="439">
        <f>SUMIFS(BV_Data_An_Prec!$AN:$AN,BV_Data_An_Prec!$AQ:$AQ,$V458)</f>
        <v>4738.3899999999994</v>
      </c>
      <c r="AM458" s="443"/>
      <c r="AN458" s="441">
        <f t="shared" si="126"/>
        <v>-1399.4199999999992</v>
      </c>
      <c r="AO458" s="444">
        <f t="shared" si="119"/>
        <v>-0.29533660167271991</v>
      </c>
      <c r="AP458" s="94"/>
      <c r="AQ458" s="572">
        <v>51252</v>
      </c>
      <c r="AR458" s="569">
        <f t="shared" si="111"/>
        <v>-47913.03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11413.699999999999</v>
      </c>
      <c r="AG459" s="456"/>
      <c r="AH459" s="457">
        <f t="shared" si="124"/>
        <v>11413.699999999999</v>
      </c>
      <c r="AI459" s="458">
        <f t="shared" si="125"/>
        <v>0</v>
      </c>
      <c r="AJ459" s="463"/>
      <c r="AK459" s="462"/>
      <c r="AL459" s="455">
        <f>SUMIFS(BV_Data_An_Prec!$AN:$AN,BV_Data_An_Prec!$AQ:$AQ,$V459)</f>
        <v>7625.42</v>
      </c>
      <c r="AM459" s="459"/>
      <c r="AN459" s="457">
        <f t="shared" si="126"/>
        <v>3788.2799999999988</v>
      </c>
      <c r="AO459" s="464">
        <f t="shared" si="119"/>
        <v>0.49679624204306105</v>
      </c>
      <c r="AP459" s="94"/>
      <c r="AQ459" s="571">
        <v>28763.690000000002</v>
      </c>
      <c r="AR459" s="510">
        <f t="shared" si="111"/>
        <v>-17349.990000000005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1801.24</v>
      </c>
      <c r="AG460" s="456"/>
      <c r="AH460" s="457">
        <f t="shared" si="124"/>
        <v>1801.24</v>
      </c>
      <c r="AI460" s="458">
        <f t="shared" si="125"/>
        <v>0</v>
      </c>
      <c r="AJ460" s="463"/>
      <c r="AK460" s="462"/>
      <c r="AL460" s="455">
        <f>SUMIFS(BV_Data_An_Prec!$AN:$AN,BV_Data_An_Prec!$AQ:$AQ,$V460)</f>
        <v>5683.7000000000007</v>
      </c>
      <c r="AM460" s="459"/>
      <c r="AN460" s="457">
        <f t="shared" si="126"/>
        <v>-3882.4600000000009</v>
      </c>
      <c r="AO460" s="464">
        <f t="shared" si="119"/>
        <v>-0.6830867216777804</v>
      </c>
      <c r="AP460" s="94"/>
      <c r="AQ460" s="571">
        <v>73723.959999999992</v>
      </c>
      <c r="AR460" s="510">
        <f t="shared" si="111"/>
        <v>-71922.719999999987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0.24340617164526415</v>
      </c>
      <c r="AE467" s="470"/>
      <c r="AF467" s="472">
        <f>SUM(AF454:AF466)</f>
        <v>137807.6</v>
      </c>
      <c r="AG467" s="479"/>
      <c r="AH467" s="826">
        <f>SUM(AH454:AH466)</f>
        <v>137807.6</v>
      </c>
      <c r="AI467" s="471">
        <f>IF(Z467=0,0,AH467/Z467)</f>
        <v>0</v>
      </c>
      <c r="AJ467" s="473">
        <f>IF($AL$408=0,0,AL467/$AL$408)</f>
        <v>0.26474579223033362</v>
      </c>
      <c r="AK467" s="470"/>
      <c r="AL467" s="472">
        <f>SUM(AL454:AL466)</f>
        <v>192206.34000000005</v>
      </c>
      <c r="AM467" s="480"/>
      <c r="AN467" s="475">
        <f>SUM(AN454:AN466)</f>
        <v>-54398.74</v>
      </c>
      <c r="AO467" s="493">
        <f t="shared" ref="AO467:AO484" si="127">IF(AL467=0,0,AN467/AL467)</f>
        <v>-0.28302260997217876</v>
      </c>
      <c r="AP467" s="94"/>
      <c r="AQ467" s="573">
        <v>582942.87</v>
      </c>
      <c r="AR467" s="574">
        <f t="shared" si="111"/>
        <v>-445135.27</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0.87734648139309246</v>
      </c>
      <c r="AE469" s="470"/>
      <c r="AF469" s="472">
        <f>AF420+AF434+AF453+AF467</f>
        <v>496721.23</v>
      </c>
      <c r="AG469" s="479"/>
      <c r="AH469" s="826">
        <f t="shared" si="128"/>
        <v>496721.23</v>
      </c>
      <c r="AI469" s="471" t="e">
        <f>AH469/Z469</f>
        <v>#DIV/0!</v>
      </c>
      <c r="AJ469" s="473">
        <f>IF($AL$408=0,0,AL469/$AL$408)</f>
        <v>0.8704970492010653</v>
      </c>
      <c r="AK469" s="470"/>
      <c r="AL469" s="472">
        <f>AL420+AL434+AL453+AL467</f>
        <v>631983.80000000005</v>
      </c>
      <c r="AM469" s="480"/>
      <c r="AN469" s="475">
        <f t="shared" si="129"/>
        <v>-135262.57000000007</v>
      </c>
      <c r="AO469" s="452">
        <f t="shared" si="127"/>
        <v>-0.214028539972069</v>
      </c>
      <c r="AP469" s="94"/>
      <c r="AQ469" s="573">
        <v>6902902.9400000004</v>
      </c>
      <c r="AR469" s="574">
        <f t="shared" ref="AR469:AR482" si="130">AF469-AQ469</f>
        <v>-6406181.7100000009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48926.41</v>
      </c>
      <c r="AG470" s="503"/>
      <c r="AH470" s="457">
        <f t="shared" si="128"/>
        <v>48926.41</v>
      </c>
      <c r="AI470" s="496" t="e">
        <f>IF(AH470=0,0,AH470/Z470)</f>
        <v>#DIV/0!</v>
      </c>
      <c r="AJ470" s="502"/>
      <c r="AK470" s="501"/>
      <c r="AL470" s="455">
        <f>-SUMIFS(BV_Data_An_Prec!$AN:$AN,BV_Data_An_Prec!$AQ:$AQ,$V470)</f>
        <v>37852.89</v>
      </c>
      <c r="AM470" s="505"/>
      <c r="AN470" s="457">
        <f t="shared" si="129"/>
        <v>11073.520000000004</v>
      </c>
      <c r="AO470" s="464">
        <f t="shared" si="127"/>
        <v>0.29254093941043879</v>
      </c>
      <c r="AP470" s="94"/>
      <c r="AQ470" s="571">
        <v>275258.11</v>
      </c>
      <c r="AR470" s="510">
        <f t="shared" si="130"/>
        <v>-226331.69999999998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43402</v>
      </c>
      <c r="AG471" s="508"/>
      <c r="AH471" s="457">
        <f t="shared" si="128"/>
        <v>43402</v>
      </c>
      <c r="AI471" s="477">
        <f>IF(Z471=0,0,AH471/Z471)</f>
        <v>0</v>
      </c>
      <c r="AJ471" s="509"/>
      <c r="AK471" s="495"/>
      <c r="AL471" s="455">
        <f>-SUMIFS(BV_Data_An_Prec!$AN:$AN,BV_Data_An_Prec!$AQ:$AQ,$V471)</f>
        <v>116817</v>
      </c>
      <c r="AM471" s="506"/>
      <c r="AN471" s="457">
        <f t="shared" si="129"/>
        <v>-73415</v>
      </c>
      <c r="AO471" s="464">
        <f t="shared" si="127"/>
        <v>-0.62846161089567443</v>
      </c>
      <c r="AP471" s="94"/>
      <c r="AQ471" s="571">
        <v>693962.92</v>
      </c>
      <c r="AR471" s="510">
        <f t="shared" si="130"/>
        <v>-650560.92000000004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0.16307739785174638</v>
      </c>
      <c r="AE482" s="491"/>
      <c r="AF482" s="472">
        <f>SUM(AF470:AF481)</f>
        <v>92328.41</v>
      </c>
      <c r="AG482" s="479"/>
      <c r="AH482" s="475">
        <f t="shared" si="128"/>
        <v>92328.41</v>
      </c>
      <c r="AI482" s="471" t="e">
        <f>AH482/Z482</f>
        <v>#DIV/0!</v>
      </c>
      <c r="AJ482" s="471"/>
      <c r="AK482" s="491"/>
      <c r="AL482" s="472">
        <f>SUM(AL470:AL481)</f>
        <v>154669.89000000001</v>
      </c>
      <c r="AM482" s="512"/>
      <c r="AN482" s="475">
        <f t="shared" si="129"/>
        <v>-62341.48000000001</v>
      </c>
      <c r="AO482" s="493">
        <f t="shared" si="127"/>
        <v>-0.40306151378267613</v>
      </c>
      <c r="AP482" s="94"/>
      <c r="AQ482" s="573">
        <v>1343989.52</v>
      </c>
      <c r="AR482" s="574">
        <f t="shared" si="130"/>
        <v>-1251661.1100000001</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4.0095523777466294E-2</v>
      </c>
      <c r="AF484" s="529">
        <f>AF408-AF469+AF482</f>
        <v>161770.31000000003</v>
      </c>
      <c r="AG484" s="530"/>
      <c r="AH484" s="530">
        <f>AF484-Z484</f>
        <v>161770.31000000003</v>
      </c>
      <c r="AI484" s="531" t="e">
        <f>AH484/Z484</f>
        <v>#DIV/0!</v>
      </c>
      <c r="AJ484" s="526" t="s">
        <v>215</v>
      </c>
      <c r="AK484" s="527">
        <f>IF($AL$407=0,0,AL484/$AL$407)</f>
        <v>3.9983788564182228E-2</v>
      </c>
      <c r="AL484" s="529">
        <f>AL408-AL469+AL482</f>
        <v>248689.47000000032</v>
      </c>
      <c r="AM484" s="533"/>
      <c r="AN484" s="529">
        <f t="shared" si="129"/>
        <v>-86919.160000000295</v>
      </c>
      <c r="AO484" s="534">
        <f t="shared" si="127"/>
        <v>-0.34950880710791726</v>
      </c>
      <c r="AP484" s="94"/>
      <c r="AQ484" s="533">
        <v>2236846.7700000028</v>
      </c>
      <c r="AR484" s="537">
        <f>AF484-AQ484</f>
        <v>-2075076.4600000028</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Janvier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4.7394345070715896E-2</v>
      </c>
      <c r="AF489" s="882">
        <f>AF490+AF416</f>
        <v>191218.30000000002</v>
      </c>
      <c r="AG489" s="530"/>
      <c r="AH489" s="530">
        <f t="shared" ref="AH489" si="134">AF489-Z489</f>
        <v>191218.30000000002</v>
      </c>
      <c r="AI489" s="531" t="e">
        <f>AH489/Z489</f>
        <v>#DIV/0!</v>
      </c>
      <c r="AJ489" s="880" t="s">
        <v>215</v>
      </c>
      <c r="AK489" s="881">
        <f>IF($AL$407=0,0,AL489/$AL$407)</f>
        <v>4.555992394127948E-2</v>
      </c>
      <c r="AL489" s="882">
        <f>AL490+AL416</f>
        <v>283371.68000000034</v>
      </c>
      <c r="AM489" s="533"/>
      <c r="AN489" s="882">
        <f t="shared" ref="AN489" si="135">AF489-AL489</f>
        <v>-92153.380000000325</v>
      </c>
      <c r="AO489" s="883">
        <f t="shared" ref="AO489" si="136">IF(AL489=0,0,AN489/AL489)</f>
        <v>-0.32520321014435954</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4.0095523777466294E-2</v>
      </c>
      <c r="AF490" s="528">
        <f>AF484</f>
        <v>161770.31000000003</v>
      </c>
      <c r="AG490" s="529"/>
      <c r="AH490" s="530">
        <f>AF490-Z490</f>
        <v>161770.31000000003</v>
      </c>
      <c r="AI490" s="531" t="e">
        <f>AH490/Z490</f>
        <v>#DIV/0!</v>
      </c>
      <c r="AJ490" s="526" t="s">
        <v>215</v>
      </c>
      <c r="AK490" s="527">
        <f>IF($AL$407=0,0,AL490/$AL$407)</f>
        <v>3.9983788564182228E-2</v>
      </c>
      <c r="AL490" s="537">
        <f>AL484</f>
        <v>248689.47000000032</v>
      </c>
      <c r="AM490" s="538"/>
      <c r="AN490" s="539">
        <f>AF490-AL490</f>
        <v>-86919.160000000295</v>
      </c>
      <c r="AO490" s="540">
        <f>IF(AL490=0,0,AN490/AL490)</f>
        <v>-0.34950880710791726</v>
      </c>
      <c r="AP490" s="94"/>
      <c r="AQ490" s="586">
        <v>2236846.7700000028</v>
      </c>
      <c r="AR490" s="537">
        <f>AF490-AQ490</f>
        <v>-2075076.4600000028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3693.74</v>
      </c>
      <c r="AG492" s="454"/>
      <c r="AH492" s="457">
        <f t="shared" ref="AH492:AH499" si="137">AF492-Z492</f>
        <v>3693.74</v>
      </c>
      <c r="AI492" s="477">
        <f t="shared" ref="AI492:AI498" si="138">IF(Z492=0,0,AH492/Z492)</f>
        <v>0</v>
      </c>
      <c r="AJ492" s="454"/>
      <c r="AK492" s="454"/>
      <c r="AL492" s="455">
        <f>SUMIFS(BV_Data_An_Prec!$AN:$AN,BV_Data_An_Prec!$AQ:$AQ,$V492)</f>
        <v>4099.47</v>
      </c>
      <c r="AM492" s="459"/>
      <c r="AN492" s="457">
        <f t="shared" ref="AN492:AN499" si="139">AF492-AL492</f>
        <v>-405.73000000000047</v>
      </c>
      <c r="AO492" s="464">
        <f t="shared" ref="AO492:AO499" si="140">IF(AL492=0,0,AN492/AL492)</f>
        <v>-9.8971330440276534E-2</v>
      </c>
      <c r="AP492" s="94"/>
      <c r="AQ492" s="571">
        <v>51774</v>
      </c>
      <c r="AR492" s="510">
        <f t="shared" ref="AR492:AR494" si="141">AF492-AQ492</f>
        <v>-48080.26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-10998.63</v>
      </c>
      <c r="AG497" s="38"/>
      <c r="AH497" s="457">
        <f t="shared" si="137"/>
        <v>-10998.63</v>
      </c>
      <c r="AI497" s="477">
        <f t="shared" si="138"/>
        <v>0</v>
      </c>
      <c r="AJ497" s="38"/>
      <c r="AK497" s="38"/>
      <c r="AL497" s="455">
        <f>SUMIFS(BV_Data_An_Prec!$AN:$AN,BV_Data_An_Prec!$AQ:$AQ,$V497)</f>
        <v>0</v>
      </c>
      <c r="AM497" s="545"/>
      <c r="AN497" s="457">
        <f t="shared" si="139"/>
        <v>-10998.63</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4.1906074741278977E-2</v>
      </c>
      <c r="AF499" s="529">
        <f>AF490-AF492-AF493-AF494-AF498-AF497</f>
        <v>169075.20000000004</v>
      </c>
      <c r="AG499" s="530"/>
      <c r="AH499" s="530">
        <f t="shared" si="137"/>
        <v>169075.20000000004</v>
      </c>
      <c r="AI499" s="531" t="e">
        <f>AH499/Z499</f>
        <v>#DIV/0!</v>
      </c>
      <c r="AJ499" s="532" t="s">
        <v>215</v>
      </c>
      <c r="AK499" s="527">
        <f>IF($AL$407=0,0,AL499/$AL$407)</f>
        <v>3.932468409262898E-2</v>
      </c>
      <c r="AL499" s="529">
        <f>AL490-AL492-AL493-AL494-AL498-AL497</f>
        <v>244590.00000000032</v>
      </c>
      <c r="AM499" s="533"/>
      <c r="AN499" s="529">
        <f t="shared" si="139"/>
        <v>-75514.800000000279</v>
      </c>
      <c r="AO499" s="547">
        <f t="shared" si="140"/>
        <v>-0.30874034097878156</v>
      </c>
      <c r="AP499" s="94"/>
      <c r="AQ499" s="538">
        <v>2179951.2900000028</v>
      </c>
      <c r="AR499" s="588">
        <f>AF499-AQ499</f>
        <v>-2010876.0900000029</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4"/>
  <sheetViews>
    <sheetView topLeftCell="AL1" zoomScale="80" zoomScaleNormal="80" workbookViewId="0">
      <selection activeCell="AM3" sqref="AM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t="str">
        <f>IFERROR(INDEX(G3:R3,1,MATCH(Parametres!$B$3,G$1:R$1,0)-1)*IF(OR(F3="L",F3="S",F3="I"),-1,1),"")</f>
        <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t="str">
        <f>IFERROR(INDEX(V3:AG3,1,MATCH(Parametres!$B$3,V$1:AG$1,0)-1)*IF(OR(C3="L",C3="S",C3="I"),-1,1),"")</f>
        <v/>
      </c>
      <c r="AW3" s="1030">
        <f>AX3-N(AV3)</f>
        <v>0</v>
      </c>
      <c r="AX3" s="1030">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t="str">
        <f>IFERROR(INDEX(G4:R4,1,MATCH(Parametres!$B$3,G$1:R$1,0)-1)*IF(OR(F4="L",F4="S",F4="I"),-1,1),"")</f>
        <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t="str">
        <f>IFERROR(INDEX(V4:AG4,1,MATCH(Parametres!$B$3,V$1:AG$1,0)-1)*IF(OR(C4="L",C4="S",C4="I"),-1,1),"")</f>
        <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t="str">
        <f>IFERROR(INDEX(G5:R5,1,MATCH(Parametres!$B$3,G$1:R$1,0)-1)*IF(OR(F5="L",F5="S",F5="I"),-1,1),"")</f>
        <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t="str">
        <f>IFERROR(INDEX(V5:AG5,1,MATCH(Parametres!$B$3,V$1:AG$1,0)-1)*IF(OR(C5="L",C5="S",C5="I"),-1,1),"")</f>
        <v/>
      </c>
      <c r="AW5" s="1030">
        <f t="shared" si="5"/>
        <v>0</v>
      </c>
      <c r="AX5" s="1030">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t="str">
        <f>IFERROR(INDEX(G6:R6,1,MATCH(Parametres!$B$3,G$1:R$1,0)-1)*IF(OR(F6="L",F6="S",F6="I"),-1,1),"")</f>
        <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t="str">
        <f>IFERROR(INDEX(V6:AG6,1,MATCH(Parametres!$B$3,V$1:AG$1,0)-1)*IF(OR(C6="L",C6="S",C6="I"),-1,1),"")</f>
        <v/>
      </c>
      <c r="AW6" s="1030">
        <f t="shared" si="5"/>
        <v>0</v>
      </c>
      <c r="AX6" s="1030">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t="str">
        <f>IFERROR(INDEX(G7:R7,1,MATCH(Parametres!$B$3,G$1:R$1,0)-1)*IF(OR(F7="L",F7="S",F7="I"),-1,1),"")</f>
        <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t="str">
        <f>IFERROR(INDEX(V7:AG7,1,MATCH(Parametres!$B$3,V$1:AG$1,0)-1)*IF(OR(C7="L",C7="S",C7="I"),-1,1),"")</f>
        <v/>
      </c>
      <c r="AW7" s="1030">
        <f t="shared" si="5"/>
        <v>0</v>
      </c>
      <c r="AX7" s="1030">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50644.38</v>
      </c>
      <c r="L8" s="832">
        <v>50644.38</v>
      </c>
      <c r="M8" s="832">
        <v>50644.38</v>
      </c>
      <c r="N8" s="832">
        <v>50644.38</v>
      </c>
      <c r="O8" s="832">
        <v>0</v>
      </c>
      <c r="P8" s="832">
        <v>0</v>
      </c>
      <c r="Q8" s="832">
        <v>0</v>
      </c>
      <c r="R8" s="832">
        <v>0</v>
      </c>
      <c r="S8" s="832">
        <v>7234.91</v>
      </c>
      <c r="T8" s="832">
        <v>7234.91</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t="str">
        <f>IFERROR(INDEX(G8:R8,1,MATCH(Parametres!$B$3,G$1:R$1,0)-1)*IF(OR(F8="L",F8="S",F8="I"),-1,1),"")</f>
        <v/>
      </c>
      <c r="AM8" s="1030">
        <f t="shared" si="2"/>
        <v>14286.7</v>
      </c>
      <c r="AN8" s="1030">
        <f>INDEX(G8:R8,1,MATCH(Parametres!$B$3,G$1:R$1,0))*IF(OR(F8="L",F8="S",F8="I"),-1,1)</f>
        <v>14286.7</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t="str">
        <f>IFERROR(INDEX(V8:AG8,1,MATCH(Parametres!$B$3,V$1:AG$1,0)-1)*IF(OR(C8="L",C8="S",C8="I"),-1,1),"")</f>
        <v/>
      </c>
      <c r="AW8" s="1030">
        <f t="shared" si="5"/>
        <v>0</v>
      </c>
      <c r="AX8" s="1030">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211008.98</v>
      </c>
      <c r="L9" s="832">
        <v>211008.98</v>
      </c>
      <c r="M9" s="832">
        <v>211008.98</v>
      </c>
      <c r="N9" s="832">
        <v>211008.98</v>
      </c>
      <c r="O9" s="832">
        <v>0</v>
      </c>
      <c r="P9" s="832">
        <v>0</v>
      </c>
      <c r="Q9" s="832">
        <v>0</v>
      </c>
      <c r="R9" s="832">
        <v>0</v>
      </c>
      <c r="S9" s="832">
        <v>30144.14</v>
      </c>
      <c r="T9" s="832">
        <v>30144.14</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t="str">
        <f>IFERROR(INDEX(G9:R9,1,MATCH(Parametres!$B$3,G$1:R$1,0)-1)*IF(OR(F9="L",F9="S",F9="I"),-1,1),"")</f>
        <v/>
      </c>
      <c r="AM9" s="1030">
        <f t="shared" si="2"/>
        <v>42917.14</v>
      </c>
      <c r="AN9" s="1030">
        <f>INDEX(G9:R9,1,MATCH(Parametres!$B$3,G$1:R$1,0))*IF(OR(F9="L",F9="S",F9="I"),-1,1)</f>
        <v>42917.14</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t="str">
        <f>IFERROR(INDEX(V9:AG9,1,MATCH(Parametres!$B$3,V$1:AG$1,0)-1)*IF(OR(C9="L",C9="S",C9="I"),-1,1),"")</f>
        <v/>
      </c>
      <c r="AW9" s="1030">
        <f t="shared" si="5"/>
        <v>0</v>
      </c>
      <c r="AX9" s="1030">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117531.8</v>
      </c>
      <c r="L10" s="832">
        <v>117531.8</v>
      </c>
      <c r="M10" s="832">
        <v>117531.8</v>
      </c>
      <c r="N10" s="832">
        <v>117531.8</v>
      </c>
      <c r="O10" s="832">
        <v>0</v>
      </c>
      <c r="P10" s="832">
        <v>0</v>
      </c>
      <c r="Q10" s="832">
        <v>0</v>
      </c>
      <c r="R10" s="832">
        <v>0</v>
      </c>
      <c r="S10" s="832">
        <v>16790.259999999998</v>
      </c>
      <c r="T10" s="832">
        <v>16790.259999999998</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t="str">
        <f>IFERROR(INDEX(G10:R10,1,MATCH(Parametres!$B$3,G$1:R$1,0)-1)*IF(OR(F10="L",F10="S",F10="I"),-1,1),"")</f>
        <v/>
      </c>
      <c r="AM10" s="1030">
        <f t="shared" si="2"/>
        <v>22706.92</v>
      </c>
      <c r="AN10" s="1030">
        <f>INDEX(G10:R10,1,MATCH(Parametres!$B$3,G$1:R$1,0))*IF(OR(F10="L",F10="S",F10="I"),-1,1)</f>
        <v>22706.92</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t="str">
        <f>IFERROR(INDEX(V10:AG10,1,MATCH(Parametres!$B$3,V$1:AG$1,0)-1)*IF(OR(C10="L",C10="S",C10="I"),-1,1),"")</f>
        <v/>
      </c>
      <c r="AW10" s="1030">
        <f t="shared" si="5"/>
        <v>0</v>
      </c>
      <c r="AX10" s="1030">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3343.3</v>
      </c>
      <c r="L11" s="832">
        <v>3343.3</v>
      </c>
      <c r="M11" s="832">
        <v>3343.3</v>
      </c>
      <c r="N11" s="832">
        <v>3343.3</v>
      </c>
      <c r="O11" s="832">
        <v>0</v>
      </c>
      <c r="P11" s="832">
        <v>0</v>
      </c>
      <c r="Q11" s="832">
        <v>0</v>
      </c>
      <c r="R11" s="832">
        <v>0</v>
      </c>
      <c r="S11" s="832">
        <v>477.61</v>
      </c>
      <c r="T11" s="832">
        <v>477.61</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t="str">
        <f>IFERROR(INDEX(G11:R11,1,MATCH(Parametres!$B$3,G$1:R$1,0)-1)*IF(OR(F11="L",F11="S",F11="I"),-1,1),"")</f>
        <v/>
      </c>
      <c r="AM11" s="1030">
        <f t="shared" si="2"/>
        <v>292.41000000000003</v>
      </c>
      <c r="AN11" s="1030">
        <f>INDEX(G11:R11,1,MATCH(Parametres!$B$3,G$1:R$1,0))*IF(OR(F11="L",F11="S",F11="I"),-1,1)</f>
        <v>292.41000000000003</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t="str">
        <f>IFERROR(INDEX(V11:AG11,1,MATCH(Parametres!$B$3,V$1:AG$1,0)-1)*IF(OR(C11="L",C11="S",C11="I"),-1,1),"")</f>
        <v/>
      </c>
      <c r="AW11" s="1030">
        <f t="shared" si="5"/>
        <v>0</v>
      </c>
      <c r="AX11" s="1030">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5107.03</v>
      </c>
      <c r="M12" s="832">
        <v>5107.03</v>
      </c>
      <c r="N12" s="832">
        <v>5107.03</v>
      </c>
      <c r="O12" s="832">
        <v>0</v>
      </c>
      <c r="P12" s="832">
        <v>0</v>
      </c>
      <c r="Q12" s="832">
        <v>0</v>
      </c>
      <c r="R12" s="832">
        <v>0</v>
      </c>
      <c r="S12" s="832">
        <v>729.58</v>
      </c>
      <c r="T12" s="832">
        <v>729.58</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t="str">
        <f>IFERROR(INDEX(G12:R12,1,MATCH(Parametres!$B$3,G$1:R$1,0)-1)*IF(OR(F12="L",F12="S",F12="I"),-1,1),"")</f>
        <v/>
      </c>
      <c r="AM12" s="1030">
        <f t="shared" si="2"/>
        <v>948.21</v>
      </c>
      <c r="AN12" s="1030">
        <f>INDEX(G12:R12,1,MATCH(Parametres!$B$3,G$1:R$1,0))*IF(OR(F12="L",F12="S",F12="I"),-1,1)</f>
        <v>948.21</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t="str">
        <f>IFERROR(INDEX(V12:AG12,1,MATCH(Parametres!$B$3,V$1:AG$1,0)-1)*IF(OR(C12="L",C12="S",C12="I"),-1,1),"")</f>
        <v/>
      </c>
      <c r="AW12" s="1030">
        <f t="shared" si="5"/>
        <v>0</v>
      </c>
      <c r="AX12" s="1030">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95131.92</v>
      </c>
      <c r="L13" s="832">
        <v>95131.92</v>
      </c>
      <c r="M13" s="832">
        <v>95131.92</v>
      </c>
      <c r="N13" s="832">
        <v>95131.92</v>
      </c>
      <c r="O13" s="832">
        <v>0</v>
      </c>
      <c r="P13" s="832">
        <v>0</v>
      </c>
      <c r="Q13" s="832">
        <v>0</v>
      </c>
      <c r="R13" s="832">
        <v>0</v>
      </c>
      <c r="S13" s="832">
        <v>13590.27</v>
      </c>
      <c r="T13" s="832">
        <v>13590.27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t="str">
        <f>IFERROR(INDEX(G13:R13,1,MATCH(Parametres!$B$3,G$1:R$1,0)-1)*IF(OR(F13="L",F13="S",F13="I"),-1,1),"")</f>
        <v/>
      </c>
      <c r="AM13" s="1030">
        <f t="shared" si="2"/>
        <v>19264.5</v>
      </c>
      <c r="AN13" s="1030">
        <f>INDEX(G13:R13,1,MATCH(Parametres!$B$3,G$1:R$1,0))*IF(OR(F13="L",F13="S",F13="I"),-1,1)</f>
        <v>19264.5</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t="str">
        <f>IFERROR(INDEX(V13:AG13,1,MATCH(Parametres!$B$3,V$1:AG$1,0)-1)*IF(OR(C13="L",C13="S",C13="I"),-1,1),"")</f>
        <v/>
      </c>
      <c r="AW13" s="1030">
        <f t="shared" si="5"/>
        <v>0</v>
      </c>
      <c r="AX13" s="1030">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-32439.9</v>
      </c>
      <c r="L14" s="832">
        <v>-32439.9</v>
      </c>
      <c r="M14" s="832">
        <v>-32439.9</v>
      </c>
      <c r="N14" s="832">
        <v>-32439.9</v>
      </c>
      <c r="O14" s="832">
        <v>0</v>
      </c>
      <c r="P14" s="832">
        <v>0</v>
      </c>
      <c r="Q14" s="832">
        <v>0</v>
      </c>
      <c r="R14" s="832">
        <v>0</v>
      </c>
      <c r="S14" s="832">
        <v>-4634.2700000000004</v>
      </c>
      <c r="T14" s="832">
        <v>-4634.2700000000004</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t="str">
        <f>IFERROR(INDEX(G14:R14,1,MATCH(Parametres!$B$3,G$1:R$1,0)-1)*IF(OR(F14="L",F14="S",F14="I"),-1,1),"")</f>
        <v/>
      </c>
      <c r="AM14" s="1030">
        <f t="shared" si="2"/>
        <v>-5895</v>
      </c>
      <c r="AN14" s="1030">
        <f>INDEX(G14:R14,1,MATCH(Parametres!$B$3,G$1:R$1,0))*IF(OR(F14="L",F14="S",F14="I"),-1,1)</f>
        <v>-5895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t="str">
        <f>IFERROR(INDEX(V14:AG14,1,MATCH(Parametres!$B$3,V$1:AG$1,0)-1)*IF(OR(C14="L",C14="S",C14="I"),-1,1),"")</f>
        <v/>
      </c>
      <c r="AW14" s="1030">
        <f t="shared" si="5"/>
        <v>0</v>
      </c>
      <c r="AX14" s="1030">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t="str">
        <f>IFERROR(INDEX(G15:R15,1,MATCH(Parametres!$B$3,G$1:R$1,0)-1)*IF(OR(F15="L",F15="S",F15="I"),-1,1),"")</f>
        <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t="str">
        <f>IFERROR(INDEX(V15:AG15,1,MATCH(Parametres!$B$3,V$1:AG$1,0)-1)*IF(OR(C15="L",C15="S",C15="I"),-1,1),"")</f>
        <v/>
      </c>
      <c r="AW15" s="1030">
        <f t="shared" si="5"/>
        <v>0</v>
      </c>
      <c r="AX15" s="1030">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t="str">
        <f>IFERROR(INDEX(G16:R16,1,MATCH(Parametres!$B$3,G$1:R$1,0)-1)*IF(OR(F16="L",F16="S",F16="I"),-1,1),"")</f>
        <v/>
      </c>
      <c r="AM16" s="1030">
        <f t="shared" si="2"/>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t="str">
        <f>IFERROR(INDEX(V16:AG16,1,MATCH(Parametres!$B$3,V$1:AG$1,0)-1)*IF(OR(C16="L",C16="S",C16="I"),-1,1),"")</f>
        <v/>
      </c>
      <c r="AW16" s="1030">
        <f t="shared" si="5"/>
        <v>0</v>
      </c>
      <c r="AX16" s="1030">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121739.9</v>
      </c>
      <c r="L17" s="832">
        <v>121739.9</v>
      </c>
      <c r="M17" s="832">
        <v>121739.9</v>
      </c>
      <c r="N17" s="832">
        <v>121739.9</v>
      </c>
      <c r="O17" s="832">
        <v>0</v>
      </c>
      <c r="P17" s="832">
        <v>0</v>
      </c>
      <c r="Q17" s="832">
        <v>0</v>
      </c>
      <c r="R17" s="832">
        <v>0</v>
      </c>
      <c r="S17" s="832">
        <v>17391.41</v>
      </c>
      <c r="T17" s="832">
        <v>17391.41</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t="str">
        <f>IFERROR(INDEX(G17:R17,1,MATCH(Parametres!$B$3,G$1:R$1,0)-1)*IF(OR(F17="L",F17="S",F17="I"),-1,1),"")</f>
        <v/>
      </c>
      <c r="AM17" s="1030">
        <f t="shared" si="2"/>
        <v>27439.439999999999</v>
      </c>
      <c r="AN17" s="1030">
        <f>INDEX(G17:R17,1,MATCH(Parametres!$B$3,G$1:R$1,0))*IF(OR(F17="L",F17="S",F17="I"),-1,1)</f>
        <v>27439.439999999999</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t="str">
        <f>IFERROR(INDEX(V17:AG17,1,MATCH(Parametres!$B$3,V$1:AG$1,0)-1)*IF(OR(C17="L",C17="S",C17="I"),-1,1),"")</f>
        <v/>
      </c>
      <c r="AW17" s="1030">
        <f t="shared" si="5"/>
        <v>0</v>
      </c>
      <c r="AX17" s="1030">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t="str">
        <f>IFERROR(INDEX(G18:R18,1,MATCH(Parametres!$B$3,G$1:R$1,0)-1)*IF(OR(F18="L",F18="S",F18="I"),-1,1),"")</f>
        <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t="str">
        <f>IFERROR(INDEX(V18:AG18,1,MATCH(Parametres!$B$3,V$1:AG$1,0)-1)*IF(OR(C18="L",C18="S",C18="I"),-1,1),"")</f>
        <v/>
      </c>
      <c r="AW18" s="1030">
        <f t="shared" si="5"/>
        <v>0</v>
      </c>
      <c r="AX18" s="1030">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t="str">
        <f>IFERROR(INDEX(G19:R19,1,MATCH(Parametres!$B$3,G$1:R$1,0)-1)*IF(OR(F19="L",F19="S",F19="I"),-1,1),"")</f>
        <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t="str">
        <f>IFERROR(INDEX(V19:AG19,1,MATCH(Parametres!$B$3,V$1:AG$1,0)-1)*IF(OR(C19="L",C19="S",C19="I"),-1,1),"")</f>
        <v/>
      </c>
      <c r="AW19" s="1030">
        <f t="shared" si="5"/>
        <v>0</v>
      </c>
      <c r="AX19" s="1030">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15293.28</v>
      </c>
      <c r="L20" s="832">
        <v>15293.28</v>
      </c>
      <c r="M20" s="832">
        <v>15293.28</v>
      </c>
      <c r="N20" s="832">
        <v>15293.28</v>
      </c>
      <c r="O20" s="832">
        <v>0</v>
      </c>
      <c r="P20" s="832">
        <v>0</v>
      </c>
      <c r="Q20" s="832">
        <v>0</v>
      </c>
      <c r="R20" s="832">
        <v>0</v>
      </c>
      <c r="S20" s="832">
        <v>2184.75</v>
      </c>
      <c r="T20" s="832">
        <v>2184.75</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t="str">
        <f>IFERROR(INDEX(G20:R20,1,MATCH(Parametres!$B$3,G$1:R$1,0)-1)*IF(OR(F20="L",F20="S",F20="I"),-1,1),"")</f>
        <v/>
      </c>
      <c r="AM20" s="1030">
        <f t="shared" si="2"/>
        <v>2751.68</v>
      </c>
      <c r="AN20" s="1030">
        <f>INDEX(G20:R20,1,MATCH(Parametres!$B$3,G$1:R$1,0))*IF(OR(F20="L",F20="S",F20="I"),-1,1)</f>
        <v>2751.68</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t="str">
        <f>IFERROR(INDEX(V20:AG20,1,MATCH(Parametres!$B$3,V$1:AG$1,0)-1)*IF(OR(C20="L",C20="S",C20="I"),-1,1),"")</f>
        <v/>
      </c>
      <c r="AW20" s="1030">
        <f t="shared" si="5"/>
        <v>0</v>
      </c>
      <c r="AX20" s="1030">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27292.06</v>
      </c>
      <c r="L21" s="832">
        <v>27292.06</v>
      </c>
      <c r="M21" s="832">
        <v>27292.06</v>
      </c>
      <c r="N21" s="832">
        <v>27292.06</v>
      </c>
      <c r="O21" s="832">
        <v>0</v>
      </c>
      <c r="P21" s="832">
        <v>0</v>
      </c>
      <c r="Q21" s="832">
        <v>0</v>
      </c>
      <c r="R21" s="832">
        <v>0</v>
      </c>
      <c r="S21" s="832">
        <v>3898.87</v>
      </c>
      <c r="T21" s="832">
        <v>3898.87</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t="str">
        <f>IFERROR(INDEX(G21:R21,1,MATCH(Parametres!$B$3,G$1:R$1,0)-1)*IF(OR(F21="L",F21="S",F21="I"),-1,1),"")</f>
        <v/>
      </c>
      <c r="AM21" s="1030">
        <f t="shared" si="2"/>
        <v>6840.53</v>
      </c>
      <c r="AN21" s="1030">
        <f>INDEX(G21:R21,1,MATCH(Parametres!$B$3,G$1:R$1,0))*IF(OR(F21="L",F21="S",F21="I"),-1,1)</f>
        <v>6840.53</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t="str">
        <f>IFERROR(INDEX(V21:AG21,1,MATCH(Parametres!$B$3,V$1:AG$1,0)-1)*IF(OR(C21="L",C21="S",C21="I"),-1,1),"")</f>
        <v/>
      </c>
      <c r="AW21" s="1030">
        <f t="shared" si="5"/>
        <v>0</v>
      </c>
      <c r="AX21" s="1030">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t="str">
        <f>IFERROR(INDEX(G22:R22,1,MATCH(Parametres!$B$3,G$1:R$1,0)-1)*IF(OR(F22="L",F22="S",F22="I"),-1,1),"")</f>
        <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t="str">
        <f>IFERROR(INDEX(V22:AG22,1,MATCH(Parametres!$B$3,V$1:AG$1,0)-1)*IF(OR(C22="L",C22="S",C22="I"),-1,1),"")</f>
        <v/>
      </c>
      <c r="AW22" s="1030">
        <f t="shared" si="5"/>
        <v>0</v>
      </c>
      <c r="AX22" s="1030">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t="str">
        <f>IFERROR(INDEX(G23:R23,1,MATCH(Parametres!$B$3,G$1:R$1,0)-1)*IF(OR(F23="L",F23="S",F23="I"),-1,1),"")</f>
        <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t="str">
        <f>IFERROR(INDEX(V23:AG23,1,MATCH(Parametres!$B$3,V$1:AG$1,0)-1)*IF(OR(C23="L",C23="S",C23="I"),-1,1),"")</f>
        <v/>
      </c>
      <c r="AW23" s="1030">
        <f t="shared" si="5"/>
        <v>0</v>
      </c>
      <c r="AX23" s="1030">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7164.24</v>
      </c>
      <c r="L24" s="832">
        <v>7164.24</v>
      </c>
      <c r="M24" s="832">
        <v>7164.24</v>
      </c>
      <c r="N24" s="832">
        <v>7164.24</v>
      </c>
      <c r="O24" s="832">
        <v>0</v>
      </c>
      <c r="P24" s="832">
        <v>0</v>
      </c>
      <c r="Q24" s="832">
        <v>0</v>
      </c>
      <c r="R24" s="832">
        <v>0</v>
      </c>
      <c r="S24" s="832">
        <v>1023.46</v>
      </c>
      <c r="T24" s="832">
        <v>1023.46</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t="str">
        <f>IFERROR(INDEX(G24:R24,1,MATCH(Parametres!$B$3,G$1:R$1,0)-1)*IF(OR(F24="L",F24="S",F24="I"),-1,1),"")</f>
        <v/>
      </c>
      <c r="AM24" s="1030">
        <f t="shared" si="2"/>
        <v>1607.52</v>
      </c>
      <c r="AN24" s="1030">
        <f>INDEX(G24:R24,1,MATCH(Parametres!$B$3,G$1:R$1,0))*IF(OR(F24="L",F24="S",F24="I"),-1,1)</f>
        <v>1607.52</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t="str">
        <f>IFERROR(INDEX(V24:AG24,1,MATCH(Parametres!$B$3,V$1:AG$1,0)-1)*IF(OR(C24="L",C24="S",C24="I"),-1,1),"")</f>
        <v/>
      </c>
      <c r="AW24" s="1030">
        <f t="shared" si="5"/>
        <v>0</v>
      </c>
      <c r="AX24" s="1030">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77339.39</v>
      </c>
      <c r="L25" s="832">
        <v>77339.39</v>
      </c>
      <c r="M25" s="832">
        <v>77339.39</v>
      </c>
      <c r="N25" s="832">
        <v>77339.39</v>
      </c>
      <c r="O25" s="832">
        <v>0</v>
      </c>
      <c r="P25" s="832">
        <v>0</v>
      </c>
      <c r="Q25" s="832">
        <v>0</v>
      </c>
      <c r="R25" s="832">
        <v>0</v>
      </c>
      <c r="S25" s="832">
        <v>11048.48</v>
      </c>
      <c r="T25" s="832">
        <v>11048.48</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t="str">
        <f>IFERROR(INDEX(G25:R25,1,MATCH(Parametres!$B$3,G$1:R$1,0)-1)*IF(OR(F25="L",F25="S",F25="I"),-1,1),"")</f>
        <v/>
      </c>
      <c r="AM25" s="1030">
        <f t="shared" si="2"/>
        <v>15423.71</v>
      </c>
      <c r="AN25" s="1030">
        <f>INDEX(G25:R25,1,MATCH(Parametres!$B$3,G$1:R$1,0))*IF(OR(F25="L",F25="S",F25="I"),-1,1)</f>
        <v>15423.71</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t="str">
        <f>IFERROR(INDEX(V25:AG25,1,MATCH(Parametres!$B$3,V$1:AG$1,0)-1)*IF(OR(C25="L",C25="S",C25="I"),-1,1),"")</f>
        <v/>
      </c>
      <c r="AW25" s="1030">
        <f t="shared" si="5"/>
        <v>0</v>
      </c>
      <c r="AX25" s="1030">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2325</v>
      </c>
      <c r="N26" s="832">
        <v>2325</v>
      </c>
      <c r="O26" s="832">
        <v>0</v>
      </c>
      <c r="P26" s="832">
        <v>0</v>
      </c>
      <c r="Q26" s="832">
        <v>0</v>
      </c>
      <c r="R26" s="832">
        <v>0</v>
      </c>
      <c r="S26" s="832">
        <v>332.14</v>
      </c>
      <c r="T26" s="832">
        <v>332.14</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t="str">
        <f>IFERROR(INDEX(G26:R26,1,MATCH(Parametres!$B$3,G$1:R$1,0)-1)*IF(OR(F26="L",F26="S",F26="I"),-1,1),"")</f>
        <v/>
      </c>
      <c r="AM26" s="1030">
        <f t="shared" si="2"/>
        <v>775</v>
      </c>
      <c r="AN26" s="1030">
        <f>INDEX(G26:R26,1,MATCH(Parametres!$B$3,G$1:R$1,0))*IF(OR(F26="L",F26="S",F26="I"),-1,1)</f>
        <v>775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t="str">
        <f>IFERROR(INDEX(V26:AG26,1,MATCH(Parametres!$B$3,V$1:AG$1,0)-1)*IF(OR(C26="L",C26="S",C26="I"),-1,1),"")</f>
        <v/>
      </c>
      <c r="AW26" s="1030">
        <f t="shared" si="5"/>
        <v>0</v>
      </c>
      <c r="AX26" s="1030">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2421.4299999999998</v>
      </c>
      <c r="M27" s="832">
        <v>2421.4299999999998</v>
      </c>
      <c r="N27" s="832">
        <v>2421.4299999999998</v>
      </c>
      <c r="O27" s="832">
        <v>0</v>
      </c>
      <c r="P27" s="832">
        <v>0</v>
      </c>
      <c r="Q27" s="832">
        <v>0</v>
      </c>
      <c r="R27" s="832">
        <v>0</v>
      </c>
      <c r="S27" s="832">
        <v>345.92</v>
      </c>
      <c r="T27" s="832">
        <v>345.92</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t="str">
        <f>IFERROR(INDEX(G27:R27,1,MATCH(Parametres!$B$3,G$1:R$1,0)-1)*IF(OR(F27="L",F27="S",F27="I"),-1,1),"")</f>
        <v/>
      </c>
      <c r="AM27" s="1030">
        <f t="shared" si="2"/>
        <v>473.64</v>
      </c>
      <c r="AN27" s="1030">
        <f>INDEX(G27:R27,1,MATCH(Parametres!$B$3,G$1:R$1,0))*IF(OR(F27="L",F27="S",F27="I"),-1,1)</f>
        <v>473.64</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t="str">
        <f>IFERROR(INDEX(V27:AG27,1,MATCH(Parametres!$B$3,V$1:AG$1,0)-1)*IF(OR(C27="L",C27="S",C27="I"),-1,1),"")</f>
        <v/>
      </c>
      <c r="AW27" s="1030">
        <f t="shared" si="5"/>
        <v>0</v>
      </c>
      <c r="AX27" s="1030">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t="str">
        <f>IFERROR(INDEX(G28:R28,1,MATCH(Parametres!$B$3,G$1:R$1,0)-1)*IF(OR(F28="L",F28="S",F28="I"),-1,1),"")</f>
        <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t="str">
        <f>IFERROR(INDEX(V28:AG28,1,MATCH(Parametres!$B$3,V$1:AG$1,0)-1)*IF(OR(C28="L",C28="S",C28="I"),-1,1),"")</f>
        <v/>
      </c>
      <c r="AW28" s="1030">
        <f t="shared" si="5"/>
        <v>0</v>
      </c>
      <c r="AX28" s="1030">
        <f>INDEX(V28:AG28,1,MATCH(Parametres!$B$3,V$1:AG$1,0))*IF(OR(C28="L",C28="S",C28="I"),-1,1)</f>
        <v>0</v>
      </c>
      <c r="AY28" s="598" t="s">
        <v>337</v>
      </c>
      <c r="AZ28" s="598" t="e">
        <f>+VLOOKUP($AJ28,Data_Validation!$A:$E,5,0)</f>
        <v>#N/A</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t="str">
        <f>IFERROR(INDEX(G29:R29,1,MATCH(Parametres!$B$3,G$1:R$1,0)-1)*IF(OR(F29="L",F29="S",F29="I"),-1,1),"")</f>
        <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t="str">
        <f>IFERROR(INDEX(V29:AG29,1,MATCH(Parametres!$B$3,V$1:AG$1,0)-1)*IF(OR(C29="L",C29="S",C29="I"),-1,1),"")</f>
        <v/>
      </c>
      <c r="AW29" s="1030">
        <f t="shared" si="5"/>
        <v>0</v>
      </c>
      <c r="AX29" s="1030">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7062.07</v>
      </c>
      <c r="L30" s="832">
        <v>7062.07</v>
      </c>
      <c r="M30" s="832">
        <v>7062.07</v>
      </c>
      <c r="N30" s="832">
        <v>7062.07</v>
      </c>
      <c r="O30" s="832">
        <v>0</v>
      </c>
      <c r="P30" s="832">
        <v>0</v>
      </c>
      <c r="Q30" s="832">
        <v>0</v>
      </c>
      <c r="R30" s="832">
        <v>0</v>
      </c>
      <c r="S30" s="832">
        <v>1008.87</v>
      </c>
      <c r="T30" s="832">
        <v>1008.87</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t="str">
        <f>IFERROR(INDEX(G30:R30,1,MATCH(Parametres!$B$3,G$1:R$1,0)-1)*IF(OR(F30="L",F30="S",F30="I"),-1,1),"")</f>
        <v/>
      </c>
      <c r="AM30" s="1030">
        <f t="shared" si="2"/>
        <v>2238.33</v>
      </c>
      <c r="AN30" s="1030">
        <f>INDEX(G30:R30,1,MATCH(Parametres!$B$3,G$1:R$1,0))*IF(OR(F30="L",F30="S",F30="I"),-1,1)</f>
        <v>2238.33</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t="str">
        <f>IFERROR(INDEX(V30:AG30,1,MATCH(Parametres!$B$3,V$1:AG$1,0)-1)*IF(OR(C30="L",C30="S",C30="I"),-1,1),"")</f>
        <v/>
      </c>
      <c r="AW30" s="1030">
        <f t="shared" si="5"/>
        <v>0</v>
      </c>
      <c r="AX30" s="1030">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121.41</v>
      </c>
      <c r="L31" s="832">
        <v>121.41</v>
      </c>
      <c r="M31" s="832">
        <v>121.41</v>
      </c>
      <c r="N31" s="832">
        <v>121.41</v>
      </c>
      <c r="O31" s="832">
        <v>0</v>
      </c>
      <c r="P31" s="832">
        <v>0</v>
      </c>
      <c r="Q31" s="832">
        <v>0</v>
      </c>
      <c r="R31" s="832">
        <v>0</v>
      </c>
      <c r="S31" s="832">
        <v>17.34</v>
      </c>
      <c r="T31" s="832">
        <v>17.34</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t="str">
        <f>IFERROR(INDEX(G31:R31,1,MATCH(Parametres!$B$3,G$1:R$1,0)-1)*IF(OR(F31="L",F31="S",F31="I"),-1,1),"")</f>
        <v/>
      </c>
      <c r="AM31" s="1030">
        <f t="shared" si="2"/>
        <v>40.47</v>
      </c>
      <c r="AN31" s="1030">
        <f>INDEX(G31:R31,1,MATCH(Parametres!$B$3,G$1:R$1,0))*IF(OR(F31="L",F31="S",F31="I"),-1,1)</f>
        <v>40.47</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t="str">
        <f>IFERROR(INDEX(V31:AG31,1,MATCH(Parametres!$B$3,V$1:AG$1,0)-1)*IF(OR(C31="L",C31="S",C31="I"),-1,1),"")</f>
        <v/>
      </c>
      <c r="AW31" s="1030">
        <f t="shared" si="5"/>
        <v>0</v>
      </c>
      <c r="AX31" s="1030">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t="str">
        <f>IFERROR(INDEX(G32:R32,1,MATCH(Parametres!$B$3,G$1:R$1,0)-1)*IF(OR(F32="L",F32="S",F32="I"),-1,1),"")</f>
        <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t="str">
        <f>IFERROR(INDEX(V32:AG32,1,MATCH(Parametres!$B$3,V$1:AG$1,0)-1)*IF(OR(C32="L",C32="S",C32="I"),-1,1),"")</f>
        <v/>
      </c>
      <c r="AW32" s="1030">
        <f t="shared" si="5"/>
        <v>0</v>
      </c>
      <c r="AX32" s="1030">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t="str">
        <f>IFERROR(INDEX(G33:R33,1,MATCH(Parametres!$B$3,G$1:R$1,0)-1)*IF(OR(F33="L",F33="S",F33="I"),-1,1),"")</f>
        <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t="str">
        <f>IFERROR(INDEX(V33:AG33,1,MATCH(Parametres!$B$3,V$1:AG$1,0)-1)*IF(OR(C33="L",C33="S",C33="I"),-1,1),"")</f>
        <v/>
      </c>
      <c r="AW33" s="1030">
        <f t="shared" si="5"/>
        <v>0</v>
      </c>
      <c r="AX33" s="1030">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10840.49</v>
      </c>
      <c r="L34" s="832">
        <v>10840.49</v>
      </c>
      <c r="M34" s="832">
        <v>10840.49</v>
      </c>
      <c r="N34" s="832">
        <v>10840.49</v>
      </c>
      <c r="O34" s="832">
        <v>0</v>
      </c>
      <c r="P34" s="832">
        <v>0</v>
      </c>
      <c r="Q34" s="832">
        <v>0</v>
      </c>
      <c r="R34" s="832">
        <v>0</v>
      </c>
      <c r="S34" s="832">
        <v>1548.64</v>
      </c>
      <c r="T34" s="832">
        <v>1548.64</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t="str">
        <f>IFERROR(INDEX(G34:R34,1,MATCH(Parametres!$B$3,G$1:R$1,0)-1)*IF(OR(F34="L",F34="S",F34="I"),-1,1),"")</f>
        <v/>
      </c>
      <c r="AM34" s="1030">
        <f t="shared" si="2"/>
        <v>1656.36</v>
      </c>
      <c r="AN34" s="1030">
        <f>INDEX(G34:R34,1,MATCH(Parametres!$B$3,G$1:R$1,0))*IF(OR(F34="L",F34="S",F34="I"),-1,1)</f>
        <v>1656.36</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t="str">
        <f>IFERROR(INDEX(V34:AG34,1,MATCH(Parametres!$B$3,V$1:AG$1,0)-1)*IF(OR(C34="L",C34="S",C34="I"),-1,1),"")</f>
        <v/>
      </c>
      <c r="AW34" s="1030">
        <f t="shared" si="5"/>
        <v>0</v>
      </c>
      <c r="AX34" s="1030">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1992.72</v>
      </c>
      <c r="L35" s="832">
        <v>1992.72</v>
      </c>
      <c r="M35" s="832">
        <v>1992.72</v>
      </c>
      <c r="N35" s="832">
        <v>1992.72</v>
      </c>
      <c r="O35" s="832">
        <v>0</v>
      </c>
      <c r="P35" s="832">
        <v>0</v>
      </c>
      <c r="Q35" s="832">
        <v>0</v>
      </c>
      <c r="R35" s="832">
        <v>0</v>
      </c>
      <c r="S35" s="832">
        <v>284.67</v>
      </c>
      <c r="T35" s="832">
        <v>284.67</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t="str">
        <f>IFERROR(INDEX(G35:R35,1,MATCH(Parametres!$B$3,G$1:R$1,0)-1)*IF(OR(F35="L",F35="S",F35="I"),-1,1),"")</f>
        <v/>
      </c>
      <c r="AM35" s="1030">
        <f t="shared" si="2"/>
        <v>546.74</v>
      </c>
      <c r="AN35" s="1030">
        <f>INDEX(G35:R35,1,MATCH(Parametres!$B$3,G$1:R$1,0))*IF(OR(F35="L",F35="S",F35="I"),-1,1)</f>
        <v>546.74</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t="str">
        <f>IFERROR(INDEX(V35:AG35,1,MATCH(Parametres!$B$3,V$1:AG$1,0)-1)*IF(OR(C35="L",C35="S",C35="I"),-1,1),"")</f>
        <v/>
      </c>
      <c r="AW35" s="1030">
        <f t="shared" si="5"/>
        <v>0</v>
      </c>
      <c r="AX35" s="1030">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0</v>
      </c>
      <c r="N36" s="832">
        <v>0</v>
      </c>
      <c r="O36" s="832">
        <v>0</v>
      </c>
      <c r="P36" s="832">
        <v>0</v>
      </c>
      <c r="Q36" s="832">
        <v>0</v>
      </c>
      <c r="R36" s="832">
        <v>0</v>
      </c>
      <c r="S36" s="832">
        <v>0</v>
      </c>
      <c r="T36" s="832">
        <v>0</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t="str">
        <f>IFERROR(INDEX(G36:R36,1,MATCH(Parametres!$B$3,G$1:R$1,0)-1)*IF(OR(F36="L",F36="S",F36="I"),-1,1),"")</f>
        <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t="str">
        <f>IFERROR(INDEX(V36:AG36,1,MATCH(Parametres!$B$3,V$1:AG$1,0)-1)*IF(OR(C36="L",C36="S",C36="I"),-1,1),"")</f>
        <v/>
      </c>
      <c r="AW36" s="1030">
        <f t="shared" si="5"/>
        <v>0</v>
      </c>
      <c r="AX36" s="1030">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305.95999999999998</v>
      </c>
      <c r="L37" s="832">
        <v>305.95999999999998</v>
      </c>
      <c r="M37" s="832">
        <v>305.95999999999998</v>
      </c>
      <c r="N37" s="832">
        <v>305.95999999999998</v>
      </c>
      <c r="O37" s="832">
        <v>0</v>
      </c>
      <c r="P37" s="832">
        <v>0</v>
      </c>
      <c r="Q37" s="832">
        <v>0</v>
      </c>
      <c r="R37" s="832">
        <v>0</v>
      </c>
      <c r="S37" s="832">
        <v>43.71</v>
      </c>
      <c r="T37" s="832">
        <v>43.71</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t="str">
        <f>IFERROR(INDEX(G37:R37,1,MATCH(Parametres!$B$3,G$1:R$1,0)-1)*IF(OR(F37="L",F37="S",F37="I"),-1,1),"")</f>
        <v/>
      </c>
      <c r="AM37" s="1030">
        <f t="shared" si="2"/>
        <v>82.54</v>
      </c>
      <c r="AN37" s="1030">
        <f>INDEX(G37:R37,1,MATCH(Parametres!$B$3,G$1:R$1,0))*IF(OR(F37="L",F37="S",F37="I"),-1,1)</f>
        <v>82.54</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t="str">
        <f>IFERROR(INDEX(V37:AG37,1,MATCH(Parametres!$B$3,V$1:AG$1,0)-1)*IF(OR(C37="L",C37="S",C37="I"),-1,1),"")</f>
        <v/>
      </c>
      <c r="AW37" s="1030">
        <f t="shared" si="5"/>
        <v>0</v>
      </c>
      <c r="AX37" s="1030">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t="str">
        <f>IFERROR(INDEX(G38:R38,1,MATCH(Parametres!$B$3,G$1:R$1,0)-1)*IF(OR(F38="L",F38="S",F38="I"),-1,1),"")</f>
        <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t="str">
        <f>IFERROR(INDEX(V38:AG38,1,MATCH(Parametres!$B$3,V$1:AG$1,0)-1)*IF(OR(C38="L",C38="S",C38="I"),-1,1),"")</f>
        <v/>
      </c>
      <c r="AW38" s="1030">
        <f t="shared" si="5"/>
        <v>0</v>
      </c>
      <c r="AX38" s="1030">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103.26</v>
      </c>
      <c r="M39" s="832">
        <v>103.26</v>
      </c>
      <c r="N39" s="832">
        <v>103.26</v>
      </c>
      <c r="O39" s="832">
        <v>0</v>
      </c>
      <c r="P39" s="832">
        <v>0</v>
      </c>
      <c r="Q39" s="832">
        <v>0</v>
      </c>
      <c r="R39" s="832">
        <v>0</v>
      </c>
      <c r="S39" s="832">
        <v>14.75</v>
      </c>
      <c r="T39" s="832">
        <v>14.75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t="str">
        <f>IFERROR(INDEX(G39:R39,1,MATCH(Parametres!$B$3,G$1:R$1,0)-1)*IF(OR(F39="L",F39="S",F39="I"),-1,1),"")</f>
        <v/>
      </c>
      <c r="AM39" s="1030">
        <f t="shared" si="2"/>
        <v>42.37</v>
      </c>
      <c r="AN39" s="1030">
        <f>INDEX(G39:R39,1,MATCH(Parametres!$B$3,G$1:R$1,0))*IF(OR(F39="L",F39="S",F39="I"),-1,1)</f>
        <v>42.37</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t="str">
        <f>IFERROR(INDEX(V39:AG39,1,MATCH(Parametres!$B$3,V$1:AG$1,0)-1)*IF(OR(C39="L",C39="S",C39="I"),-1,1),"")</f>
        <v/>
      </c>
      <c r="AW39" s="1030">
        <f t="shared" si="5"/>
        <v>0</v>
      </c>
      <c r="AX39" s="1030">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199.97</v>
      </c>
      <c r="N40" s="832">
        <v>199.97</v>
      </c>
      <c r="O40" s="832">
        <v>0</v>
      </c>
      <c r="P40" s="832">
        <v>0</v>
      </c>
      <c r="Q40" s="832">
        <v>0</v>
      </c>
      <c r="R40" s="832">
        <v>0</v>
      </c>
      <c r="S40" s="832">
        <v>28.57</v>
      </c>
      <c r="T40" s="832">
        <v>28.57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t="str">
        <f>IFERROR(INDEX(G40:R40,1,MATCH(Parametres!$B$3,G$1:R$1,0)-1)*IF(OR(F40="L",F40="S",F40="I"),-1,1),"")</f>
        <v/>
      </c>
      <c r="AM40" s="1030">
        <f t="shared" si="2"/>
        <v>200</v>
      </c>
      <c r="AN40" s="1030">
        <f>INDEX(G40:R40,1,MATCH(Parametres!$B$3,G$1:R$1,0))*IF(OR(F40="L",F40="S",F40="I"),-1,1)</f>
        <v>200</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t="str">
        <f>IFERROR(INDEX(V40:AG40,1,MATCH(Parametres!$B$3,V$1:AG$1,0)-1)*IF(OR(C40="L",C40="S",C40="I"),-1,1),"")</f>
        <v/>
      </c>
      <c r="AW40" s="1030">
        <f t="shared" si="5"/>
        <v>0</v>
      </c>
      <c r="AX40" s="1030">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t="str">
        <f>IFERROR(INDEX(G41:R41,1,MATCH(Parametres!$B$3,G$1:R$1,0)-1)*IF(OR(F41="L",F41="S",F41="I"),-1,1),"")</f>
        <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t="str">
        <f>IFERROR(INDEX(V41:AG41,1,MATCH(Parametres!$B$3,V$1:AG$1,0)-1)*IF(OR(C41="L",C41="S",C41="I"),-1,1),"")</f>
        <v/>
      </c>
      <c r="AW41" s="1030">
        <f t="shared" si="5"/>
        <v>0</v>
      </c>
      <c r="AX41" s="1030">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122281.25</v>
      </c>
      <c r="M42" s="832">
        <v>122281.25</v>
      </c>
      <c r="N42" s="832">
        <v>122281.25</v>
      </c>
      <c r="O42" s="832">
        <v>0</v>
      </c>
      <c r="P42" s="832">
        <v>0</v>
      </c>
      <c r="Q42" s="832">
        <v>0</v>
      </c>
      <c r="R42" s="832">
        <v>0</v>
      </c>
      <c r="S42" s="832">
        <v>17468.75</v>
      </c>
      <c r="T42" s="832">
        <v>17468.75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t="str">
        <f>IFERROR(INDEX(G42:R42,1,MATCH(Parametres!$B$3,G$1:R$1,0)-1)*IF(OR(F42="L",F42="S",F42="I"),-1,1),"")</f>
        <v/>
      </c>
      <c r="AM42" s="1030">
        <f t="shared" si="2"/>
        <v>24456.25</v>
      </c>
      <c r="AN42" s="1030">
        <f>INDEX(G42:R42,1,MATCH(Parametres!$B$3,G$1:R$1,0))*IF(OR(F42="L",F42="S",F42="I"),-1,1)</f>
        <v>24456.25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t="str">
        <f>IFERROR(INDEX(V42:AG42,1,MATCH(Parametres!$B$3,V$1:AG$1,0)-1)*IF(OR(C42="L",C42="S",C42="I"),-1,1),"")</f>
        <v/>
      </c>
      <c r="AW42" s="1030">
        <f t="shared" si="5"/>
        <v>0</v>
      </c>
      <c r="AX42" s="1030">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475.5</v>
      </c>
      <c r="L43" s="832">
        <v>475.5</v>
      </c>
      <c r="M43" s="832">
        <v>475.5</v>
      </c>
      <c r="N43" s="832">
        <v>475.5</v>
      </c>
      <c r="O43" s="832">
        <v>0</v>
      </c>
      <c r="P43" s="832">
        <v>0</v>
      </c>
      <c r="Q43" s="832">
        <v>0</v>
      </c>
      <c r="R43" s="832">
        <v>0</v>
      </c>
      <c r="S43" s="832">
        <v>67.930000000000007</v>
      </c>
      <c r="T43" s="832">
        <v>67.930000000000007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t="str">
        <f>IFERROR(INDEX(G43:R43,1,MATCH(Parametres!$B$3,G$1:R$1,0)-1)*IF(OR(F43="L",F43="S",F43="I"),-1,1),"")</f>
        <v/>
      </c>
      <c r="AM43" s="1030">
        <f t="shared" si="2"/>
        <v>120.88</v>
      </c>
      <c r="AN43" s="1030">
        <f>INDEX(G43:R43,1,MATCH(Parametres!$B$3,G$1:R$1,0))*IF(OR(F43="L",F43="S",F43="I"),-1,1)</f>
        <v>120.88</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t="str">
        <f>IFERROR(INDEX(V43:AG43,1,MATCH(Parametres!$B$3,V$1:AG$1,0)-1)*IF(OR(C43="L",C43="S",C43="I"),-1,1),"")</f>
        <v/>
      </c>
      <c r="AW43" s="1030">
        <f t="shared" si="5"/>
        <v>0</v>
      </c>
      <c r="AX43" s="1030">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1629.95</v>
      </c>
      <c r="L44" s="832">
        <v>1629.95</v>
      </c>
      <c r="M44" s="832">
        <v>1629.95</v>
      </c>
      <c r="N44" s="832">
        <v>1629.95</v>
      </c>
      <c r="O44" s="832">
        <v>0</v>
      </c>
      <c r="P44" s="832">
        <v>0</v>
      </c>
      <c r="Q44" s="832">
        <v>0</v>
      </c>
      <c r="R44" s="832">
        <v>0</v>
      </c>
      <c r="S44" s="832">
        <v>232.85</v>
      </c>
      <c r="T44" s="832">
        <v>232.85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t="str">
        <f>IFERROR(INDEX(G44:R44,1,MATCH(Parametres!$B$3,G$1:R$1,0)-1)*IF(OR(F44="L",F44="S",F44="I"),-1,1),"")</f>
        <v/>
      </c>
      <c r="AM44" s="1030">
        <f t="shared" si="2"/>
        <v>147.97</v>
      </c>
      <c r="AN44" s="1030">
        <f>INDEX(G44:R44,1,MATCH(Parametres!$B$3,G$1:R$1,0))*IF(OR(F44="L",F44="S",F44="I"),-1,1)</f>
        <v>147.97</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t="str">
        <f>IFERROR(INDEX(V44:AG44,1,MATCH(Parametres!$B$3,V$1:AG$1,0)-1)*IF(OR(C44="L",C44="S",C44="I"),-1,1),"")</f>
        <v/>
      </c>
      <c r="AW44" s="1030">
        <f t="shared" si="5"/>
        <v>0</v>
      </c>
      <c r="AX44" s="1030">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23487.3</v>
      </c>
      <c r="L45" s="832">
        <v>23487.3</v>
      </c>
      <c r="M45" s="832">
        <v>23487.3</v>
      </c>
      <c r="N45" s="832">
        <v>23487.3</v>
      </c>
      <c r="O45" s="832">
        <v>0</v>
      </c>
      <c r="P45" s="832">
        <v>0</v>
      </c>
      <c r="Q45" s="832">
        <v>0</v>
      </c>
      <c r="R45" s="832">
        <v>0</v>
      </c>
      <c r="S45" s="832">
        <v>3355.33</v>
      </c>
      <c r="T45" s="832">
        <v>3355.33</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t="str">
        <f>IFERROR(INDEX(G45:R45,1,MATCH(Parametres!$B$3,G$1:R$1,0)-1)*IF(OR(F45="L",F45="S",F45="I"),-1,1),"")</f>
        <v/>
      </c>
      <c r="AM45" s="1030">
        <f t="shared" si="2"/>
        <v>5857.17</v>
      </c>
      <c r="AN45" s="1030">
        <f>INDEX(G45:R45,1,MATCH(Parametres!$B$3,G$1:R$1,0))*IF(OR(F45="L",F45="S",F45="I"),-1,1)</f>
        <v>5857.17</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t="str">
        <f>IFERROR(INDEX(V45:AG45,1,MATCH(Parametres!$B$3,V$1:AG$1,0)-1)*IF(OR(C45="L",C45="S",C45="I"),-1,1),"")</f>
        <v/>
      </c>
      <c r="AW45" s="1030">
        <f t="shared" si="5"/>
        <v>0</v>
      </c>
      <c r="AX45" s="1030">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3338.96</v>
      </c>
      <c r="L46" s="832">
        <v>3338.96</v>
      </c>
      <c r="M46" s="832">
        <v>3338.96</v>
      </c>
      <c r="N46" s="832">
        <v>3338.96</v>
      </c>
      <c r="O46" s="832">
        <v>0</v>
      </c>
      <c r="P46" s="832">
        <v>0</v>
      </c>
      <c r="Q46" s="832">
        <v>0</v>
      </c>
      <c r="R46" s="832">
        <v>0</v>
      </c>
      <c r="S46" s="832">
        <v>476.99</v>
      </c>
      <c r="T46" s="832">
        <v>476.99</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t="str">
        <f>IFERROR(INDEX(G46:R46,1,MATCH(Parametres!$B$3,G$1:R$1,0)-1)*IF(OR(F46="L",F46="S",F46="I"),-1,1),"")</f>
        <v/>
      </c>
      <c r="AM46" s="1030">
        <f t="shared" si="2"/>
        <v>834.74</v>
      </c>
      <c r="AN46" s="1030">
        <f>INDEX(G46:R46,1,MATCH(Parametres!$B$3,G$1:R$1,0))*IF(OR(F46="L",F46="S",F46="I"),-1,1)</f>
        <v>834.74</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t="str">
        <f>IFERROR(INDEX(V46:AG46,1,MATCH(Parametres!$B$3,V$1:AG$1,0)-1)*IF(OR(C46="L",C46="S",C46="I"),-1,1),"")</f>
        <v/>
      </c>
      <c r="AW46" s="1030">
        <f t="shared" si="5"/>
        <v>0</v>
      </c>
      <c r="AX46" s="1030">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t="str">
        <f>IFERROR(INDEX(G47:R47,1,MATCH(Parametres!$B$3,G$1:R$1,0)-1)*IF(OR(F47="L",F47="S",F47="I"),-1,1),"")</f>
        <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t="str">
        <f>IFERROR(INDEX(V47:AG47,1,MATCH(Parametres!$B$3,V$1:AG$1,0)-1)*IF(OR(C47="L",C47="S",C47="I"),-1,1),"")</f>
        <v/>
      </c>
      <c r="AW47" s="1030">
        <f t="shared" si="5"/>
        <v>0</v>
      </c>
      <c r="AX47" s="1030">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t="str">
        <f>IFERROR(INDEX(G48:R48,1,MATCH(Parametres!$B$3,G$1:R$1,0)-1)*IF(OR(F48="L",F48="S",F48="I"),-1,1),"")</f>
        <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t="str">
        <f>IFERROR(INDEX(V48:AG48,1,MATCH(Parametres!$B$3,V$1:AG$1,0)-1)*IF(OR(C48="L",C48="S",C48="I"),-1,1),"")</f>
        <v/>
      </c>
      <c r="AW48" s="1030">
        <f t="shared" si="5"/>
        <v>0</v>
      </c>
      <c r="AX48" s="1030">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3155.19</v>
      </c>
      <c r="L49" s="832">
        <v>3155.19</v>
      </c>
      <c r="M49" s="832">
        <v>3155.19</v>
      </c>
      <c r="N49" s="832">
        <v>3155.19</v>
      </c>
      <c r="O49" s="832">
        <v>0</v>
      </c>
      <c r="P49" s="832">
        <v>0</v>
      </c>
      <c r="Q49" s="832">
        <v>0</v>
      </c>
      <c r="R49" s="832">
        <v>0</v>
      </c>
      <c r="S49" s="832">
        <v>450.74</v>
      </c>
      <c r="T49" s="832">
        <v>450.74</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t="str">
        <f>IFERROR(INDEX(G49:R49,1,MATCH(Parametres!$B$3,G$1:R$1,0)-1)*IF(OR(F49="L",F49="S",F49="I"),-1,1),"")</f>
        <v/>
      </c>
      <c r="AM49" s="1030">
        <f t="shared" si="2"/>
        <v>802.56</v>
      </c>
      <c r="AN49" s="1030">
        <f>INDEX(G49:R49,1,MATCH(Parametres!$B$3,G$1:R$1,0))*IF(OR(F49="L",F49="S",F49="I"),-1,1)</f>
        <v>802.56</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t="str">
        <f>IFERROR(INDEX(V49:AG49,1,MATCH(Parametres!$B$3,V$1:AG$1,0)-1)*IF(OR(C49="L",C49="S",C49="I"),-1,1),"")</f>
        <v/>
      </c>
      <c r="AW49" s="1030">
        <f t="shared" si="5"/>
        <v>0</v>
      </c>
      <c r="AX49" s="1030">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t="str">
        <f>IFERROR(INDEX(G50:R50,1,MATCH(Parametres!$B$3,G$1:R$1,0)-1)*IF(OR(F50="L",F50="S",F50="I"),-1,1),"")</f>
        <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t="str">
        <f>IFERROR(INDEX(V50:AG50,1,MATCH(Parametres!$B$3,V$1:AG$1,0)-1)*IF(OR(C50="L",C50="S",C50="I"),-1,1),"")</f>
        <v/>
      </c>
      <c r="AW50" s="1030">
        <f t="shared" si="5"/>
        <v>0</v>
      </c>
      <c r="AX50" s="1030">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10234.64</v>
      </c>
      <c r="L51" s="832">
        <v>10234.64</v>
      </c>
      <c r="M51" s="832">
        <v>10234.64</v>
      </c>
      <c r="N51" s="832">
        <v>10234.64</v>
      </c>
      <c r="O51" s="832">
        <v>0</v>
      </c>
      <c r="P51" s="832">
        <v>0</v>
      </c>
      <c r="Q51" s="832">
        <v>0</v>
      </c>
      <c r="R51" s="832">
        <v>0</v>
      </c>
      <c r="S51" s="832">
        <v>1462.09</v>
      </c>
      <c r="T51" s="832">
        <v>1462.09</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t="str">
        <f>IFERROR(INDEX(G51:R51,1,MATCH(Parametres!$B$3,G$1:R$1,0)-1)*IF(OR(F51="L",F51="S",F51="I"),-1,1),"")</f>
        <v/>
      </c>
      <c r="AM51" s="1030">
        <f t="shared" si="2"/>
        <v>2853.43</v>
      </c>
      <c r="AN51" s="1030">
        <f>INDEX(G51:R51,1,MATCH(Parametres!$B$3,G$1:R$1,0))*IF(OR(F51="L",F51="S",F51="I"),-1,1)</f>
        <v>2853.43</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t="str">
        <f>IFERROR(INDEX(V51:AG51,1,MATCH(Parametres!$B$3,V$1:AG$1,0)-1)*IF(OR(C51="L",C51="S",C51="I"),-1,1),"")</f>
        <v/>
      </c>
      <c r="AW51" s="1030">
        <f t="shared" si="5"/>
        <v>0</v>
      </c>
      <c r="AX51" s="1030">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1260</v>
      </c>
      <c r="L52" s="832">
        <v>1260</v>
      </c>
      <c r="M52" s="832">
        <v>1260</v>
      </c>
      <c r="N52" s="832">
        <v>1260</v>
      </c>
      <c r="O52" s="832">
        <v>0</v>
      </c>
      <c r="P52" s="832">
        <v>0</v>
      </c>
      <c r="Q52" s="832">
        <v>0</v>
      </c>
      <c r="R52" s="832">
        <v>0</v>
      </c>
      <c r="S52" s="832">
        <v>180</v>
      </c>
      <c r="T52" s="832">
        <v>180</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t="str">
        <f>IFERROR(INDEX(G52:R52,1,MATCH(Parametres!$B$3,G$1:R$1,0)-1)*IF(OR(F52="L",F52="S",F52="I"),-1,1),"")</f>
        <v/>
      </c>
      <c r="AM52" s="1030">
        <f t="shared" si="2"/>
        <v>250</v>
      </c>
      <c r="AN52" s="1030">
        <f>INDEX(G52:R52,1,MATCH(Parametres!$B$3,G$1:R$1,0))*IF(OR(F52="L",F52="S",F52="I"),-1,1)</f>
        <v>250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t="str">
        <f>IFERROR(INDEX(V52:AG52,1,MATCH(Parametres!$B$3,V$1:AG$1,0)-1)*IF(OR(C52="L",C52="S",C52="I"),-1,1),"")</f>
        <v/>
      </c>
      <c r="AW52" s="1030">
        <f t="shared" si="5"/>
        <v>0</v>
      </c>
      <c r="AX52" s="1030">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152.94999999999999</v>
      </c>
      <c r="L53" s="832">
        <v>152.94999999999999</v>
      </c>
      <c r="M53" s="832">
        <v>152.94999999999999</v>
      </c>
      <c r="N53" s="832">
        <v>152.94999999999999</v>
      </c>
      <c r="O53" s="832">
        <v>0</v>
      </c>
      <c r="P53" s="832">
        <v>0</v>
      </c>
      <c r="Q53" s="832">
        <v>0</v>
      </c>
      <c r="R53" s="832">
        <v>0</v>
      </c>
      <c r="S53" s="832">
        <v>21.85</v>
      </c>
      <c r="T53" s="832">
        <v>21.85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t="str">
        <f>IFERROR(INDEX(G53:R53,1,MATCH(Parametres!$B$3,G$1:R$1,0)-1)*IF(OR(F53="L",F53="S",F53="I"),-1,1),"")</f>
        <v/>
      </c>
      <c r="AM53" s="1030">
        <f t="shared" si="2"/>
        <v>-20.8</v>
      </c>
      <c r="AN53" s="1030">
        <f>INDEX(G53:R53,1,MATCH(Parametres!$B$3,G$1:R$1,0))*IF(OR(F53="L",F53="S",F53="I"),-1,1)</f>
        <v>-20.8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t="str">
        <f>IFERROR(INDEX(V53:AG53,1,MATCH(Parametres!$B$3,V$1:AG$1,0)-1)*IF(OR(C53="L",C53="S",C53="I"),-1,1),"")</f>
        <v/>
      </c>
      <c r="AW53" s="1030">
        <f t="shared" si="5"/>
        <v>0</v>
      </c>
      <c r="AX53" s="1030">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t="str">
        <f>IFERROR(INDEX(G54:R54,1,MATCH(Parametres!$B$3,G$1:R$1,0)-1)*IF(OR(F54="L",F54="S",F54="I"),-1,1),"")</f>
        <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t="str">
        <f>IFERROR(INDEX(V54:AG54,1,MATCH(Parametres!$B$3,V$1:AG$1,0)-1)*IF(OR(C54="L",C54="S",C54="I"),-1,1),"")</f>
        <v/>
      </c>
      <c r="AW54" s="1030">
        <f t="shared" si="5"/>
        <v>0</v>
      </c>
      <c r="AX54" s="1030">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t="str">
        <f>IFERROR(INDEX(G55:R55,1,MATCH(Parametres!$B$3,G$1:R$1,0)-1)*IF(OR(F55="L",F55="S",F55="I"),-1,1),"")</f>
        <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t="str">
        <f>IFERROR(INDEX(V55:AG55,1,MATCH(Parametres!$B$3,V$1:AG$1,0)-1)*IF(OR(C55="L",C55="S",C55="I"),-1,1),"")</f>
        <v/>
      </c>
      <c r="AW55" s="1030">
        <f t="shared" si="5"/>
        <v>0</v>
      </c>
      <c r="AX55" s="1030">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1038.3900000000001</v>
      </c>
      <c r="L56" s="832">
        <v>1038.3900000000001</v>
      </c>
      <c r="M56" s="832">
        <v>1038.3900000000001</v>
      </c>
      <c r="N56" s="832">
        <v>1038.3900000000001</v>
      </c>
      <c r="O56" s="832">
        <v>0</v>
      </c>
      <c r="P56" s="832">
        <v>0</v>
      </c>
      <c r="Q56" s="832">
        <v>0</v>
      </c>
      <c r="R56" s="832">
        <v>0</v>
      </c>
      <c r="S56" s="832">
        <v>148.34</v>
      </c>
      <c r="T56" s="832">
        <v>148.34</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t="str">
        <f>IFERROR(INDEX(G56:R56,1,MATCH(Parametres!$B$3,G$1:R$1,0)-1)*IF(OR(F56="L",F56="S",F56="I"),-1,1),"")</f>
        <v/>
      </c>
      <c r="AM56" s="1030">
        <f t="shared" si="2"/>
        <v>253.81</v>
      </c>
      <c r="AN56" s="1030">
        <f>INDEX(G56:R56,1,MATCH(Parametres!$B$3,G$1:R$1,0))*IF(OR(F56="L",F56="S",F56="I"),-1,1)</f>
        <v>253.81</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t="str">
        <f>IFERROR(INDEX(V56:AG56,1,MATCH(Parametres!$B$3,V$1:AG$1,0)-1)*IF(OR(C56="L",C56="S",C56="I"),-1,1),"")</f>
        <v/>
      </c>
      <c r="AW56" s="1030">
        <f t="shared" si="5"/>
        <v>0</v>
      </c>
      <c r="AX56" s="1030">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44810.3</v>
      </c>
      <c r="L57" s="832">
        <v>44810.3</v>
      </c>
      <c r="M57" s="832">
        <v>44810.3</v>
      </c>
      <c r="N57" s="832">
        <v>44810.3</v>
      </c>
      <c r="O57" s="832">
        <v>0</v>
      </c>
      <c r="P57" s="832">
        <v>0</v>
      </c>
      <c r="Q57" s="832">
        <v>0</v>
      </c>
      <c r="R57" s="832">
        <v>0</v>
      </c>
      <c r="S57" s="832">
        <v>6401.47</v>
      </c>
      <c r="T57" s="832">
        <v>6401.47</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t="str">
        <f>IFERROR(INDEX(G57:R57,1,MATCH(Parametres!$B$3,G$1:R$1,0)-1)*IF(OR(F57="L",F57="S",F57="I"),-1,1),"")</f>
        <v/>
      </c>
      <c r="AM57" s="1030">
        <f t="shared" si="2"/>
        <v>10677.2</v>
      </c>
      <c r="AN57" s="1030">
        <f>INDEX(G57:R57,1,MATCH(Parametres!$B$3,G$1:R$1,0))*IF(OR(F57="L",F57="S",F57="I"),-1,1)</f>
        <v>10677.2</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t="str">
        <f>IFERROR(INDEX(V57:AG57,1,MATCH(Parametres!$B$3,V$1:AG$1,0)-1)*IF(OR(C57="L",C57="S",C57="I"),-1,1),"")</f>
        <v/>
      </c>
      <c r="AW57" s="1030">
        <f t="shared" si="5"/>
        <v>0</v>
      </c>
      <c r="AX57" s="1030">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75830.73</v>
      </c>
      <c r="L58" s="832">
        <v>75830.73</v>
      </c>
      <c r="M58" s="832">
        <v>75830.73</v>
      </c>
      <c r="N58" s="832">
        <v>75830.73</v>
      </c>
      <c r="O58" s="832">
        <v>0</v>
      </c>
      <c r="P58" s="832">
        <v>0</v>
      </c>
      <c r="Q58" s="832">
        <v>0</v>
      </c>
      <c r="R58" s="832">
        <v>0</v>
      </c>
      <c r="S58" s="832">
        <v>10832.96</v>
      </c>
      <c r="T58" s="832">
        <v>10832.96</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t="str">
        <f>IFERROR(INDEX(G58:R58,1,MATCH(Parametres!$B$3,G$1:R$1,0)-1)*IF(OR(F58="L",F58="S",F58="I"),-1,1),"")</f>
        <v/>
      </c>
      <c r="AM58" s="1030">
        <f t="shared" si="2"/>
        <v>17104.650000000001</v>
      </c>
      <c r="AN58" s="1030">
        <f>INDEX(G58:R58,1,MATCH(Parametres!$B$3,G$1:R$1,0))*IF(OR(F58="L",F58="S",F58="I"),-1,1)</f>
        <v>17104.650000000001</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t="str">
        <f>IFERROR(INDEX(V58:AG58,1,MATCH(Parametres!$B$3,V$1:AG$1,0)-1)*IF(OR(C58="L",C58="S",C58="I"),-1,1),"")</f>
        <v/>
      </c>
      <c r="AW58" s="1030">
        <f t="shared" si="5"/>
        <v>0</v>
      </c>
      <c r="AX58" s="1030">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39393.71</v>
      </c>
      <c r="L59" s="832">
        <v>39393.71</v>
      </c>
      <c r="M59" s="832">
        <v>39393.71</v>
      </c>
      <c r="N59" s="832">
        <v>39393.71</v>
      </c>
      <c r="O59" s="832">
        <v>0</v>
      </c>
      <c r="P59" s="832">
        <v>0</v>
      </c>
      <c r="Q59" s="832">
        <v>0</v>
      </c>
      <c r="R59" s="832">
        <v>0</v>
      </c>
      <c r="S59" s="832">
        <v>5627.67</v>
      </c>
      <c r="T59" s="832">
        <v>5627.67</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t="str">
        <f>IFERROR(INDEX(G59:R59,1,MATCH(Parametres!$B$3,G$1:R$1,0)-1)*IF(OR(F59="L",F59="S",F59="I"),-1,1),"")</f>
        <v/>
      </c>
      <c r="AM59" s="1030">
        <f t="shared" si="2"/>
        <v>5887.37</v>
      </c>
      <c r="AN59" s="1030">
        <f>INDEX(G59:R59,1,MATCH(Parametres!$B$3,G$1:R$1,0))*IF(OR(F59="L",F59="S",F59="I"),-1,1)</f>
        <v>5887.37</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t="str">
        <f>IFERROR(INDEX(V59:AG59,1,MATCH(Parametres!$B$3,V$1:AG$1,0)-1)*IF(OR(C59="L",C59="S",C59="I"),-1,1),"")</f>
        <v/>
      </c>
      <c r="AW59" s="1030">
        <f t="shared" si="5"/>
        <v>0</v>
      </c>
      <c r="AX59" s="1030">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596.22</v>
      </c>
      <c r="L60" s="832">
        <v>596.22</v>
      </c>
      <c r="M60" s="832">
        <v>596.22</v>
      </c>
      <c r="N60" s="832">
        <v>596.22</v>
      </c>
      <c r="O60" s="832">
        <v>0</v>
      </c>
      <c r="P60" s="832">
        <v>0</v>
      </c>
      <c r="Q60" s="832">
        <v>0</v>
      </c>
      <c r="R60" s="832">
        <v>0</v>
      </c>
      <c r="S60" s="832">
        <v>85.17</v>
      </c>
      <c r="T60" s="832">
        <v>85.17</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t="str">
        <f>IFERROR(INDEX(G60:R60,1,MATCH(Parametres!$B$3,G$1:R$1,0)-1)*IF(OR(F60="L",F60="S",F60="I"),-1,1),"")</f>
        <v/>
      </c>
      <c r="AM60" s="1030">
        <f t="shared" si="2"/>
        <v>96.22</v>
      </c>
      <c r="AN60" s="1030">
        <f>INDEX(G60:R60,1,MATCH(Parametres!$B$3,G$1:R$1,0))*IF(OR(F60="L",F60="S",F60="I"),-1,1)</f>
        <v>96.22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t="str">
        <f>IFERROR(INDEX(V60:AG60,1,MATCH(Parametres!$B$3,V$1:AG$1,0)-1)*IF(OR(C60="L",C60="S",C60="I"),-1,1),"")</f>
        <v/>
      </c>
      <c r="AW60" s="1030">
        <f t="shared" si="5"/>
        <v>0</v>
      </c>
      <c r="AX60" s="1030">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311.69</v>
      </c>
      <c r="M61" s="832">
        <v>311.69</v>
      </c>
      <c r="N61" s="832">
        <v>311.69</v>
      </c>
      <c r="O61" s="832">
        <v>0</v>
      </c>
      <c r="P61" s="832">
        <v>0</v>
      </c>
      <c r="Q61" s="832">
        <v>0</v>
      </c>
      <c r="R61" s="832">
        <v>0</v>
      </c>
      <c r="S61" s="832">
        <v>44.53</v>
      </c>
      <c r="T61" s="832">
        <v>44.53</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t="str">
        <f>IFERROR(INDEX(G61:R61,1,MATCH(Parametres!$B$3,G$1:R$1,0)-1)*IF(OR(F61="L",F61="S",F61="I"),-1,1),"")</f>
        <v/>
      </c>
      <c r="AM61" s="1030">
        <f t="shared" si="2"/>
        <v>0</v>
      </c>
      <c r="AN61" s="1030">
        <f>INDEX(G61:R61,1,MATCH(Parametres!$B$3,G$1:R$1,0))*IF(OR(F61="L",F61="S",F61="I"),-1,1)</f>
        <v>0</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t="str">
        <f>IFERROR(INDEX(V61:AG61,1,MATCH(Parametres!$B$3,V$1:AG$1,0)-1)*IF(OR(C61="L",C61="S",C61="I"),-1,1),"")</f>
        <v/>
      </c>
      <c r="AW61" s="1030">
        <f t="shared" si="5"/>
        <v>0</v>
      </c>
      <c r="AX61" s="1030">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4179.3999999999996</v>
      </c>
      <c r="L62" s="832">
        <v>4179.3999999999996</v>
      </c>
      <c r="M62" s="832">
        <v>4179.3999999999996</v>
      </c>
      <c r="N62" s="832">
        <v>4179.3999999999996</v>
      </c>
      <c r="O62" s="832">
        <v>0</v>
      </c>
      <c r="P62" s="832">
        <v>0</v>
      </c>
      <c r="Q62" s="832">
        <v>0</v>
      </c>
      <c r="R62" s="832">
        <v>0</v>
      </c>
      <c r="S62" s="832">
        <v>597.05999999999995</v>
      </c>
      <c r="T62" s="832">
        <v>597.05999999999995</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t="str">
        <f>IFERROR(INDEX(G62:R62,1,MATCH(Parametres!$B$3,G$1:R$1,0)-1)*IF(OR(F62="L",F62="S",F62="I"),-1,1),"")</f>
        <v/>
      </c>
      <c r="AM62" s="1030">
        <f t="shared" si="2"/>
        <v>1074.47</v>
      </c>
      <c r="AN62" s="1030">
        <f>INDEX(G62:R62,1,MATCH(Parametres!$B$3,G$1:R$1,0))*IF(OR(F62="L",F62="S",F62="I"),-1,1)</f>
        <v>1074.47</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t="str">
        <f>IFERROR(INDEX(V62:AG62,1,MATCH(Parametres!$B$3,V$1:AG$1,0)-1)*IF(OR(C62="L",C62="S",C62="I"),-1,1),"")</f>
        <v/>
      </c>
      <c r="AW62" s="1030">
        <f t="shared" si="5"/>
        <v>0</v>
      </c>
      <c r="AX62" s="1030">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t="str">
        <f>IFERROR(INDEX(G63:R63,1,MATCH(Parametres!$B$3,G$1:R$1,0)-1)*IF(OR(F63="L",F63="S",F63="I"),-1,1),"")</f>
        <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t="str">
        <f>IFERROR(INDEX(V63:AG63,1,MATCH(Parametres!$B$3,V$1:AG$1,0)-1)*IF(OR(C63="L",C63="S",C63="I"),-1,1),"")</f>
        <v/>
      </c>
      <c r="AW63" s="1030">
        <f t="shared" si="5"/>
        <v>0</v>
      </c>
      <c r="AX63" s="1030">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t="str">
        <f>IFERROR(INDEX(G64:R64,1,MATCH(Parametres!$B$3,G$1:R$1,0)-1)*IF(OR(F64="L",F64="S",F64="I"),-1,1),"")</f>
        <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t="str">
        <f>IFERROR(INDEX(V64:AG64,1,MATCH(Parametres!$B$3,V$1:AG$1,0)-1)*IF(OR(C64="L",C64="S",C64="I"),-1,1),"")</f>
        <v/>
      </c>
      <c r="AW64" s="1030">
        <f t="shared" si="5"/>
        <v>0</v>
      </c>
      <c r="AX64" s="1030">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t="str">
        <f>IFERROR(INDEX(G65:R65,1,MATCH(Parametres!$B$3,G$1:R$1,0)-1)*IF(OR(F65="L",F65="S",F65="I"),-1,1),"")</f>
        <v/>
      </c>
      <c r="AM65" s="1030">
        <f t="shared" si="2"/>
        <v>0</v>
      </c>
      <c r="AN65" s="1030">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t="str">
        <f>IFERROR(INDEX(V65:AG65,1,MATCH(Parametres!$B$3,V$1:AG$1,0)-1)*IF(OR(C65="L",C65="S",C65="I"),-1,1),"")</f>
        <v/>
      </c>
      <c r="AW65" s="1030">
        <f t="shared" si="5"/>
        <v>0</v>
      </c>
      <c r="AX65" s="1030">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7908.56</v>
      </c>
      <c r="L66" s="832">
        <v>7908.56</v>
      </c>
      <c r="M66" s="832">
        <v>7908.56</v>
      </c>
      <c r="N66" s="832">
        <v>7908.56</v>
      </c>
      <c r="O66" s="832">
        <v>0</v>
      </c>
      <c r="P66" s="832">
        <v>0</v>
      </c>
      <c r="Q66" s="832">
        <v>0</v>
      </c>
      <c r="R66" s="832">
        <v>0</v>
      </c>
      <c r="S66" s="832">
        <v>1129.79</v>
      </c>
      <c r="T66" s="832">
        <v>1129.79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t="str">
        <f>IFERROR(INDEX(G66:R66,1,MATCH(Parametres!$B$3,G$1:R$1,0)-1)*IF(OR(F66="L",F66="S",F66="I"),-1,1),"")</f>
        <v/>
      </c>
      <c r="AM66" s="1030">
        <f t="shared" si="2"/>
        <v>2008.55</v>
      </c>
      <c r="AN66" s="1030">
        <f>INDEX(G66:R66,1,MATCH(Parametres!$B$3,G$1:R$1,0))*IF(OR(F66="L",F66="S",F66="I"),-1,1)</f>
        <v>2008.55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t="str">
        <f>IFERROR(INDEX(V66:AG66,1,MATCH(Parametres!$B$3,V$1:AG$1,0)-1)*IF(OR(C66="L",C66="S",C66="I"),-1,1),"")</f>
        <v/>
      </c>
      <c r="AW66" s="1030">
        <f t="shared" si="5"/>
        <v>0</v>
      </c>
      <c r="AX66" s="1030">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t="str">
        <f>IFERROR(INDEX(G67:R67,1,MATCH(Parametres!$B$3,G$1:R$1,0)-1)*IF(OR(F67="L",F67="S",F67="I"),-1,1),"")</f>
        <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t="str">
        <f>IFERROR(INDEX(V67:AG67,1,MATCH(Parametres!$B$3,V$1:AG$1,0)-1)*IF(OR(C67="L",C67="S",C67="I"),-1,1),"")</f>
        <v/>
      </c>
      <c r="AW67" s="1030">
        <f t="shared" si="5"/>
        <v>0</v>
      </c>
      <c r="AX67" s="1030">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67214.539999999994</v>
      </c>
      <c r="L68" s="832">
        <v>67214.539999999994</v>
      </c>
      <c r="M68" s="832">
        <v>67214.539999999994</v>
      </c>
      <c r="N68" s="832">
        <v>67214.539999999994</v>
      </c>
      <c r="O68" s="832">
        <v>0</v>
      </c>
      <c r="P68" s="832">
        <v>0</v>
      </c>
      <c r="Q68" s="832">
        <v>0</v>
      </c>
      <c r="R68" s="832">
        <v>0</v>
      </c>
      <c r="S68" s="832">
        <v>9602.08</v>
      </c>
      <c r="T68" s="832">
        <v>9602.08</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t="str">
        <f>IFERROR(INDEX(G68:R68,1,MATCH(Parametres!$B$3,G$1:R$1,0)-1)*IF(OR(F68="L",F68="S",F68="I"),-1,1),"")</f>
        <v/>
      </c>
      <c r="AM68" s="1030">
        <f t="shared" ref="AM68:AM131" si="8">AN68-N(AL68)</f>
        <v>12969.55</v>
      </c>
      <c r="AN68" s="1030">
        <f>INDEX(G68:R68,1,MATCH(Parametres!$B$3,G$1:R$1,0))*IF(OR(F68="L",F68="S",F68="I"),-1,1)</f>
        <v>12969.55</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t="str">
        <f>IFERROR(INDEX(V68:AG68,1,MATCH(Parametres!$B$3,V$1:AG$1,0)-1)*IF(OR(C68="L",C68="S",C68="I"),-1,1),"")</f>
        <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13066.08</v>
      </c>
      <c r="L69" s="832">
        <v>13066.08</v>
      </c>
      <c r="M69" s="832">
        <v>13066.08</v>
      </c>
      <c r="N69" s="832">
        <v>13066.08</v>
      </c>
      <c r="O69" s="832">
        <v>0</v>
      </c>
      <c r="P69" s="832">
        <v>0</v>
      </c>
      <c r="Q69" s="832">
        <v>0</v>
      </c>
      <c r="R69" s="832">
        <v>0</v>
      </c>
      <c r="S69" s="832">
        <v>1866.58</v>
      </c>
      <c r="T69" s="832">
        <v>1866.58</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t="str">
        <f>IFERROR(INDEX(G69:R69,1,MATCH(Parametres!$B$3,G$1:R$1,0)-1)*IF(OR(F69="L",F69="S",F69="I"),-1,1),"")</f>
        <v/>
      </c>
      <c r="AM69" s="1030">
        <f t="shared" si="8"/>
        <v>2375.58</v>
      </c>
      <c r="AN69" s="1030">
        <f>INDEX(G69:R69,1,MATCH(Parametres!$B$3,G$1:R$1,0))*IF(OR(F69="L",F69="S",F69="I"),-1,1)</f>
        <v>2375.58</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t="str">
        <f>IFERROR(INDEX(V69:AG69,1,MATCH(Parametres!$B$3,V$1:AG$1,0)-1)*IF(OR(C69="L",C69="S",C69="I"),-1,1),"")</f>
        <v/>
      </c>
      <c r="AW69" s="1030">
        <f t="shared" si="11"/>
        <v>0</v>
      </c>
      <c r="AX69" s="1030">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t="str">
        <f>IFERROR(INDEX(G70:R70,1,MATCH(Parametres!$B$3,G$1:R$1,0)-1)*IF(OR(F70="L",F70="S",F70="I"),-1,1),"")</f>
        <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t="str">
        <f>IFERROR(INDEX(V70:AG70,1,MATCH(Parametres!$B$3,V$1:AG$1,0)-1)*IF(OR(C70="L",C70="S",C70="I"),-1,1),"")</f>
        <v/>
      </c>
      <c r="AW70" s="1030">
        <f t="shared" si="11"/>
        <v>0</v>
      </c>
      <c r="AX70" s="1030">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t="str">
        <f>IFERROR(INDEX(G71:R71,1,MATCH(Parametres!$B$3,G$1:R$1,0)-1)*IF(OR(F71="L",F71="S",F71="I"),-1,1),"")</f>
        <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t="str">
        <f>IFERROR(INDEX(V71:AG71,1,MATCH(Parametres!$B$3,V$1:AG$1,0)-1)*IF(OR(C71="L",C71="S",C71="I"),-1,1),"")</f>
        <v/>
      </c>
      <c r="AW71" s="1030">
        <f t="shared" si="11"/>
        <v>0</v>
      </c>
      <c r="AX71" s="1030">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1806.64</v>
      </c>
      <c r="L72" s="832">
        <v>1806.64</v>
      </c>
      <c r="M72" s="832">
        <v>1806.64</v>
      </c>
      <c r="N72" s="832">
        <v>1806.64</v>
      </c>
      <c r="O72" s="832">
        <v>0</v>
      </c>
      <c r="P72" s="832">
        <v>0</v>
      </c>
      <c r="Q72" s="832">
        <v>0</v>
      </c>
      <c r="R72" s="832">
        <v>0</v>
      </c>
      <c r="S72" s="832">
        <v>258.08999999999997</v>
      </c>
      <c r="T72" s="832">
        <v>258.08999999999997</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t="str">
        <f>IFERROR(INDEX(G72:R72,1,MATCH(Parametres!$B$3,G$1:R$1,0)-1)*IF(OR(F72="L",F72="S",F72="I"),-1,1),"")</f>
        <v/>
      </c>
      <c r="AM72" s="1030">
        <f t="shared" si="8"/>
        <v>578.28</v>
      </c>
      <c r="AN72" s="1030">
        <f>INDEX(G72:R72,1,MATCH(Parametres!$B$3,G$1:R$1,0))*IF(OR(F72="L",F72="S",F72="I"),-1,1)</f>
        <v>578.28</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t="str">
        <f>IFERROR(INDEX(V72:AG72,1,MATCH(Parametres!$B$3,V$1:AG$1,0)-1)*IF(OR(C72="L",C72="S",C72="I"),-1,1),"")</f>
        <v/>
      </c>
      <c r="AW72" s="1030">
        <f t="shared" si="11"/>
        <v>0</v>
      </c>
      <c r="AX72" s="1030">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34549.870000000003</v>
      </c>
      <c r="L73" s="832">
        <v>34549.870000000003</v>
      </c>
      <c r="M73" s="832">
        <v>34549.870000000003</v>
      </c>
      <c r="N73" s="832">
        <v>34549.870000000003</v>
      </c>
      <c r="O73" s="832">
        <v>0</v>
      </c>
      <c r="P73" s="832">
        <v>0</v>
      </c>
      <c r="Q73" s="832">
        <v>0</v>
      </c>
      <c r="R73" s="832">
        <v>0</v>
      </c>
      <c r="S73" s="832">
        <v>4935.7</v>
      </c>
      <c r="T73" s="832">
        <v>4935.7</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t="str">
        <f>IFERROR(INDEX(G73:R73,1,MATCH(Parametres!$B$3,G$1:R$1,0)-1)*IF(OR(F73="L",F73="S",F73="I"),-1,1),"")</f>
        <v/>
      </c>
      <c r="AM73" s="1030">
        <f t="shared" si="8"/>
        <v>5717.46</v>
      </c>
      <c r="AN73" s="1030">
        <f>INDEX(G73:R73,1,MATCH(Parametres!$B$3,G$1:R$1,0))*IF(OR(F73="L",F73="S",F73="I"),-1,1)</f>
        <v>5717.46</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t="str">
        <f>IFERROR(INDEX(V73:AG73,1,MATCH(Parametres!$B$3,V$1:AG$1,0)-1)*IF(OR(C73="L",C73="S",C73="I"),-1,1),"")</f>
        <v/>
      </c>
      <c r="AW73" s="1030">
        <f t="shared" si="11"/>
        <v>0</v>
      </c>
      <c r="AX73" s="1030">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t="str">
        <f>IFERROR(INDEX(G74:R74,1,MATCH(Parametres!$B$3,G$1:R$1,0)-1)*IF(OR(F74="L",F74="S",F74="I"),-1,1),"")</f>
        <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t="str">
        <f>IFERROR(INDEX(V74:AG74,1,MATCH(Parametres!$B$3,V$1:AG$1,0)-1)*IF(OR(C74="L",C74="S",C74="I"),-1,1),"")</f>
        <v/>
      </c>
      <c r="AW74" s="1030">
        <f t="shared" si="11"/>
        <v>0</v>
      </c>
      <c r="AX74" s="1030">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2151.64</v>
      </c>
      <c r="M75" s="832">
        <v>2151.64</v>
      </c>
      <c r="N75" s="832">
        <v>2151.64</v>
      </c>
      <c r="O75" s="832">
        <v>0</v>
      </c>
      <c r="P75" s="832">
        <v>0</v>
      </c>
      <c r="Q75" s="832">
        <v>0</v>
      </c>
      <c r="R75" s="832">
        <v>0</v>
      </c>
      <c r="S75" s="832">
        <v>307.38</v>
      </c>
      <c r="T75" s="832">
        <v>307.38</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t="str">
        <f>IFERROR(INDEX(G75:R75,1,MATCH(Parametres!$B$3,G$1:R$1,0)-1)*IF(OR(F75="L",F75="S",F75="I"),-1,1),"")</f>
        <v/>
      </c>
      <c r="AM75" s="1030">
        <f t="shared" si="8"/>
        <v>473.64</v>
      </c>
      <c r="AN75" s="1030">
        <f>INDEX(G75:R75,1,MATCH(Parametres!$B$3,G$1:R$1,0))*IF(OR(F75="L",F75="S",F75="I"),-1,1)</f>
        <v>473.64</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t="str">
        <f>IFERROR(INDEX(V75:AG75,1,MATCH(Parametres!$B$3,V$1:AG$1,0)-1)*IF(OR(C75="L",C75="S",C75="I"),-1,1),"")</f>
        <v/>
      </c>
      <c r="AW75" s="1030">
        <f t="shared" si="11"/>
        <v>0</v>
      </c>
      <c r="AX75" s="1030">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t="str">
        <f>IFERROR(INDEX(G76:R76,1,MATCH(Parametres!$B$3,G$1:R$1,0)-1)*IF(OR(F76="L",F76="S",F76="I"),-1,1),"")</f>
        <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t="str">
        <f>IFERROR(INDEX(V76:AG76,1,MATCH(Parametres!$B$3,V$1:AG$1,0)-1)*IF(OR(C76="L",C76="S",C76="I"),-1,1),"")</f>
        <v/>
      </c>
      <c r="AW76" s="1030">
        <f t="shared" si="11"/>
        <v>0</v>
      </c>
      <c r="AX76" s="1030">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t="str">
        <f>IFERROR(INDEX(G77:R77,1,MATCH(Parametres!$B$3,G$1:R$1,0)-1)*IF(OR(F77="L",F77="S",F77="I"),-1,1),"")</f>
        <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t="str">
        <f>IFERROR(INDEX(V77:AG77,1,MATCH(Parametres!$B$3,V$1:AG$1,0)-1)*IF(OR(C77="L",C77="S",C77="I"),-1,1),"")</f>
        <v/>
      </c>
      <c r="AW77" s="1030">
        <f t="shared" si="11"/>
        <v>0</v>
      </c>
      <c r="AX77" s="1030">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7062.07</v>
      </c>
      <c r="L78" s="832">
        <v>7062.07</v>
      </c>
      <c r="M78" s="832">
        <v>7062.07</v>
      </c>
      <c r="N78" s="832">
        <v>7062.07</v>
      </c>
      <c r="O78" s="832">
        <v>0</v>
      </c>
      <c r="P78" s="832">
        <v>0</v>
      </c>
      <c r="Q78" s="832">
        <v>0</v>
      </c>
      <c r="R78" s="832">
        <v>0</v>
      </c>
      <c r="S78" s="832">
        <v>1008.87</v>
      </c>
      <c r="T78" s="832">
        <v>1008.87</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t="str">
        <f>IFERROR(INDEX(G78:R78,1,MATCH(Parametres!$B$3,G$1:R$1,0)-1)*IF(OR(F78="L",F78="S",F78="I"),-1,1),"")</f>
        <v/>
      </c>
      <c r="AM78" s="1030">
        <f t="shared" si="8"/>
        <v>2238.33</v>
      </c>
      <c r="AN78" s="1030">
        <f>INDEX(G78:R78,1,MATCH(Parametres!$B$3,G$1:R$1,0))*IF(OR(F78="L",F78="S",F78="I"),-1,1)</f>
        <v>2238.33</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t="str">
        <f>IFERROR(INDEX(V78:AG78,1,MATCH(Parametres!$B$3,V$1:AG$1,0)-1)*IF(OR(C78="L",C78="S",C78="I"),-1,1),"")</f>
        <v/>
      </c>
      <c r="AW78" s="1030">
        <f t="shared" si="11"/>
        <v>0</v>
      </c>
      <c r="AX78" s="1030">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121.41</v>
      </c>
      <c r="L79" s="832">
        <v>121.41</v>
      </c>
      <c r="M79" s="832">
        <v>121.41</v>
      </c>
      <c r="N79" s="832">
        <v>121.41</v>
      </c>
      <c r="O79" s="832">
        <v>0</v>
      </c>
      <c r="P79" s="832">
        <v>0</v>
      </c>
      <c r="Q79" s="832">
        <v>0</v>
      </c>
      <c r="R79" s="832">
        <v>0</v>
      </c>
      <c r="S79" s="832">
        <v>17.34</v>
      </c>
      <c r="T79" s="832">
        <v>17.34</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t="str">
        <f>IFERROR(INDEX(G79:R79,1,MATCH(Parametres!$B$3,G$1:R$1,0)-1)*IF(OR(F79="L",F79="S",F79="I"),-1,1),"")</f>
        <v/>
      </c>
      <c r="AM79" s="1030">
        <f t="shared" si="8"/>
        <v>40.47</v>
      </c>
      <c r="AN79" s="1030">
        <f>INDEX(G79:R79,1,MATCH(Parametres!$B$3,G$1:R$1,0))*IF(OR(F79="L",F79="S",F79="I"),-1,1)</f>
        <v>40.47</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t="str">
        <f>IFERROR(INDEX(V79:AG79,1,MATCH(Parametres!$B$3,V$1:AG$1,0)-1)*IF(OR(C79="L",C79="S",C79="I"),-1,1),"")</f>
        <v/>
      </c>
      <c r="AW79" s="1030">
        <f t="shared" si="11"/>
        <v>0</v>
      </c>
      <c r="AX79" s="1030">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t="str">
        <f>IFERROR(INDEX(G80:R80,1,MATCH(Parametres!$B$3,G$1:R$1,0)-1)*IF(OR(F80="L",F80="S",F80="I"),-1,1),"")</f>
        <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t="str">
        <f>IFERROR(INDEX(V80:AG80,1,MATCH(Parametres!$B$3,V$1:AG$1,0)-1)*IF(OR(C80="L",C80="S",C80="I"),-1,1),"")</f>
        <v/>
      </c>
      <c r="AW80" s="1030">
        <f t="shared" si="11"/>
        <v>0</v>
      </c>
      <c r="AX80" s="1030">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t="str">
        <f>IFERROR(INDEX(G81:R81,1,MATCH(Parametres!$B$3,G$1:R$1,0)-1)*IF(OR(F81="L",F81="S",F81="I"),-1,1),"")</f>
        <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t="str">
        <f>IFERROR(INDEX(V81:AG81,1,MATCH(Parametres!$B$3,V$1:AG$1,0)-1)*IF(OR(C81="L",C81="S",C81="I"),-1,1),"")</f>
        <v/>
      </c>
      <c r="AW81" s="1030">
        <f t="shared" si="11"/>
        <v>0</v>
      </c>
      <c r="AX81" s="1030">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11240.49</v>
      </c>
      <c r="L82" s="832">
        <v>11240.49</v>
      </c>
      <c r="M82" s="832">
        <v>11240.49</v>
      </c>
      <c r="N82" s="832">
        <v>11240.49</v>
      </c>
      <c r="O82" s="832">
        <v>0</v>
      </c>
      <c r="P82" s="832">
        <v>0</v>
      </c>
      <c r="Q82" s="832">
        <v>0</v>
      </c>
      <c r="R82" s="832">
        <v>0</v>
      </c>
      <c r="S82" s="832">
        <v>1605.78</v>
      </c>
      <c r="T82" s="832">
        <v>1605.78</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t="str">
        <f>IFERROR(INDEX(G82:R82,1,MATCH(Parametres!$B$3,G$1:R$1,0)-1)*IF(OR(F82="L",F82="S",F82="I"),-1,1),"")</f>
        <v/>
      </c>
      <c r="AM82" s="1030">
        <f t="shared" si="8"/>
        <v>1756.36</v>
      </c>
      <c r="AN82" s="1030">
        <f>INDEX(G82:R82,1,MATCH(Parametres!$B$3,G$1:R$1,0))*IF(OR(F82="L",F82="S",F82="I"),-1,1)</f>
        <v>1756.36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t="str">
        <f>IFERROR(INDEX(V82:AG82,1,MATCH(Parametres!$B$3,V$1:AG$1,0)-1)*IF(OR(C82="L",C82="S",C82="I"),-1,1),"")</f>
        <v/>
      </c>
      <c r="AW82" s="1030">
        <f t="shared" si="11"/>
        <v>0</v>
      </c>
      <c r="AX82" s="1030">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1963.97</v>
      </c>
      <c r="L83" s="832">
        <v>1963.97</v>
      </c>
      <c r="M83" s="832">
        <v>1963.97</v>
      </c>
      <c r="N83" s="832">
        <v>1963.97</v>
      </c>
      <c r="O83" s="832">
        <v>0</v>
      </c>
      <c r="P83" s="832">
        <v>0</v>
      </c>
      <c r="Q83" s="832">
        <v>0</v>
      </c>
      <c r="R83" s="832">
        <v>0</v>
      </c>
      <c r="S83" s="832">
        <v>280.57</v>
      </c>
      <c r="T83" s="832">
        <v>280.57</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t="str">
        <f>IFERROR(INDEX(G83:R83,1,MATCH(Parametres!$B$3,G$1:R$1,0)-1)*IF(OR(F83="L",F83="S",F83="I"),-1,1),"")</f>
        <v/>
      </c>
      <c r="AM83" s="1030">
        <f t="shared" si="8"/>
        <v>546.74</v>
      </c>
      <c r="AN83" s="1030">
        <f>INDEX(G83:R83,1,MATCH(Parametres!$B$3,G$1:R$1,0))*IF(OR(F83="L",F83="S",F83="I"),-1,1)</f>
        <v>546.74</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t="str">
        <f>IFERROR(INDEX(V83:AG83,1,MATCH(Parametres!$B$3,V$1:AG$1,0)-1)*IF(OR(C83="L",C83="S",C83="I"),-1,1),"")</f>
        <v/>
      </c>
      <c r="AW83" s="1030">
        <f t="shared" si="11"/>
        <v>0</v>
      </c>
      <c r="AX83" s="1030">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t="str">
        <f>IFERROR(INDEX(G84:R84,1,MATCH(Parametres!$B$3,G$1:R$1,0)-1)*IF(OR(F84="L",F84="S",F84="I"),-1,1),"")</f>
        <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t="str">
        <f>IFERROR(INDEX(V84:AG84,1,MATCH(Parametres!$B$3,V$1:AG$1,0)-1)*IF(OR(C84="L",C84="S",C84="I"),-1,1),"")</f>
        <v/>
      </c>
      <c r="AW84" s="1030">
        <f t="shared" si="11"/>
        <v>0</v>
      </c>
      <c r="AX84" s="1030">
        <f>INDEX(V84:AG84,1,MATCH(Parametres!$B$3,V$1:AG$1,0))*IF(OR(C84="L",C84="S",C84="I"),-1,1)</f>
        <v>0</v>
      </c>
      <c r="AY84" s="598" t="s">
        <v>337</v>
      </c>
      <c r="AZ84" s="598" t="e">
        <f>+VLOOKUP($AJ84,Data_Validation!$A:$E,5,0)</f>
        <v>#N/A</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305.95999999999998</v>
      </c>
      <c r="L85" s="832">
        <v>305.95999999999998</v>
      </c>
      <c r="M85" s="832">
        <v>305.95999999999998</v>
      </c>
      <c r="N85" s="832">
        <v>305.95999999999998</v>
      </c>
      <c r="O85" s="832">
        <v>0</v>
      </c>
      <c r="P85" s="832">
        <v>0</v>
      </c>
      <c r="Q85" s="832">
        <v>0</v>
      </c>
      <c r="R85" s="832">
        <v>0</v>
      </c>
      <c r="S85" s="832">
        <v>43.71</v>
      </c>
      <c r="T85" s="832">
        <v>43.71</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t="str">
        <f>IFERROR(INDEX(G85:R85,1,MATCH(Parametres!$B$3,G$1:R$1,0)-1)*IF(OR(F85="L",F85="S",F85="I"),-1,1),"")</f>
        <v/>
      </c>
      <c r="AM85" s="1030">
        <f t="shared" si="8"/>
        <v>82.54</v>
      </c>
      <c r="AN85" s="1030">
        <f>INDEX(G85:R85,1,MATCH(Parametres!$B$3,G$1:R$1,0))*IF(OR(F85="L",F85="S",F85="I"),-1,1)</f>
        <v>82.54</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t="str">
        <f>IFERROR(INDEX(V85:AG85,1,MATCH(Parametres!$B$3,V$1:AG$1,0)-1)*IF(OR(C85="L",C85="S",C85="I"),-1,1),"")</f>
        <v/>
      </c>
      <c r="AW85" s="1030">
        <f t="shared" si="11"/>
        <v>0</v>
      </c>
      <c r="AX85" s="1030">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t="str">
        <f>IFERROR(INDEX(G86:R86,1,MATCH(Parametres!$B$3,G$1:R$1,0)-1)*IF(OR(F86="L",F86="S",F86="I"),-1,1),"")</f>
        <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t="str">
        <f>IFERROR(INDEX(V86:AG86,1,MATCH(Parametres!$B$3,V$1:AG$1,0)-1)*IF(OR(C86="L",C86="S",C86="I"),-1,1),"")</f>
        <v/>
      </c>
      <c r="AW86" s="1030">
        <f t="shared" si="11"/>
        <v>0</v>
      </c>
      <c r="AX86" s="1030">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t="str">
        <f>IFERROR(INDEX(G87:R87,1,MATCH(Parametres!$B$3,G$1:R$1,0)-1)*IF(OR(F87="L",F87="S",F87="I"),-1,1),"")</f>
        <v/>
      </c>
      <c r="AM87" s="1030">
        <f t="shared" si="8"/>
        <v>30</v>
      </c>
      <c r="AN87" s="1030">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t="str">
        <f>IFERROR(INDEX(V87:AG87,1,MATCH(Parametres!$B$3,V$1:AG$1,0)-1)*IF(OR(C87="L",C87="S",C87="I"),-1,1),"")</f>
        <v/>
      </c>
      <c r="AW87" s="1030">
        <f t="shared" si="11"/>
        <v>0</v>
      </c>
      <c r="AX87" s="1030">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t="str">
        <f>IFERROR(INDEX(G88:R88,1,MATCH(Parametres!$B$3,G$1:R$1,0)-1)*IF(OR(F88="L",F88="S",F88="I"),-1,1),"")</f>
        <v/>
      </c>
      <c r="AM88" s="1030">
        <f t="shared" si="8"/>
        <v>0</v>
      </c>
      <c r="AN88" s="1030">
        <f>INDEX(G88:R88,1,MATCH(Parametres!$B$3,G$1:R$1,0))*IF(OR(F88="L",F88="S",F88="I"),-1,1)</f>
        <v>0</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t="str">
        <f>IFERROR(INDEX(V88:AG88,1,MATCH(Parametres!$B$3,V$1:AG$1,0)-1)*IF(OR(C88="L",C88="S",C88="I"),-1,1),"")</f>
        <v/>
      </c>
      <c r="AW88" s="1030">
        <f t="shared" si="11"/>
        <v>0</v>
      </c>
      <c r="AX88" s="1030">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122281.25</v>
      </c>
      <c r="M89" s="832">
        <v>122281.25</v>
      </c>
      <c r="N89" s="832">
        <v>122281.25</v>
      </c>
      <c r="O89" s="832">
        <v>0</v>
      </c>
      <c r="P89" s="832">
        <v>0</v>
      </c>
      <c r="Q89" s="832">
        <v>0</v>
      </c>
      <c r="R89" s="832">
        <v>0</v>
      </c>
      <c r="S89" s="832">
        <v>17468.75</v>
      </c>
      <c r="T89" s="832">
        <v>17468.75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t="str">
        <f>IFERROR(INDEX(G89:R89,1,MATCH(Parametres!$B$3,G$1:R$1,0)-1)*IF(OR(F89="L",F89="S",F89="I"),-1,1),"")</f>
        <v/>
      </c>
      <c r="AM89" s="1030">
        <f t="shared" si="8"/>
        <v>24456.25</v>
      </c>
      <c r="AN89" s="1030">
        <f>INDEX(G89:R89,1,MATCH(Parametres!$B$3,G$1:R$1,0))*IF(OR(F89="L",F89="S",F89="I"),-1,1)</f>
        <v>24456.25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t="str">
        <f>IFERROR(INDEX(V89:AG89,1,MATCH(Parametres!$B$3,V$1:AG$1,0)-1)*IF(OR(C89="L",C89="S",C89="I"),-1,1),"")</f>
        <v/>
      </c>
      <c r="AW89" s="1030">
        <f t="shared" si="11"/>
        <v>0</v>
      </c>
      <c r="AX89" s="1030">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475.5</v>
      </c>
      <c r="L90" s="832">
        <v>475.5</v>
      </c>
      <c r="M90" s="832">
        <v>475.5</v>
      </c>
      <c r="N90" s="832">
        <v>475.5</v>
      </c>
      <c r="O90" s="832">
        <v>0</v>
      </c>
      <c r="P90" s="832">
        <v>0</v>
      </c>
      <c r="Q90" s="832">
        <v>0</v>
      </c>
      <c r="R90" s="832">
        <v>0</v>
      </c>
      <c r="S90" s="832">
        <v>67.930000000000007</v>
      </c>
      <c r="T90" s="832">
        <v>67.930000000000007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t="str">
        <f>IFERROR(INDEX(G90:R90,1,MATCH(Parametres!$B$3,G$1:R$1,0)-1)*IF(OR(F90="L",F90="S",F90="I"),-1,1),"")</f>
        <v/>
      </c>
      <c r="AM90" s="1030">
        <f t="shared" si="8"/>
        <v>120.88</v>
      </c>
      <c r="AN90" s="1030">
        <f>INDEX(G90:R90,1,MATCH(Parametres!$B$3,G$1:R$1,0))*IF(OR(F90="L",F90="S",F90="I"),-1,1)</f>
        <v>120.88</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t="str">
        <f>IFERROR(INDEX(V90:AG90,1,MATCH(Parametres!$B$3,V$1:AG$1,0)-1)*IF(OR(C90="L",C90="S",C90="I"),-1,1),"")</f>
        <v/>
      </c>
      <c r="AW90" s="1030">
        <f t="shared" si="11"/>
        <v>0</v>
      </c>
      <c r="AX90" s="1030">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1629.95</v>
      </c>
      <c r="L91" s="832">
        <v>1629.95</v>
      </c>
      <c r="M91" s="832">
        <v>1629.95</v>
      </c>
      <c r="N91" s="832">
        <v>1629.95</v>
      </c>
      <c r="O91" s="832">
        <v>0</v>
      </c>
      <c r="P91" s="832">
        <v>0</v>
      </c>
      <c r="Q91" s="832">
        <v>0</v>
      </c>
      <c r="R91" s="832">
        <v>0</v>
      </c>
      <c r="S91" s="832">
        <v>232.85</v>
      </c>
      <c r="T91" s="832">
        <v>232.85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t="str">
        <f>IFERROR(INDEX(G91:R91,1,MATCH(Parametres!$B$3,G$1:R$1,0)-1)*IF(OR(F91="L",F91="S",F91="I"),-1,1),"")</f>
        <v/>
      </c>
      <c r="AM91" s="1030">
        <f t="shared" si="8"/>
        <v>147.97</v>
      </c>
      <c r="AN91" s="1030">
        <f>INDEX(G91:R91,1,MATCH(Parametres!$B$3,G$1:R$1,0))*IF(OR(F91="L",F91="S",F91="I"),-1,1)</f>
        <v>147.97</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t="str">
        <f>IFERROR(INDEX(V91:AG91,1,MATCH(Parametres!$B$3,V$1:AG$1,0)-1)*IF(OR(C91="L",C91="S",C91="I"),-1,1),"")</f>
        <v/>
      </c>
      <c r="AW91" s="1030">
        <f t="shared" si="11"/>
        <v>0</v>
      </c>
      <c r="AX91" s="1030">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23487.3</v>
      </c>
      <c r="L92" s="832">
        <v>23487.3</v>
      </c>
      <c r="M92" s="832">
        <v>23487.3</v>
      </c>
      <c r="N92" s="832">
        <v>23487.3</v>
      </c>
      <c r="O92" s="832">
        <v>0</v>
      </c>
      <c r="P92" s="832">
        <v>0</v>
      </c>
      <c r="Q92" s="832">
        <v>0</v>
      </c>
      <c r="R92" s="832">
        <v>0</v>
      </c>
      <c r="S92" s="832">
        <v>3355.33</v>
      </c>
      <c r="T92" s="832">
        <v>3355.33</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t="str">
        <f>IFERROR(INDEX(G92:R92,1,MATCH(Parametres!$B$3,G$1:R$1,0)-1)*IF(OR(F92="L",F92="S",F92="I"),-1,1),"")</f>
        <v/>
      </c>
      <c r="AM92" s="1030">
        <f t="shared" si="8"/>
        <v>5857.17</v>
      </c>
      <c r="AN92" s="1030">
        <f>INDEX(G92:R92,1,MATCH(Parametres!$B$3,G$1:R$1,0))*IF(OR(F92="L",F92="S",F92="I"),-1,1)</f>
        <v>5857.17</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t="str">
        <f>IFERROR(INDEX(V92:AG92,1,MATCH(Parametres!$B$3,V$1:AG$1,0)-1)*IF(OR(C92="L",C92="S",C92="I"),-1,1),"")</f>
        <v/>
      </c>
      <c r="AW92" s="1030">
        <f t="shared" si="11"/>
        <v>0</v>
      </c>
      <c r="AX92" s="1030">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3338.96</v>
      </c>
      <c r="L93" s="832">
        <v>3338.96</v>
      </c>
      <c r="M93" s="832">
        <v>3338.96</v>
      </c>
      <c r="N93" s="832">
        <v>3338.96</v>
      </c>
      <c r="O93" s="832">
        <v>0</v>
      </c>
      <c r="P93" s="832">
        <v>0</v>
      </c>
      <c r="Q93" s="832">
        <v>0</v>
      </c>
      <c r="R93" s="832">
        <v>0</v>
      </c>
      <c r="S93" s="832">
        <v>476.99</v>
      </c>
      <c r="T93" s="832">
        <v>476.99</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t="str">
        <f>IFERROR(INDEX(G93:R93,1,MATCH(Parametres!$B$3,G$1:R$1,0)-1)*IF(OR(F93="L",F93="S",F93="I"),-1,1),"")</f>
        <v/>
      </c>
      <c r="AM93" s="1030">
        <f t="shared" si="8"/>
        <v>834.74</v>
      </c>
      <c r="AN93" s="1030">
        <f>INDEX(G93:R93,1,MATCH(Parametres!$B$3,G$1:R$1,0))*IF(OR(F93="L",F93="S",F93="I"),-1,1)</f>
        <v>834.74</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t="str">
        <f>IFERROR(INDEX(V93:AG93,1,MATCH(Parametres!$B$3,V$1:AG$1,0)-1)*IF(OR(C93="L",C93="S",C93="I"),-1,1),"")</f>
        <v/>
      </c>
      <c r="AW93" s="1030">
        <f t="shared" si="11"/>
        <v>0</v>
      </c>
      <c r="AX93" s="1030">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t="str">
        <f>IFERROR(INDEX(G94:R94,1,MATCH(Parametres!$B$3,G$1:R$1,0)-1)*IF(OR(F94="L",F94="S",F94="I"),-1,1),"")</f>
        <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t="str">
        <f>IFERROR(INDEX(V94:AG94,1,MATCH(Parametres!$B$3,V$1:AG$1,0)-1)*IF(OR(C94="L",C94="S",C94="I"),-1,1),"")</f>
        <v/>
      </c>
      <c r="AW94" s="1030">
        <f t="shared" si="11"/>
        <v>0</v>
      </c>
      <c r="AX94" s="1030">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t="str">
        <f>IFERROR(INDEX(G95:R95,1,MATCH(Parametres!$B$3,G$1:R$1,0)-1)*IF(OR(F95="L",F95="S",F95="I"),-1,1),"")</f>
        <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t="str">
        <f>IFERROR(INDEX(V95:AG95,1,MATCH(Parametres!$B$3,V$1:AG$1,0)-1)*IF(OR(C95="L",C95="S",C95="I"),-1,1),"")</f>
        <v/>
      </c>
      <c r="AW95" s="1030">
        <f t="shared" si="11"/>
        <v>0</v>
      </c>
      <c r="AX95" s="1030">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3155.19</v>
      </c>
      <c r="L96" s="832">
        <v>3155.19</v>
      </c>
      <c r="M96" s="832">
        <v>3155.19</v>
      </c>
      <c r="N96" s="832">
        <v>3155.19</v>
      </c>
      <c r="O96" s="832">
        <v>0</v>
      </c>
      <c r="P96" s="832">
        <v>0</v>
      </c>
      <c r="Q96" s="832">
        <v>0</v>
      </c>
      <c r="R96" s="832">
        <v>0</v>
      </c>
      <c r="S96" s="832">
        <v>450.74</v>
      </c>
      <c r="T96" s="832">
        <v>450.74</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t="str">
        <f>IFERROR(INDEX(G96:R96,1,MATCH(Parametres!$B$3,G$1:R$1,0)-1)*IF(OR(F96="L",F96="S",F96="I"),-1,1),"")</f>
        <v/>
      </c>
      <c r="AM96" s="1030">
        <f t="shared" si="8"/>
        <v>802.56</v>
      </c>
      <c r="AN96" s="1030">
        <f>INDEX(G96:R96,1,MATCH(Parametres!$B$3,G$1:R$1,0))*IF(OR(F96="L",F96="S",F96="I"),-1,1)</f>
        <v>802.56</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t="str">
        <f>IFERROR(INDEX(V96:AG96,1,MATCH(Parametres!$B$3,V$1:AG$1,0)-1)*IF(OR(C96="L",C96="S",C96="I"),-1,1),"")</f>
        <v/>
      </c>
      <c r="AW96" s="1030">
        <f t="shared" si="11"/>
        <v>0</v>
      </c>
      <c r="AX96" s="1030">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t="str">
        <f>IFERROR(INDEX(G97:R97,1,MATCH(Parametres!$B$3,G$1:R$1,0)-1)*IF(OR(F97="L",F97="S",F97="I"),-1,1),"")</f>
        <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t="str">
        <f>IFERROR(INDEX(V97:AG97,1,MATCH(Parametres!$B$3,V$1:AG$1,0)-1)*IF(OR(C97="L",C97="S",C97="I"),-1,1),"")</f>
        <v/>
      </c>
      <c r="AW97" s="1030">
        <f t="shared" si="11"/>
        <v>0</v>
      </c>
      <c r="AX97" s="1030">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10234.64</v>
      </c>
      <c r="L98" s="832">
        <v>10234.64</v>
      </c>
      <c r="M98" s="832">
        <v>10234.64</v>
      </c>
      <c r="N98" s="832">
        <v>10234.64</v>
      </c>
      <c r="O98" s="832">
        <v>0</v>
      </c>
      <c r="P98" s="832">
        <v>0</v>
      </c>
      <c r="Q98" s="832">
        <v>0</v>
      </c>
      <c r="R98" s="832">
        <v>0</v>
      </c>
      <c r="S98" s="832">
        <v>1462.09</v>
      </c>
      <c r="T98" s="832">
        <v>1462.09</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t="str">
        <f>IFERROR(INDEX(G98:R98,1,MATCH(Parametres!$B$3,G$1:R$1,0)-1)*IF(OR(F98="L",F98="S",F98="I"),-1,1),"")</f>
        <v/>
      </c>
      <c r="AM98" s="1030">
        <f t="shared" si="8"/>
        <v>2853.43</v>
      </c>
      <c r="AN98" s="1030">
        <f>INDEX(G98:R98,1,MATCH(Parametres!$B$3,G$1:R$1,0))*IF(OR(F98="L",F98="S",F98="I"),-1,1)</f>
        <v>2853.43</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t="str">
        <f>IFERROR(INDEX(V98:AG98,1,MATCH(Parametres!$B$3,V$1:AG$1,0)-1)*IF(OR(C98="L",C98="S",C98="I"),-1,1),"")</f>
        <v/>
      </c>
      <c r="AW98" s="1030">
        <f t="shared" si="11"/>
        <v>0</v>
      </c>
      <c r="AX98" s="1030">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1260</v>
      </c>
      <c r="L99" s="832">
        <v>1260</v>
      </c>
      <c r="M99" s="832">
        <v>1260</v>
      </c>
      <c r="N99" s="832">
        <v>1260</v>
      </c>
      <c r="O99" s="832">
        <v>0</v>
      </c>
      <c r="P99" s="832">
        <v>0</v>
      </c>
      <c r="Q99" s="832">
        <v>0</v>
      </c>
      <c r="R99" s="832">
        <v>0</v>
      </c>
      <c r="S99" s="832">
        <v>180</v>
      </c>
      <c r="T99" s="832">
        <v>180</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t="str">
        <f>IFERROR(INDEX(G99:R99,1,MATCH(Parametres!$B$3,G$1:R$1,0)-1)*IF(OR(F99="L",F99="S",F99="I"),-1,1),"")</f>
        <v/>
      </c>
      <c r="AM99" s="1030">
        <f t="shared" si="8"/>
        <v>250</v>
      </c>
      <c r="AN99" s="1030">
        <f>INDEX(G99:R99,1,MATCH(Parametres!$B$3,G$1:R$1,0))*IF(OR(F99="L",F99="S",F99="I"),-1,1)</f>
        <v>250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t="str">
        <f>IFERROR(INDEX(V99:AG99,1,MATCH(Parametres!$B$3,V$1:AG$1,0)-1)*IF(OR(C99="L",C99="S",C99="I"),-1,1),"")</f>
        <v/>
      </c>
      <c r="AW99" s="1030">
        <f t="shared" si="11"/>
        <v>0</v>
      </c>
      <c r="AX99" s="1030">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152.94999999999999</v>
      </c>
      <c r="L100" s="832">
        <v>152.94999999999999</v>
      </c>
      <c r="M100" s="832">
        <v>152.94999999999999</v>
      </c>
      <c r="N100" s="832">
        <v>152.94999999999999</v>
      </c>
      <c r="O100" s="832">
        <v>0</v>
      </c>
      <c r="P100" s="832">
        <v>0</v>
      </c>
      <c r="Q100" s="832">
        <v>0</v>
      </c>
      <c r="R100" s="832">
        <v>0</v>
      </c>
      <c r="S100" s="832">
        <v>21.85</v>
      </c>
      <c r="T100" s="832">
        <v>21.85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t="str">
        <f>IFERROR(INDEX(G100:R100,1,MATCH(Parametres!$B$3,G$1:R$1,0)-1)*IF(OR(F100="L",F100="S",F100="I"),-1,1),"")</f>
        <v/>
      </c>
      <c r="AM100" s="1030">
        <f t="shared" si="8"/>
        <v>-20.8</v>
      </c>
      <c r="AN100" s="1030">
        <f>INDEX(G100:R100,1,MATCH(Parametres!$B$3,G$1:R$1,0))*IF(OR(F100="L",F100="S",F100="I"),-1,1)</f>
        <v>-20.8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t="str">
        <f>IFERROR(INDEX(V100:AG100,1,MATCH(Parametres!$B$3,V$1:AG$1,0)-1)*IF(OR(C100="L",C100="S",C100="I"),-1,1),"")</f>
        <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t="str">
        <f>IFERROR(INDEX(G101:R101,1,MATCH(Parametres!$B$3,G$1:R$1,0)-1)*IF(OR(F101="L",F101="S",F101="I"),-1,1),"")</f>
        <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t="str">
        <f>IFERROR(INDEX(V101:AG101,1,MATCH(Parametres!$B$3,V$1:AG$1,0)-1)*IF(OR(C101="L",C101="S",C101="I"),-1,1),"")</f>
        <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t="str">
        <f>IFERROR(INDEX(G102:R102,1,MATCH(Parametres!$B$3,G$1:R$1,0)-1)*IF(OR(F102="L",F102="S",F102="I"),-1,1),"")</f>
        <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t="str">
        <f>IFERROR(INDEX(V102:AG102,1,MATCH(Parametres!$B$3,V$1:AG$1,0)-1)*IF(OR(C102="L",C102="S",C102="I"),-1,1),"")</f>
        <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29175.48</v>
      </c>
      <c r="L103" s="832">
        <v>29175.48</v>
      </c>
      <c r="M103" s="832">
        <v>29175.48</v>
      </c>
      <c r="N103" s="832">
        <v>29175.48</v>
      </c>
      <c r="O103" s="832">
        <v>0</v>
      </c>
      <c r="P103" s="832">
        <v>0</v>
      </c>
      <c r="Q103" s="832">
        <v>0</v>
      </c>
      <c r="R103" s="832">
        <v>0</v>
      </c>
      <c r="S103" s="832">
        <v>4167.93</v>
      </c>
      <c r="T103" s="832">
        <v>4167.93</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t="str">
        <f>IFERROR(INDEX(G103:R103,1,MATCH(Parametres!$B$3,G$1:R$1,0)-1)*IF(OR(F103="L",F103="S",F103="I"),-1,1),"")</f>
        <v/>
      </c>
      <c r="AM103" s="1030">
        <f t="shared" si="8"/>
        <v>10355.44</v>
      </c>
      <c r="AN103" s="1030">
        <f>INDEX(G103:R103,1,MATCH(Parametres!$B$3,G$1:R$1,0))*IF(OR(F103="L",F103="S",F103="I"),-1,1)</f>
        <v>10355.44</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t="str">
        <f>IFERROR(INDEX(V103:AG103,1,MATCH(Parametres!$B$3,V$1:AG$1,0)-1)*IF(OR(C103="L",C103="S",C103="I"),-1,1),"")</f>
        <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91890.9</v>
      </c>
      <c r="L104" s="832">
        <v>91890.9</v>
      </c>
      <c r="M104" s="832">
        <v>91890.9</v>
      </c>
      <c r="N104" s="832">
        <v>91890.9</v>
      </c>
      <c r="O104" s="832">
        <v>0</v>
      </c>
      <c r="P104" s="832">
        <v>0</v>
      </c>
      <c r="Q104" s="832">
        <v>0</v>
      </c>
      <c r="R104" s="832">
        <v>0</v>
      </c>
      <c r="S104" s="832">
        <v>13127.27</v>
      </c>
      <c r="T104" s="832">
        <v>13127.27</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t="str">
        <f>IFERROR(INDEX(G104:R104,1,MATCH(Parametres!$B$3,G$1:R$1,0)-1)*IF(OR(F104="L",F104="S",F104="I"),-1,1),"")</f>
        <v/>
      </c>
      <c r="AM104" s="1030">
        <f t="shared" si="8"/>
        <v>20921.490000000002</v>
      </c>
      <c r="AN104" s="1030">
        <f>INDEX(G104:R104,1,MATCH(Parametres!$B$3,G$1:R$1,0))*IF(OR(F104="L",F104="S",F104="I"),-1,1)</f>
        <v>20921.490000000002</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t="str">
        <f>IFERROR(INDEX(V104:AG104,1,MATCH(Parametres!$B$3,V$1:AG$1,0)-1)*IF(OR(C104="L",C104="S",C104="I"),-1,1),"")</f>
        <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10480.94</v>
      </c>
      <c r="L105" s="832">
        <v>10480.94</v>
      </c>
      <c r="M105" s="832">
        <v>10480.94</v>
      </c>
      <c r="N105" s="832">
        <v>10480.94</v>
      </c>
      <c r="O105" s="832">
        <v>0</v>
      </c>
      <c r="P105" s="832">
        <v>0</v>
      </c>
      <c r="Q105" s="832">
        <v>0</v>
      </c>
      <c r="R105" s="832">
        <v>0</v>
      </c>
      <c r="S105" s="832">
        <v>1497.28</v>
      </c>
      <c r="T105" s="832">
        <v>1497.28</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t="str">
        <f>IFERROR(INDEX(G105:R105,1,MATCH(Parametres!$B$3,G$1:R$1,0)-1)*IF(OR(F105="L",F105="S",F105="I"),-1,1),"")</f>
        <v/>
      </c>
      <c r="AM105" s="1030">
        <f t="shared" si="8"/>
        <v>2905.52</v>
      </c>
      <c r="AN105" s="1030">
        <f>INDEX(G105:R105,1,MATCH(Parametres!$B$3,G$1:R$1,0))*IF(OR(F105="L",F105="S",F105="I"),-1,1)</f>
        <v>2905.52</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t="str">
        <f>IFERROR(INDEX(V105:AG105,1,MATCH(Parametres!$B$3,V$1:AG$1,0)-1)*IF(OR(C105="L",C105="S",C105="I"),-1,1),"")</f>
        <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t="str">
        <f>IFERROR(INDEX(G106:R106,1,MATCH(Parametres!$B$3,G$1:R$1,0)-1)*IF(OR(F106="L",F106="S",F106="I"),-1,1),"")</f>
        <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t="str">
        <f>IFERROR(INDEX(V106:AG106,1,MATCH(Parametres!$B$3,V$1:AG$1,0)-1)*IF(OR(C106="L",C106="S",C106="I"),-1,1),"")</f>
        <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t="str">
        <f>IFERROR(INDEX(G107:R107,1,MATCH(Parametres!$B$3,G$1:R$1,0)-1)*IF(OR(F107="L",F107="S",F107="I"),-1,1),"")</f>
        <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t="str">
        <f>IFERROR(INDEX(V107:AG107,1,MATCH(Parametres!$B$3,V$1:AG$1,0)-1)*IF(OR(C107="L",C107="S",C107="I"),-1,1),"")</f>
        <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1861.8</v>
      </c>
      <c r="L108" s="832">
        <v>1861.8</v>
      </c>
      <c r="M108" s="832">
        <v>1861.8</v>
      </c>
      <c r="N108" s="832">
        <v>1861.8</v>
      </c>
      <c r="O108" s="832">
        <v>0</v>
      </c>
      <c r="P108" s="832">
        <v>0</v>
      </c>
      <c r="Q108" s="832">
        <v>0</v>
      </c>
      <c r="R108" s="832">
        <v>0</v>
      </c>
      <c r="S108" s="832">
        <v>265.97000000000003</v>
      </c>
      <c r="T108" s="832">
        <v>265.97000000000003</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t="str">
        <f>IFERROR(INDEX(G108:R108,1,MATCH(Parametres!$B$3,G$1:R$1,0)-1)*IF(OR(F108="L",F108="S",F108="I"),-1,1),"")</f>
        <v/>
      </c>
      <c r="AM108" s="1030">
        <f t="shared" si="8"/>
        <v>454.1</v>
      </c>
      <c r="AN108" s="1030">
        <f>INDEX(G108:R108,1,MATCH(Parametres!$B$3,G$1:R$1,0))*IF(OR(F108="L",F108="S",F108="I"),-1,1)</f>
        <v>454.1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t="str">
        <f>IFERROR(INDEX(V108:AG108,1,MATCH(Parametres!$B$3,V$1:AG$1,0)-1)*IF(OR(C108="L",C108="S",C108="I"),-1,1),"")</f>
        <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22849.96</v>
      </c>
      <c r="L109" s="832">
        <v>22849.96</v>
      </c>
      <c r="M109" s="832">
        <v>22849.96</v>
      </c>
      <c r="N109" s="832">
        <v>22849.96</v>
      </c>
      <c r="O109" s="832">
        <v>0</v>
      </c>
      <c r="P109" s="832">
        <v>0</v>
      </c>
      <c r="Q109" s="832">
        <v>0</v>
      </c>
      <c r="R109" s="832">
        <v>0</v>
      </c>
      <c r="S109" s="832">
        <v>3264.28</v>
      </c>
      <c r="T109" s="832">
        <v>3264.28</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t="str">
        <f>IFERROR(INDEX(G109:R109,1,MATCH(Parametres!$B$3,G$1:R$1,0)-1)*IF(OR(F109="L",F109="S",F109="I"),-1,1),"")</f>
        <v/>
      </c>
      <c r="AM109" s="1030">
        <f t="shared" si="8"/>
        <v>3910.22</v>
      </c>
      <c r="AN109" s="1030">
        <f>INDEX(G109:R109,1,MATCH(Parametres!$B$3,G$1:R$1,0))*IF(OR(F109="L",F109="S",F109="I"),-1,1)</f>
        <v>3910.22</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t="str">
        <f>IFERROR(INDEX(V109:AG109,1,MATCH(Parametres!$B$3,V$1:AG$1,0)-1)*IF(OR(C109="L",C109="S",C109="I"),-1,1),"")</f>
        <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t="str">
        <f>IFERROR(INDEX(G110:R110,1,MATCH(Parametres!$B$3,G$1:R$1,0)-1)*IF(OR(F110="L",F110="S",F110="I"),-1,1),"")</f>
        <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t="str">
        <f>IFERROR(INDEX(V110:AG110,1,MATCH(Parametres!$B$3,V$1:AG$1,0)-1)*IF(OR(C110="L",C110="S",C110="I"),-1,1),"")</f>
        <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2271.63</v>
      </c>
      <c r="M111" s="832">
        <v>2271.63</v>
      </c>
      <c r="N111" s="832">
        <v>2271.63</v>
      </c>
      <c r="O111" s="832">
        <v>0</v>
      </c>
      <c r="P111" s="832">
        <v>0</v>
      </c>
      <c r="Q111" s="832">
        <v>0</v>
      </c>
      <c r="R111" s="832">
        <v>0</v>
      </c>
      <c r="S111" s="832">
        <v>324.52</v>
      </c>
      <c r="T111" s="832">
        <v>324.52</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t="str">
        <f>IFERROR(INDEX(G111:R111,1,MATCH(Parametres!$B$3,G$1:R$1,0)-1)*IF(OR(F111="L",F111="S",F111="I"),-1,1),"")</f>
        <v/>
      </c>
      <c r="AM111" s="1030">
        <f t="shared" si="8"/>
        <v>473.64</v>
      </c>
      <c r="AN111" s="1030">
        <f>INDEX(G111:R111,1,MATCH(Parametres!$B$3,G$1:R$1,0))*IF(OR(F111="L",F111="S",F111="I"),-1,1)</f>
        <v>473.64</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t="str">
        <f>IFERROR(INDEX(V111:AG111,1,MATCH(Parametres!$B$3,V$1:AG$1,0)-1)*IF(OR(C111="L",C111="S",C111="I"),-1,1),"")</f>
        <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t="str">
        <f>IFERROR(INDEX(G112:R112,1,MATCH(Parametres!$B$3,G$1:R$1,0)-1)*IF(OR(F112="L",F112="S",F112="I"),-1,1),"")</f>
        <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t="str">
        <f>IFERROR(INDEX(V112:AG112,1,MATCH(Parametres!$B$3,V$1:AG$1,0)-1)*IF(OR(C112="L",C112="S",C112="I"),-1,1),"")</f>
        <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t="str">
        <f>IFERROR(INDEX(G113:R113,1,MATCH(Parametres!$B$3,G$1:R$1,0)-1)*IF(OR(F113="L",F113="S",F113="I"),-1,1),"")</f>
        <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t="str">
        <f>IFERROR(INDEX(V113:AG113,1,MATCH(Parametres!$B$3,V$1:AG$1,0)-1)*IF(OR(C113="L",C113="S",C113="I"),-1,1),"")</f>
        <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7062.07</v>
      </c>
      <c r="L114" s="832">
        <v>7062.07</v>
      </c>
      <c r="M114" s="832">
        <v>7062.07</v>
      </c>
      <c r="N114" s="832">
        <v>7062.07</v>
      </c>
      <c r="O114" s="832">
        <v>0</v>
      </c>
      <c r="P114" s="832">
        <v>0</v>
      </c>
      <c r="Q114" s="832">
        <v>0</v>
      </c>
      <c r="R114" s="832">
        <v>0</v>
      </c>
      <c r="S114" s="832">
        <v>1008.87</v>
      </c>
      <c r="T114" s="832">
        <v>1008.87</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t="str">
        <f>IFERROR(INDEX(G114:R114,1,MATCH(Parametres!$B$3,G$1:R$1,0)-1)*IF(OR(F114="L",F114="S",F114="I"),-1,1),"")</f>
        <v/>
      </c>
      <c r="AM114" s="1030">
        <f t="shared" si="8"/>
        <v>2238.33</v>
      </c>
      <c r="AN114" s="1030">
        <f>INDEX(G114:R114,1,MATCH(Parametres!$B$3,G$1:R$1,0))*IF(OR(F114="L",F114="S",F114="I"),-1,1)</f>
        <v>2238.33</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t="str">
        <f>IFERROR(INDEX(V114:AG114,1,MATCH(Parametres!$B$3,V$1:AG$1,0)-1)*IF(OR(C114="L",C114="S",C114="I"),-1,1),"")</f>
        <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56.86</v>
      </c>
      <c r="M115" s="832">
        <v>56.86</v>
      </c>
      <c r="N115" s="832">
        <v>56.86</v>
      </c>
      <c r="O115" s="832">
        <v>0</v>
      </c>
      <c r="P115" s="832">
        <v>0</v>
      </c>
      <c r="Q115" s="832">
        <v>0</v>
      </c>
      <c r="R115" s="832">
        <v>0</v>
      </c>
      <c r="S115" s="832">
        <v>8.1199999999999992</v>
      </c>
      <c r="T115" s="832">
        <v>8.1199999999999992</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t="str">
        <f>IFERROR(INDEX(G115:R115,1,MATCH(Parametres!$B$3,G$1:R$1,0)-1)*IF(OR(F115="L",F115="S",F115="I"),-1,1),"")</f>
        <v/>
      </c>
      <c r="AM115" s="1030">
        <f t="shared" si="8"/>
        <v>6.86</v>
      </c>
      <c r="AN115" s="1030">
        <f>INDEX(G115:R115,1,MATCH(Parametres!$B$3,G$1:R$1,0))*IF(OR(F115="L",F115="S",F115="I"),-1,1)</f>
        <v>6.86</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t="str">
        <f>IFERROR(INDEX(V115:AG115,1,MATCH(Parametres!$B$3,V$1:AG$1,0)-1)*IF(OR(C115="L",C115="S",C115="I"),-1,1),"")</f>
        <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72467.09</v>
      </c>
      <c r="L116" s="832">
        <v>72467.09</v>
      </c>
      <c r="M116" s="832">
        <v>72467.09</v>
      </c>
      <c r="N116" s="832">
        <v>72467.09</v>
      </c>
      <c r="O116" s="832">
        <v>0</v>
      </c>
      <c r="P116" s="832">
        <v>0</v>
      </c>
      <c r="Q116" s="832">
        <v>0</v>
      </c>
      <c r="R116" s="832">
        <v>0</v>
      </c>
      <c r="S116" s="832">
        <v>10352.44</v>
      </c>
      <c r="T116" s="832">
        <v>10352.44</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t="str">
        <f>IFERROR(INDEX(G116:R116,1,MATCH(Parametres!$B$3,G$1:R$1,0)-1)*IF(OR(F116="L",F116="S",F116="I"),-1,1),"")</f>
        <v/>
      </c>
      <c r="AM116" s="1030">
        <f t="shared" si="8"/>
        <v>16166.55</v>
      </c>
      <c r="AN116" s="1030">
        <f>INDEX(G116:R116,1,MATCH(Parametres!$B$3,G$1:R$1,0))*IF(OR(F116="L",F116="S",F116="I"),-1,1)</f>
        <v>16166.55</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t="str">
        <f>IFERROR(INDEX(V116:AG116,1,MATCH(Parametres!$B$3,V$1:AG$1,0)-1)*IF(OR(C116="L",C116="S",C116="I"),-1,1),"")</f>
        <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121.41</v>
      </c>
      <c r="L117" s="832">
        <v>121.41</v>
      </c>
      <c r="M117" s="832">
        <v>121.41</v>
      </c>
      <c r="N117" s="832">
        <v>121.41</v>
      </c>
      <c r="O117" s="832">
        <v>0</v>
      </c>
      <c r="P117" s="832">
        <v>0</v>
      </c>
      <c r="Q117" s="832">
        <v>0</v>
      </c>
      <c r="R117" s="832">
        <v>0</v>
      </c>
      <c r="S117" s="832">
        <v>17.34</v>
      </c>
      <c r="T117" s="832">
        <v>17.34</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t="str">
        <f>IFERROR(INDEX(G117:R117,1,MATCH(Parametres!$B$3,G$1:R$1,0)-1)*IF(OR(F117="L",F117="S",F117="I"),-1,1),"")</f>
        <v/>
      </c>
      <c r="AM117" s="1030">
        <f t="shared" si="8"/>
        <v>40.47</v>
      </c>
      <c r="AN117" s="1030">
        <f>INDEX(G117:R117,1,MATCH(Parametres!$B$3,G$1:R$1,0))*IF(OR(F117="L",F117="S",F117="I"),-1,1)</f>
        <v>40.47</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t="str">
        <f>IFERROR(INDEX(V117:AG117,1,MATCH(Parametres!$B$3,V$1:AG$1,0)-1)*IF(OR(C117="L",C117="S",C117="I"),-1,1),"")</f>
        <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t="str">
        <f>IFERROR(INDEX(G118:R118,1,MATCH(Parametres!$B$3,G$1:R$1,0)-1)*IF(OR(F118="L",F118="S",F118="I"),-1,1),"")</f>
        <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t="str">
        <f>IFERROR(INDEX(V118:AG118,1,MATCH(Parametres!$B$3,V$1:AG$1,0)-1)*IF(OR(C118="L",C118="S",C118="I"),-1,1),"")</f>
        <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t="str">
        <f>IFERROR(INDEX(G119:R119,1,MATCH(Parametres!$B$3,G$1:R$1,0)-1)*IF(OR(F119="L",F119="S",F119="I"),-1,1),"")</f>
        <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t="str">
        <f>IFERROR(INDEX(V119:AG119,1,MATCH(Parametres!$B$3,V$1:AG$1,0)-1)*IF(OR(C119="L",C119="S",C119="I"),-1,1),"")</f>
        <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750</v>
      </c>
      <c r="L120" s="832">
        <v>750</v>
      </c>
      <c r="M120" s="832">
        <v>750</v>
      </c>
      <c r="N120" s="832">
        <v>750</v>
      </c>
      <c r="O120" s="832">
        <v>0</v>
      </c>
      <c r="P120" s="832">
        <v>0</v>
      </c>
      <c r="Q120" s="832">
        <v>0</v>
      </c>
      <c r="R120" s="832">
        <v>0</v>
      </c>
      <c r="S120" s="832">
        <v>107.14</v>
      </c>
      <c r="T120" s="832">
        <v>107.14</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t="str">
        <f>IFERROR(INDEX(G120:R120,1,MATCH(Parametres!$B$3,G$1:R$1,0)-1)*IF(OR(F120="L",F120="S",F120="I"),-1,1),"")</f>
        <v/>
      </c>
      <c r="AM120" s="1030">
        <f t="shared" si="8"/>
        <v>500</v>
      </c>
      <c r="AN120" s="1030">
        <f>INDEX(G120:R120,1,MATCH(Parametres!$B$3,G$1:R$1,0))*IF(OR(F120="L",F120="S",F120="I"),-1,1)</f>
        <v>500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t="str">
        <f>IFERROR(INDEX(V120:AG120,1,MATCH(Parametres!$B$3,V$1:AG$1,0)-1)*IF(OR(C120="L",C120="S",C120="I"),-1,1),"")</f>
        <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12821.61</v>
      </c>
      <c r="L121" s="832">
        <v>12821.61</v>
      </c>
      <c r="M121" s="832">
        <v>12821.61</v>
      </c>
      <c r="N121" s="832">
        <v>12821.61</v>
      </c>
      <c r="O121" s="832">
        <v>0</v>
      </c>
      <c r="P121" s="832">
        <v>0</v>
      </c>
      <c r="Q121" s="832">
        <v>0</v>
      </c>
      <c r="R121" s="832">
        <v>0</v>
      </c>
      <c r="S121" s="832">
        <v>1831.66</v>
      </c>
      <c r="T121" s="832">
        <v>1831.66</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t="str">
        <f>IFERROR(INDEX(G121:R121,1,MATCH(Parametres!$B$3,G$1:R$1,0)-1)*IF(OR(F121="L",F121="S",F121="I"),-1,1),"")</f>
        <v/>
      </c>
      <c r="AM121" s="1030">
        <f t="shared" si="8"/>
        <v>2151.64</v>
      </c>
      <c r="AN121" s="1030">
        <f>INDEX(G121:R121,1,MATCH(Parametres!$B$3,G$1:R$1,0))*IF(OR(F121="L",F121="S",F121="I"),-1,1)</f>
        <v>2151.64</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t="str">
        <f>IFERROR(INDEX(V121:AG121,1,MATCH(Parametres!$B$3,V$1:AG$1,0)-1)*IF(OR(C121="L",C121="S",C121="I"),-1,1),"")</f>
        <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2000.47</v>
      </c>
      <c r="L122" s="832">
        <v>2000.47</v>
      </c>
      <c r="M122" s="832">
        <v>2000.47</v>
      </c>
      <c r="N122" s="832">
        <v>2000.47</v>
      </c>
      <c r="O122" s="832">
        <v>0</v>
      </c>
      <c r="P122" s="832">
        <v>0</v>
      </c>
      <c r="Q122" s="832">
        <v>0</v>
      </c>
      <c r="R122" s="832">
        <v>0</v>
      </c>
      <c r="S122" s="832">
        <v>285.77999999999997</v>
      </c>
      <c r="T122" s="832">
        <v>285.77999999999997</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t="str">
        <f>IFERROR(INDEX(G122:R122,1,MATCH(Parametres!$B$3,G$1:R$1,0)-1)*IF(OR(F122="L",F122="S",F122="I"),-1,1),"")</f>
        <v/>
      </c>
      <c r="AM122" s="1030">
        <f t="shared" si="8"/>
        <v>546.74</v>
      </c>
      <c r="AN122" s="1030">
        <f>INDEX(G122:R122,1,MATCH(Parametres!$B$3,G$1:R$1,0))*IF(OR(F122="L",F122="S",F122="I"),-1,1)</f>
        <v>546.74</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t="str">
        <f>IFERROR(INDEX(V122:AG122,1,MATCH(Parametres!$B$3,V$1:AG$1,0)-1)*IF(OR(C122="L",C122="S",C122="I"),-1,1),"")</f>
        <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260</v>
      </c>
      <c r="L123" s="832">
        <v>260</v>
      </c>
      <c r="M123" s="832">
        <v>260</v>
      </c>
      <c r="N123" s="832">
        <v>260</v>
      </c>
      <c r="O123" s="832">
        <v>0</v>
      </c>
      <c r="P123" s="832">
        <v>0</v>
      </c>
      <c r="Q123" s="832">
        <v>0</v>
      </c>
      <c r="R123" s="832">
        <v>0</v>
      </c>
      <c r="S123" s="832">
        <v>37.14</v>
      </c>
      <c r="T123" s="832">
        <v>37.14</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t="str">
        <f>IFERROR(INDEX(G123:R123,1,MATCH(Parametres!$B$3,G$1:R$1,0)-1)*IF(OR(F123="L",F123="S",F123="I"),-1,1),"")</f>
        <v/>
      </c>
      <c r="AM123" s="1030">
        <f t="shared" si="8"/>
        <v>65</v>
      </c>
      <c r="AN123" s="1030">
        <f>INDEX(G123:R123,1,MATCH(Parametres!$B$3,G$1:R$1,0))*IF(OR(F123="L",F123="S",F123="I"),-1,1)</f>
        <v>65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t="str">
        <f>IFERROR(INDEX(V123:AG123,1,MATCH(Parametres!$B$3,V$1:AG$1,0)-1)*IF(OR(C123="L",C123="S",C123="I"),-1,1),"")</f>
        <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305.95999999999998</v>
      </c>
      <c r="L124" s="832">
        <v>305.95999999999998</v>
      </c>
      <c r="M124" s="832">
        <v>305.95999999999998</v>
      </c>
      <c r="N124" s="832">
        <v>305.95999999999998</v>
      </c>
      <c r="O124" s="832">
        <v>0</v>
      </c>
      <c r="P124" s="832">
        <v>0</v>
      </c>
      <c r="Q124" s="832">
        <v>0</v>
      </c>
      <c r="R124" s="832">
        <v>0</v>
      </c>
      <c r="S124" s="832">
        <v>43.71</v>
      </c>
      <c r="T124" s="832">
        <v>43.71</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t="str">
        <f>IFERROR(INDEX(G124:R124,1,MATCH(Parametres!$B$3,G$1:R$1,0)-1)*IF(OR(F124="L",F124="S",F124="I"),-1,1),"")</f>
        <v/>
      </c>
      <c r="AM124" s="1030">
        <f t="shared" si="8"/>
        <v>82.54</v>
      </c>
      <c r="AN124" s="1030">
        <f>INDEX(G124:R124,1,MATCH(Parametres!$B$3,G$1:R$1,0))*IF(OR(F124="L",F124="S",F124="I"),-1,1)</f>
        <v>82.54</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t="str">
        <f>IFERROR(INDEX(V124:AG124,1,MATCH(Parametres!$B$3,V$1:AG$1,0)-1)*IF(OR(C124="L",C124="S",C124="I"),-1,1),"")</f>
        <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t="str">
        <f>IFERROR(INDEX(G125:R125,1,MATCH(Parametres!$B$3,G$1:R$1,0)-1)*IF(OR(F125="L",F125="S",F125="I"),-1,1),"")</f>
        <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t="str">
        <f>IFERROR(INDEX(V125:AG125,1,MATCH(Parametres!$B$3,V$1:AG$1,0)-1)*IF(OR(C125="L",C125="S",C125="I"),-1,1),"")</f>
        <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101148.58</v>
      </c>
      <c r="L126" s="832">
        <v>101148.58</v>
      </c>
      <c r="M126" s="832">
        <v>101148.58</v>
      </c>
      <c r="N126" s="832">
        <v>101148.58</v>
      </c>
      <c r="O126" s="832">
        <v>0</v>
      </c>
      <c r="P126" s="832">
        <v>0</v>
      </c>
      <c r="Q126" s="832">
        <v>0</v>
      </c>
      <c r="R126" s="832">
        <v>0</v>
      </c>
      <c r="S126" s="832">
        <v>14449.8</v>
      </c>
      <c r="T126" s="832">
        <v>14449.8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t="str">
        <f>IFERROR(INDEX(G126:R126,1,MATCH(Parametres!$B$3,G$1:R$1,0)-1)*IF(OR(F126="L",F126="S",F126="I"),-1,1),"")</f>
        <v/>
      </c>
      <c r="AM126" s="1030">
        <f t="shared" si="8"/>
        <v>22559.59</v>
      </c>
      <c r="AN126" s="1030">
        <f>INDEX(G126:R126,1,MATCH(Parametres!$B$3,G$1:R$1,0))*IF(OR(F126="L",F126="S",F126="I"),-1,1)</f>
        <v>22559.59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t="str">
        <f>IFERROR(INDEX(V126:AG126,1,MATCH(Parametres!$B$3,V$1:AG$1,0)-1)*IF(OR(C126="L",C126="S",C126="I"),-1,1),"")</f>
        <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150</v>
      </c>
      <c r="M127" s="832">
        <v>150</v>
      </c>
      <c r="N127" s="832">
        <v>150</v>
      </c>
      <c r="O127" s="832">
        <v>0</v>
      </c>
      <c r="P127" s="832">
        <v>0</v>
      </c>
      <c r="Q127" s="832">
        <v>0</v>
      </c>
      <c r="R127" s="832">
        <v>0</v>
      </c>
      <c r="S127" s="832">
        <v>21.43</v>
      </c>
      <c r="T127" s="832">
        <v>21.43</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t="str">
        <f>IFERROR(INDEX(G127:R127,1,MATCH(Parametres!$B$3,G$1:R$1,0)-1)*IF(OR(F127="L",F127="S",F127="I"),-1,1),"")</f>
        <v/>
      </c>
      <c r="AM127" s="1030">
        <f t="shared" si="8"/>
        <v>0</v>
      </c>
      <c r="AN127" s="1030">
        <f>INDEX(G127:R127,1,MATCH(Parametres!$B$3,G$1:R$1,0))*IF(OR(F127="L",F127="S",F127="I"),-1,1)</f>
        <v>0</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t="str">
        <f>IFERROR(INDEX(V127:AG127,1,MATCH(Parametres!$B$3,V$1:AG$1,0)-1)*IF(OR(C127="L",C127="S",C127="I"),-1,1),"")</f>
        <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122281.25</v>
      </c>
      <c r="M128" s="832">
        <v>122281.25</v>
      </c>
      <c r="N128" s="832">
        <v>122281.25</v>
      </c>
      <c r="O128" s="832">
        <v>0</v>
      </c>
      <c r="P128" s="832">
        <v>0</v>
      </c>
      <c r="Q128" s="832">
        <v>0</v>
      </c>
      <c r="R128" s="832">
        <v>0</v>
      </c>
      <c r="S128" s="832">
        <v>17468.75</v>
      </c>
      <c r="T128" s="832">
        <v>17468.75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t="str">
        <f>IFERROR(INDEX(G128:R128,1,MATCH(Parametres!$B$3,G$1:R$1,0)-1)*IF(OR(F128="L",F128="S",F128="I"),-1,1),"")</f>
        <v/>
      </c>
      <c r="AM128" s="1030">
        <f t="shared" si="8"/>
        <v>24456.25</v>
      </c>
      <c r="AN128" s="1030">
        <f>INDEX(G128:R128,1,MATCH(Parametres!$B$3,G$1:R$1,0))*IF(OR(F128="L",F128="S",F128="I"),-1,1)</f>
        <v>24456.25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t="str">
        <f>IFERROR(INDEX(V128:AG128,1,MATCH(Parametres!$B$3,V$1:AG$1,0)-1)*IF(OR(C128="L",C128="S",C128="I"),-1,1),"")</f>
        <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475.5</v>
      </c>
      <c r="L129" s="832">
        <v>475.5</v>
      </c>
      <c r="M129" s="832">
        <v>475.5</v>
      </c>
      <c r="N129" s="832">
        <v>475.5</v>
      </c>
      <c r="O129" s="832">
        <v>0</v>
      </c>
      <c r="P129" s="832">
        <v>0</v>
      </c>
      <c r="Q129" s="832">
        <v>0</v>
      </c>
      <c r="R129" s="832">
        <v>0</v>
      </c>
      <c r="S129" s="832">
        <v>67.930000000000007</v>
      </c>
      <c r="T129" s="832">
        <v>67.930000000000007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t="str">
        <f>IFERROR(INDEX(G129:R129,1,MATCH(Parametres!$B$3,G$1:R$1,0)-1)*IF(OR(F129="L",F129="S",F129="I"),-1,1),"")</f>
        <v/>
      </c>
      <c r="AM129" s="1030">
        <f t="shared" si="8"/>
        <v>120.88</v>
      </c>
      <c r="AN129" s="1030">
        <f>INDEX(G129:R129,1,MATCH(Parametres!$B$3,G$1:R$1,0))*IF(OR(F129="L",F129="S",F129="I"),-1,1)</f>
        <v>120.88</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t="str">
        <f>IFERROR(INDEX(V129:AG129,1,MATCH(Parametres!$B$3,V$1:AG$1,0)-1)*IF(OR(C129="L",C129="S",C129="I"),-1,1),"")</f>
        <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1629.95</v>
      </c>
      <c r="L130" s="832">
        <v>1629.95</v>
      </c>
      <c r="M130" s="832">
        <v>1629.95</v>
      </c>
      <c r="N130" s="832">
        <v>1629.95</v>
      </c>
      <c r="O130" s="832">
        <v>0</v>
      </c>
      <c r="P130" s="832">
        <v>0</v>
      </c>
      <c r="Q130" s="832">
        <v>0</v>
      </c>
      <c r="R130" s="832">
        <v>0</v>
      </c>
      <c r="S130" s="832">
        <v>232.85</v>
      </c>
      <c r="T130" s="832">
        <v>232.85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t="str">
        <f>IFERROR(INDEX(G130:R130,1,MATCH(Parametres!$B$3,G$1:R$1,0)-1)*IF(OR(F130="L",F130="S",F130="I"),-1,1),"")</f>
        <v/>
      </c>
      <c r="AM130" s="1030">
        <f t="shared" si="8"/>
        <v>147.97</v>
      </c>
      <c r="AN130" s="1030">
        <f>INDEX(G130:R130,1,MATCH(Parametres!$B$3,G$1:R$1,0))*IF(OR(F130="L",F130="S",F130="I"),-1,1)</f>
        <v>147.97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t="str">
        <f>IFERROR(INDEX(V130:AG130,1,MATCH(Parametres!$B$3,V$1:AG$1,0)-1)*IF(OR(C130="L",C130="S",C130="I"),-1,1),"")</f>
        <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23487.3</v>
      </c>
      <c r="L131" s="832">
        <v>23487.3</v>
      </c>
      <c r="M131" s="832">
        <v>23487.3</v>
      </c>
      <c r="N131" s="832">
        <v>23487.3</v>
      </c>
      <c r="O131" s="832">
        <v>0</v>
      </c>
      <c r="P131" s="832">
        <v>0</v>
      </c>
      <c r="Q131" s="832">
        <v>0</v>
      </c>
      <c r="R131" s="832">
        <v>0</v>
      </c>
      <c r="S131" s="832">
        <v>3355.33</v>
      </c>
      <c r="T131" s="832">
        <v>3355.33</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t="str">
        <f>IFERROR(INDEX(G131:R131,1,MATCH(Parametres!$B$3,G$1:R$1,0)-1)*IF(OR(F131="L",F131="S",F131="I"),-1,1),"")</f>
        <v/>
      </c>
      <c r="AM131" s="1030">
        <f t="shared" si="8"/>
        <v>5857.17</v>
      </c>
      <c r="AN131" s="1030">
        <f>INDEX(G131:R131,1,MATCH(Parametres!$B$3,G$1:R$1,0))*IF(OR(F131="L",F131="S",F131="I"),-1,1)</f>
        <v>5857.17</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t="str">
        <f>IFERROR(INDEX(V131:AG131,1,MATCH(Parametres!$B$3,V$1:AG$1,0)-1)*IF(OR(C131="L",C131="S",C131="I"),-1,1),"")</f>
        <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3338.96</v>
      </c>
      <c r="L132" s="832">
        <v>3338.96</v>
      </c>
      <c r="M132" s="832">
        <v>3338.96</v>
      </c>
      <c r="N132" s="832">
        <v>3338.96</v>
      </c>
      <c r="O132" s="832">
        <v>0</v>
      </c>
      <c r="P132" s="832">
        <v>0</v>
      </c>
      <c r="Q132" s="832">
        <v>0</v>
      </c>
      <c r="R132" s="832">
        <v>0</v>
      </c>
      <c r="S132" s="832">
        <v>476.99</v>
      </c>
      <c r="T132" s="832">
        <v>476.99</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t="str">
        <f>IFERROR(INDEX(G132:R132,1,MATCH(Parametres!$B$3,G$1:R$1,0)-1)*IF(OR(F132="L",F132="S",F132="I"),-1,1),"")</f>
        <v/>
      </c>
      <c r="AM132" s="1030">
        <f t="shared" ref="AM132:AM195" si="14">AN132-N(AL132)</f>
        <v>834.74</v>
      </c>
      <c r="AN132" s="1030">
        <f>INDEX(G132:R132,1,MATCH(Parametres!$B$3,G$1:R$1,0))*IF(OR(F132="L",F132="S",F132="I"),-1,1)</f>
        <v>834.74</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t="str">
        <f>IFERROR(INDEX(V132:AG132,1,MATCH(Parametres!$B$3,V$1:AG$1,0)-1)*IF(OR(C132="L",C132="S",C132="I"),-1,1),"")</f>
        <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t="str">
        <f>IFERROR(INDEX(G133:R133,1,MATCH(Parametres!$B$3,G$1:R$1,0)-1)*IF(OR(F133="L",F133="S",F133="I"),-1,1),"")</f>
        <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t="str">
        <f>IFERROR(INDEX(V133:AG133,1,MATCH(Parametres!$B$3,V$1:AG$1,0)-1)*IF(OR(C133="L",C133="S",C133="I"),-1,1),"")</f>
        <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t="str">
        <f>IFERROR(INDEX(G134:R134,1,MATCH(Parametres!$B$3,G$1:R$1,0)-1)*IF(OR(F134="L",F134="S",F134="I"),-1,1),"")</f>
        <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t="str">
        <f>IFERROR(INDEX(V134:AG134,1,MATCH(Parametres!$B$3,V$1:AG$1,0)-1)*IF(OR(C134="L",C134="S",C134="I"),-1,1),"")</f>
        <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3155.19</v>
      </c>
      <c r="L135" s="832">
        <v>3155.19</v>
      </c>
      <c r="M135" s="832">
        <v>3155.19</v>
      </c>
      <c r="N135" s="832">
        <v>3155.19</v>
      </c>
      <c r="O135" s="832">
        <v>0</v>
      </c>
      <c r="P135" s="832">
        <v>0</v>
      </c>
      <c r="Q135" s="832">
        <v>0</v>
      </c>
      <c r="R135" s="832">
        <v>0</v>
      </c>
      <c r="S135" s="832">
        <v>450.74</v>
      </c>
      <c r="T135" s="832">
        <v>450.74</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t="str">
        <f>IFERROR(INDEX(G135:R135,1,MATCH(Parametres!$B$3,G$1:R$1,0)-1)*IF(OR(F135="L",F135="S",F135="I"),-1,1),"")</f>
        <v/>
      </c>
      <c r="AM135" s="1030">
        <f t="shared" si="14"/>
        <v>802.56</v>
      </c>
      <c r="AN135" s="1030">
        <f>INDEX(G135:R135,1,MATCH(Parametres!$B$3,G$1:R$1,0))*IF(OR(F135="L",F135="S",F135="I"),-1,1)</f>
        <v>802.56</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t="str">
        <f>IFERROR(INDEX(V135:AG135,1,MATCH(Parametres!$B$3,V$1:AG$1,0)-1)*IF(OR(C135="L",C135="S",C135="I"),-1,1),"")</f>
        <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t="str">
        <f>IFERROR(INDEX(G136:R136,1,MATCH(Parametres!$B$3,G$1:R$1,0)-1)*IF(OR(F136="L",F136="S",F136="I"),-1,1),"")</f>
        <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t="str">
        <f>IFERROR(INDEX(V136:AG136,1,MATCH(Parametres!$B$3,V$1:AG$1,0)-1)*IF(OR(C136="L",C136="S",C136="I"),-1,1),"")</f>
        <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10234.64</v>
      </c>
      <c r="L137" s="832">
        <v>10234.64</v>
      </c>
      <c r="M137" s="832">
        <v>10234.64</v>
      </c>
      <c r="N137" s="832">
        <v>10234.64</v>
      </c>
      <c r="O137" s="832">
        <v>0</v>
      </c>
      <c r="P137" s="832">
        <v>0</v>
      </c>
      <c r="Q137" s="832">
        <v>0</v>
      </c>
      <c r="R137" s="832">
        <v>0</v>
      </c>
      <c r="S137" s="832">
        <v>1462.09</v>
      </c>
      <c r="T137" s="832">
        <v>1462.09</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t="str">
        <f>IFERROR(INDEX(G137:R137,1,MATCH(Parametres!$B$3,G$1:R$1,0)-1)*IF(OR(F137="L",F137="S",F137="I"),-1,1),"")</f>
        <v/>
      </c>
      <c r="AM137" s="1030">
        <f t="shared" si="14"/>
        <v>2853.43</v>
      </c>
      <c r="AN137" s="1030">
        <f>INDEX(G137:R137,1,MATCH(Parametres!$B$3,G$1:R$1,0))*IF(OR(F137="L",F137="S",F137="I"),-1,1)</f>
        <v>2853.43</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t="str">
        <f>IFERROR(INDEX(V137:AG137,1,MATCH(Parametres!$B$3,V$1:AG$1,0)-1)*IF(OR(C137="L",C137="S",C137="I"),-1,1),"")</f>
        <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1260</v>
      </c>
      <c r="L138" s="832">
        <v>1260</v>
      </c>
      <c r="M138" s="832">
        <v>1260</v>
      </c>
      <c r="N138" s="832">
        <v>1260</v>
      </c>
      <c r="O138" s="832">
        <v>0</v>
      </c>
      <c r="P138" s="832">
        <v>0</v>
      </c>
      <c r="Q138" s="832">
        <v>0</v>
      </c>
      <c r="R138" s="832">
        <v>0</v>
      </c>
      <c r="S138" s="832">
        <v>180</v>
      </c>
      <c r="T138" s="832">
        <v>180</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t="str">
        <f>IFERROR(INDEX(G138:R138,1,MATCH(Parametres!$B$3,G$1:R$1,0)-1)*IF(OR(F138="L",F138="S",F138="I"),-1,1),"")</f>
        <v/>
      </c>
      <c r="AM138" s="1030">
        <f t="shared" si="14"/>
        <v>250</v>
      </c>
      <c r="AN138" s="1030">
        <f>INDEX(G138:R138,1,MATCH(Parametres!$B$3,G$1:R$1,0))*IF(OR(F138="L",F138="S",F138="I"),-1,1)</f>
        <v>250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t="str">
        <f>IFERROR(INDEX(V138:AG138,1,MATCH(Parametres!$B$3,V$1:AG$1,0)-1)*IF(OR(C138="L",C138="S",C138="I"),-1,1),"")</f>
        <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3041.95</v>
      </c>
      <c r="L139" s="832">
        <v>3041.95</v>
      </c>
      <c r="M139" s="832">
        <v>3041.95</v>
      </c>
      <c r="N139" s="832">
        <v>3041.95</v>
      </c>
      <c r="O139" s="832">
        <v>0</v>
      </c>
      <c r="P139" s="832">
        <v>0</v>
      </c>
      <c r="Q139" s="832">
        <v>0</v>
      </c>
      <c r="R139" s="832">
        <v>0</v>
      </c>
      <c r="S139" s="832">
        <v>434.56</v>
      </c>
      <c r="T139" s="832">
        <v>434.56</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t="str">
        <f>IFERROR(INDEX(G139:R139,1,MATCH(Parametres!$B$3,G$1:R$1,0)-1)*IF(OR(F139="L",F139="S",F139="I"),-1,1),"")</f>
        <v/>
      </c>
      <c r="AM139" s="1030">
        <f t="shared" si="14"/>
        <v>317.2</v>
      </c>
      <c r="AN139" s="1030">
        <f>INDEX(G139:R139,1,MATCH(Parametres!$B$3,G$1:R$1,0))*IF(OR(F139="L",F139="S",F139="I"),-1,1)</f>
        <v>317.2</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t="str">
        <f>IFERROR(INDEX(V139:AG139,1,MATCH(Parametres!$B$3,V$1:AG$1,0)-1)*IF(OR(C139="L",C139="S",C139="I"),-1,1),"")</f>
        <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t="str">
        <f>IFERROR(INDEX(G140:R140,1,MATCH(Parametres!$B$3,G$1:R$1,0)-1)*IF(OR(F140="L",F140="S",F140="I"),-1,1),"")</f>
        <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t="str">
        <f>IFERROR(INDEX(V140:AG140,1,MATCH(Parametres!$B$3,V$1:AG$1,0)-1)*IF(OR(C140="L",C140="S",C140="I"),-1,1),"")</f>
        <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118.72</v>
      </c>
      <c r="L141" s="832">
        <v>118.72</v>
      </c>
      <c r="M141" s="832">
        <v>118.72</v>
      </c>
      <c r="N141" s="832">
        <v>118.72</v>
      </c>
      <c r="O141" s="832">
        <v>0</v>
      </c>
      <c r="P141" s="832">
        <v>0</v>
      </c>
      <c r="Q141" s="832">
        <v>0</v>
      </c>
      <c r="R141" s="832">
        <v>0</v>
      </c>
      <c r="S141" s="832">
        <v>16.96</v>
      </c>
      <c r="T141" s="832">
        <v>16.96</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t="str">
        <f>IFERROR(INDEX(G141:R141,1,MATCH(Parametres!$B$3,G$1:R$1,0)-1)*IF(OR(F141="L",F141="S",F141="I"),-1,1),"")</f>
        <v/>
      </c>
      <c r="AM141" s="1030">
        <f t="shared" si="14"/>
        <v>29.68</v>
      </c>
      <c r="AN141" s="1030">
        <f>INDEX(G141:R141,1,MATCH(Parametres!$B$3,G$1:R$1,0))*IF(OR(F141="L",F141="S",F141="I"),-1,1)</f>
        <v>29.68</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t="str">
        <f>IFERROR(INDEX(V141:AG141,1,MATCH(Parametres!$B$3,V$1:AG$1,0)-1)*IF(OR(C141="L",C141="S",C141="I"),-1,1),"")</f>
        <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31236.74</v>
      </c>
      <c r="L142" s="832">
        <v>31236.74</v>
      </c>
      <c r="M142" s="832">
        <v>31236.74</v>
      </c>
      <c r="N142" s="832">
        <v>31236.74</v>
      </c>
      <c r="O142" s="832">
        <v>0</v>
      </c>
      <c r="P142" s="832">
        <v>0</v>
      </c>
      <c r="Q142" s="832">
        <v>0</v>
      </c>
      <c r="R142" s="832">
        <v>0</v>
      </c>
      <c r="S142" s="832">
        <v>4462.3900000000003</v>
      </c>
      <c r="T142" s="832">
        <v>4462.3900000000003</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t="str">
        <f>IFERROR(INDEX(G142:R142,1,MATCH(Parametres!$B$3,G$1:R$1,0)-1)*IF(OR(F142="L",F142="S",F142="I"),-1,1),"")</f>
        <v/>
      </c>
      <c r="AM142" s="1030">
        <f t="shared" si="14"/>
        <v>5016</v>
      </c>
      <c r="AN142" s="1030">
        <f>INDEX(G142:R142,1,MATCH(Parametres!$B$3,G$1:R$1,0))*IF(OR(F142="L",F142="S",F142="I"),-1,1)</f>
        <v>5016</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t="str">
        <f>IFERROR(INDEX(V142:AG142,1,MATCH(Parametres!$B$3,V$1:AG$1,0)-1)*IF(OR(C142="L",C142="S",C142="I"),-1,1),"")</f>
        <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154069.63</v>
      </c>
      <c r="L143" s="832">
        <v>154069.63</v>
      </c>
      <c r="M143" s="832">
        <v>154069.63</v>
      </c>
      <c r="N143" s="832">
        <v>154069.63</v>
      </c>
      <c r="O143" s="832">
        <v>0</v>
      </c>
      <c r="P143" s="832">
        <v>0</v>
      </c>
      <c r="Q143" s="832">
        <v>0</v>
      </c>
      <c r="R143" s="832">
        <v>0</v>
      </c>
      <c r="S143" s="832">
        <v>22009.95</v>
      </c>
      <c r="T143" s="832">
        <v>22009.95</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t="str">
        <f>IFERROR(INDEX(G143:R143,1,MATCH(Parametres!$B$3,G$1:R$1,0)-1)*IF(OR(F143="L",F143="S",F143="I"),-1,1),"")</f>
        <v/>
      </c>
      <c r="AM143" s="1030">
        <f t="shared" si="14"/>
        <v>25016.1</v>
      </c>
      <c r="AN143" s="1030">
        <f>INDEX(G143:R143,1,MATCH(Parametres!$B$3,G$1:R$1,0))*IF(OR(F143="L",F143="S",F143="I"),-1,1)</f>
        <v>25016.1</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t="str">
        <f>IFERROR(INDEX(V143:AG143,1,MATCH(Parametres!$B$3,V$1:AG$1,0)-1)*IF(OR(C143="L",C143="S",C143="I"),-1,1),"")</f>
        <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35690.44</v>
      </c>
      <c r="L144" s="832">
        <v>35690.44</v>
      </c>
      <c r="M144" s="832">
        <v>35690.44</v>
      </c>
      <c r="N144" s="832">
        <v>35690.44</v>
      </c>
      <c r="O144" s="832">
        <v>0</v>
      </c>
      <c r="P144" s="832">
        <v>0</v>
      </c>
      <c r="Q144" s="832">
        <v>0</v>
      </c>
      <c r="R144" s="832">
        <v>0</v>
      </c>
      <c r="S144" s="832">
        <v>5098.63</v>
      </c>
      <c r="T144" s="832">
        <v>5098.63</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t="str">
        <f>IFERROR(INDEX(G144:R144,1,MATCH(Parametres!$B$3,G$1:R$1,0)-1)*IF(OR(F144="L",F144="S",F144="I"),-1,1),"")</f>
        <v/>
      </c>
      <c r="AM144" s="1030">
        <f t="shared" si="14"/>
        <v>11633.98</v>
      </c>
      <c r="AN144" s="1030">
        <f>INDEX(G144:R144,1,MATCH(Parametres!$B$3,G$1:R$1,0))*IF(OR(F144="L",F144="S",F144="I"),-1,1)</f>
        <v>11633.98</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t="str">
        <f>IFERROR(INDEX(V144:AG144,1,MATCH(Parametres!$B$3,V$1:AG$1,0)-1)*IF(OR(C144="L",C144="S",C144="I"),-1,1),"")</f>
        <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t="str">
        <f>IFERROR(INDEX(G145:R145,1,MATCH(Parametres!$B$3,G$1:R$1,0)-1)*IF(OR(F145="L",F145="S",F145="I"),-1,1),"")</f>
        <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t="str">
        <f>IFERROR(INDEX(V145:AG145,1,MATCH(Parametres!$B$3,V$1:AG$1,0)-1)*IF(OR(C145="L",C145="S",C145="I"),-1,1),"")</f>
        <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t="str">
        <f>IFERROR(INDEX(G146:R146,1,MATCH(Parametres!$B$3,G$1:R$1,0)-1)*IF(OR(F146="L",F146="S",F146="I"),-1,1),"")</f>
        <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t="str">
        <f>IFERROR(INDEX(V146:AG146,1,MATCH(Parametres!$B$3,V$1:AG$1,0)-1)*IF(OR(C146="L",C146="S",C146="I"),-1,1),"")</f>
        <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7362.24</v>
      </c>
      <c r="L147" s="832">
        <v>7362.24</v>
      </c>
      <c r="M147" s="832">
        <v>7362.24</v>
      </c>
      <c r="N147" s="832">
        <v>7362.24</v>
      </c>
      <c r="O147" s="832">
        <v>0</v>
      </c>
      <c r="P147" s="832">
        <v>0</v>
      </c>
      <c r="Q147" s="832">
        <v>0</v>
      </c>
      <c r="R147" s="832">
        <v>0</v>
      </c>
      <c r="S147" s="832">
        <v>1051.75</v>
      </c>
      <c r="T147" s="832">
        <v>1051.75</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t="str">
        <f>IFERROR(INDEX(G147:R147,1,MATCH(Parametres!$B$3,G$1:R$1,0)-1)*IF(OR(F147="L",F147="S",F147="I"),-1,1),"")</f>
        <v/>
      </c>
      <c r="AM147" s="1030">
        <f t="shared" si="14"/>
        <v>1314.01</v>
      </c>
      <c r="AN147" s="1030">
        <f>INDEX(G147:R147,1,MATCH(Parametres!$B$3,G$1:R$1,0))*IF(OR(F147="L",F147="S",F147="I"),-1,1)</f>
        <v>1314.01</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t="str">
        <f>IFERROR(INDEX(V147:AG147,1,MATCH(Parametres!$B$3,V$1:AG$1,0)-1)*IF(OR(C147="L",C147="S",C147="I"),-1,1),"")</f>
        <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64098.44</v>
      </c>
      <c r="L148" s="832">
        <v>64098.44</v>
      </c>
      <c r="M148" s="832">
        <v>64098.44</v>
      </c>
      <c r="N148" s="832">
        <v>64098.44</v>
      </c>
      <c r="O148" s="832">
        <v>0</v>
      </c>
      <c r="P148" s="832">
        <v>0</v>
      </c>
      <c r="Q148" s="832">
        <v>0</v>
      </c>
      <c r="R148" s="832">
        <v>0</v>
      </c>
      <c r="S148" s="832">
        <v>9156.92</v>
      </c>
      <c r="T148" s="832">
        <v>9156.92</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t="str">
        <f>IFERROR(INDEX(G148:R148,1,MATCH(Parametres!$B$3,G$1:R$1,0)-1)*IF(OR(F148="L",F148="S",F148="I"),-1,1),"")</f>
        <v/>
      </c>
      <c r="AM148" s="1030">
        <f t="shared" si="14"/>
        <v>12954.46</v>
      </c>
      <c r="AN148" s="1030">
        <f>INDEX(G148:R148,1,MATCH(Parametres!$B$3,G$1:R$1,0))*IF(OR(F148="L",F148="S",F148="I"),-1,1)</f>
        <v>12954.46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t="str">
        <f>IFERROR(INDEX(V148:AG148,1,MATCH(Parametres!$B$3,V$1:AG$1,0)-1)*IF(OR(C148="L",C148="S",C148="I"),-1,1),"")</f>
        <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4356.75</v>
      </c>
      <c r="M149" s="832">
        <v>4356.75</v>
      </c>
      <c r="N149" s="832">
        <v>4356.75</v>
      </c>
      <c r="O149" s="832">
        <v>0</v>
      </c>
      <c r="P149" s="832">
        <v>0</v>
      </c>
      <c r="Q149" s="832">
        <v>0</v>
      </c>
      <c r="R149" s="832">
        <v>0</v>
      </c>
      <c r="S149" s="832">
        <v>622.39</v>
      </c>
      <c r="T149" s="832">
        <v>622.39</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t="str">
        <f>IFERROR(INDEX(G149:R149,1,MATCH(Parametres!$B$3,G$1:R$1,0)-1)*IF(OR(F149="L",F149="S",F149="I"),-1,1),"")</f>
        <v/>
      </c>
      <c r="AM149" s="1030">
        <f t="shared" si="14"/>
        <v>3427.75</v>
      </c>
      <c r="AN149" s="1030">
        <f>INDEX(G149:R149,1,MATCH(Parametres!$B$3,G$1:R$1,0))*IF(OR(F149="L",F149="S",F149="I"),-1,1)</f>
        <v>3427.75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t="str">
        <f>IFERROR(INDEX(V149:AG149,1,MATCH(Parametres!$B$3,V$1:AG$1,0)-1)*IF(OR(C149="L",C149="S",C149="I"),-1,1),"")</f>
        <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3971.38</v>
      </c>
      <c r="L150" s="832">
        <v>3971.38</v>
      </c>
      <c r="M150" s="832">
        <v>3971.38</v>
      </c>
      <c r="N150" s="832">
        <v>3971.38</v>
      </c>
      <c r="O150" s="832">
        <v>0</v>
      </c>
      <c r="P150" s="832">
        <v>0</v>
      </c>
      <c r="Q150" s="832">
        <v>0</v>
      </c>
      <c r="R150" s="832">
        <v>0</v>
      </c>
      <c r="S150" s="832">
        <v>567.34</v>
      </c>
      <c r="T150" s="832">
        <v>567.34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t="str">
        <f>IFERROR(INDEX(G150:R150,1,MATCH(Parametres!$B$3,G$1:R$1,0)-1)*IF(OR(F150="L",F150="S",F150="I"),-1,1),"")</f>
        <v/>
      </c>
      <c r="AM150" s="1030">
        <f t="shared" si="14"/>
        <v>1306.1300000000001</v>
      </c>
      <c r="AN150" s="1030">
        <f>INDEX(G150:R150,1,MATCH(Parametres!$B$3,G$1:R$1,0))*IF(OR(F150="L",F150="S",F150="I"),-1,1)</f>
        <v>1306.1300000000001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t="str">
        <f>IFERROR(INDEX(V150:AG150,1,MATCH(Parametres!$B$3,V$1:AG$1,0)-1)*IF(OR(C150="L",C150="S",C150="I"),-1,1),"")</f>
        <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13700.2</v>
      </c>
      <c r="L151" s="832">
        <v>13619.34</v>
      </c>
      <c r="M151" s="832">
        <v>13619.34</v>
      </c>
      <c r="N151" s="832">
        <v>13619.34</v>
      </c>
      <c r="O151" s="832">
        <v>0</v>
      </c>
      <c r="P151" s="832">
        <v>0</v>
      </c>
      <c r="Q151" s="832">
        <v>0</v>
      </c>
      <c r="R151" s="832">
        <v>0</v>
      </c>
      <c r="S151" s="832">
        <v>1945.62</v>
      </c>
      <c r="T151" s="832">
        <v>1945.62</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t="str">
        <f>IFERROR(INDEX(G151:R151,1,MATCH(Parametres!$B$3,G$1:R$1,0)-1)*IF(OR(F151="L",F151="S",F151="I"),-1,1),"")</f>
        <v/>
      </c>
      <c r="AM151" s="1030">
        <f t="shared" si="14"/>
        <v>4872.16</v>
      </c>
      <c r="AN151" s="1030">
        <f>INDEX(G151:R151,1,MATCH(Parametres!$B$3,G$1:R$1,0))*IF(OR(F151="L",F151="S",F151="I"),-1,1)</f>
        <v>4872.16</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t="str">
        <f>IFERROR(INDEX(V151:AG151,1,MATCH(Parametres!$B$3,V$1:AG$1,0)-1)*IF(OR(C151="L",C151="S",C151="I"),-1,1),"")</f>
        <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6451.03</v>
      </c>
      <c r="L152" s="832">
        <v>6451.03</v>
      </c>
      <c r="M152" s="832">
        <v>6451.03</v>
      </c>
      <c r="N152" s="832">
        <v>6451.03</v>
      </c>
      <c r="O152" s="832">
        <v>0</v>
      </c>
      <c r="P152" s="832">
        <v>0</v>
      </c>
      <c r="Q152" s="832">
        <v>0</v>
      </c>
      <c r="R152" s="832">
        <v>0</v>
      </c>
      <c r="S152" s="832">
        <v>921.58</v>
      </c>
      <c r="T152" s="832">
        <v>921.58</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t="str">
        <f>IFERROR(INDEX(G152:R152,1,MATCH(Parametres!$B$3,G$1:R$1,0)-1)*IF(OR(F152="L",F152="S",F152="I"),-1,1),"")</f>
        <v/>
      </c>
      <c r="AM152" s="1030">
        <f t="shared" si="14"/>
        <v>1849.85</v>
      </c>
      <c r="AN152" s="1030">
        <f>INDEX(G152:R152,1,MATCH(Parametres!$B$3,G$1:R$1,0))*IF(OR(F152="L",F152="S",F152="I"),-1,1)</f>
        <v>1849.85</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t="str">
        <f>IFERROR(INDEX(V152:AG152,1,MATCH(Parametres!$B$3,V$1:AG$1,0)-1)*IF(OR(C152="L",C152="S",C152="I"),-1,1),"")</f>
        <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7062.12</v>
      </c>
      <c r="L153" s="832">
        <v>7062.12</v>
      </c>
      <c r="M153" s="832">
        <v>7062.12</v>
      </c>
      <c r="N153" s="832">
        <v>7062.12</v>
      </c>
      <c r="O153" s="832">
        <v>0</v>
      </c>
      <c r="P153" s="832">
        <v>0</v>
      </c>
      <c r="Q153" s="832">
        <v>0</v>
      </c>
      <c r="R153" s="832">
        <v>0</v>
      </c>
      <c r="S153" s="832">
        <v>1008.87</v>
      </c>
      <c r="T153" s="832">
        <v>1008.87</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t="str">
        <f>IFERROR(INDEX(G153:R153,1,MATCH(Parametres!$B$3,G$1:R$1,0)-1)*IF(OR(F153="L",F153="S",F153="I"),-1,1),"")</f>
        <v/>
      </c>
      <c r="AM153" s="1030">
        <f t="shared" si="14"/>
        <v>2238.34</v>
      </c>
      <c r="AN153" s="1030">
        <f>INDEX(G153:R153,1,MATCH(Parametres!$B$3,G$1:R$1,0))*IF(OR(F153="L",F153="S",F153="I"),-1,1)</f>
        <v>2238.34</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t="str">
        <f>IFERROR(INDEX(V153:AG153,1,MATCH(Parametres!$B$3,V$1:AG$1,0)-1)*IF(OR(C153="L",C153="S",C153="I"),-1,1),"")</f>
        <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12901.91</v>
      </c>
      <c r="L154" s="832">
        <v>12901.91</v>
      </c>
      <c r="M154" s="832">
        <v>12901.91</v>
      </c>
      <c r="N154" s="832">
        <v>12901.91</v>
      </c>
      <c r="O154" s="832">
        <v>0</v>
      </c>
      <c r="P154" s="832">
        <v>0</v>
      </c>
      <c r="Q154" s="832">
        <v>0</v>
      </c>
      <c r="R154" s="832">
        <v>0</v>
      </c>
      <c r="S154" s="832">
        <v>1843.13</v>
      </c>
      <c r="T154" s="832">
        <v>1843.13</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t="str">
        <f>IFERROR(INDEX(G154:R154,1,MATCH(Parametres!$B$3,G$1:R$1,0)-1)*IF(OR(F154="L",F154="S",F154="I"),-1,1),"")</f>
        <v/>
      </c>
      <c r="AM154" s="1030">
        <f t="shared" si="14"/>
        <v>2510.37</v>
      </c>
      <c r="AN154" s="1030">
        <f>INDEX(G154:R154,1,MATCH(Parametres!$B$3,G$1:R$1,0))*IF(OR(F154="L",F154="S",F154="I"),-1,1)</f>
        <v>2510.37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t="str">
        <f>IFERROR(INDEX(V154:AG154,1,MATCH(Parametres!$B$3,V$1:AG$1,0)-1)*IF(OR(C154="L",C154="S",C154="I"),-1,1),"")</f>
        <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2682.5</v>
      </c>
      <c r="L155" s="832">
        <v>2682.5</v>
      </c>
      <c r="M155" s="832">
        <v>2682.5</v>
      </c>
      <c r="N155" s="832">
        <v>2682.5</v>
      </c>
      <c r="O155" s="832">
        <v>0</v>
      </c>
      <c r="P155" s="832">
        <v>0</v>
      </c>
      <c r="Q155" s="832">
        <v>0</v>
      </c>
      <c r="R155" s="832">
        <v>0</v>
      </c>
      <c r="S155" s="832">
        <v>383.21</v>
      </c>
      <c r="T155" s="832">
        <v>383.21</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t="str">
        <f>IFERROR(INDEX(G155:R155,1,MATCH(Parametres!$B$3,G$1:R$1,0)-1)*IF(OR(F155="L",F155="S",F155="I"),-1,1),"")</f>
        <v/>
      </c>
      <c r="AM155" s="1030">
        <f t="shared" si="14"/>
        <v>0</v>
      </c>
      <c r="AN155" s="1030">
        <f>INDEX(G155:R155,1,MATCH(Parametres!$B$3,G$1:R$1,0))*IF(OR(F155="L",F155="S",F155="I"),-1,1)</f>
        <v>0</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t="str">
        <f>IFERROR(INDEX(V155:AG155,1,MATCH(Parametres!$B$3,V$1:AG$1,0)-1)*IF(OR(C155="L",C155="S",C155="I"),-1,1),"")</f>
        <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t="str">
        <f>IFERROR(INDEX(G156:R156,1,MATCH(Parametres!$B$3,G$1:R$1,0)-1)*IF(OR(F156="L",F156="S",F156="I"),-1,1),"")</f>
        <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t="str">
        <f>IFERROR(INDEX(V156:AG156,1,MATCH(Parametres!$B$3,V$1:AG$1,0)-1)*IF(OR(C156="L",C156="S",C156="I"),-1,1),"")</f>
        <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766.44</v>
      </c>
      <c r="L157" s="832">
        <v>766.44</v>
      </c>
      <c r="M157" s="832">
        <v>766.44</v>
      </c>
      <c r="N157" s="832">
        <v>766.44</v>
      </c>
      <c r="O157" s="832">
        <v>0</v>
      </c>
      <c r="P157" s="832">
        <v>0</v>
      </c>
      <c r="Q157" s="832">
        <v>0</v>
      </c>
      <c r="R157" s="832">
        <v>0</v>
      </c>
      <c r="S157" s="832">
        <v>109.49</v>
      </c>
      <c r="T157" s="832">
        <v>109.49</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t="str">
        <f>IFERROR(INDEX(G157:R157,1,MATCH(Parametres!$B$3,G$1:R$1,0)-1)*IF(OR(F157="L",F157="S",F157="I"),-1,1),"")</f>
        <v/>
      </c>
      <c r="AM157" s="1030">
        <f t="shared" si="14"/>
        <v>40.479999999999997</v>
      </c>
      <c r="AN157" s="1030">
        <f>INDEX(G157:R157,1,MATCH(Parametres!$B$3,G$1:R$1,0))*IF(OR(F157="L",F157="S",F157="I"),-1,1)</f>
        <v>40.479999999999997</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t="str">
        <f>IFERROR(INDEX(V157:AG157,1,MATCH(Parametres!$B$3,V$1:AG$1,0)-1)*IF(OR(C157="L",C157="S",C157="I"),-1,1),"")</f>
        <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-63441.53</v>
      </c>
      <c r="M158" s="832">
        <v>-63441.53</v>
      </c>
      <c r="N158" s="832">
        <v>-63441.53</v>
      </c>
      <c r="O158" s="832">
        <v>0</v>
      </c>
      <c r="P158" s="832">
        <v>0</v>
      </c>
      <c r="Q158" s="832">
        <v>0</v>
      </c>
      <c r="R158" s="832">
        <v>0</v>
      </c>
      <c r="S158" s="832">
        <v>-9063.08</v>
      </c>
      <c r="T158" s="832">
        <v>-9063.08</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t="str">
        <f>IFERROR(INDEX(G158:R158,1,MATCH(Parametres!$B$3,G$1:R$1,0)-1)*IF(OR(F158="L",F158="S",F158="I"),-1,1),"")</f>
        <v/>
      </c>
      <c r="AM158" s="1030">
        <f t="shared" si="14"/>
        <v>-29050.93</v>
      </c>
      <c r="AN158" s="1030">
        <f>INDEX(G158:R158,1,MATCH(Parametres!$B$3,G$1:R$1,0))*IF(OR(F158="L",F158="S",F158="I"),-1,1)</f>
        <v>-29050.93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t="str">
        <f>IFERROR(INDEX(V158:AG158,1,MATCH(Parametres!$B$3,V$1:AG$1,0)-1)*IF(OR(C158="L",C158="S",C158="I"),-1,1),"")</f>
        <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t="str">
        <f>IFERROR(INDEX(G159:R159,1,MATCH(Parametres!$B$3,G$1:R$1,0)-1)*IF(OR(F159="L",F159="S",F159="I"),-1,1),"")</f>
        <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t="str">
        <f>IFERROR(INDEX(V159:AG159,1,MATCH(Parametres!$B$3,V$1:AG$1,0)-1)*IF(OR(C159="L",C159="S",C159="I"),-1,1),"")</f>
        <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t="str">
        <f>IFERROR(INDEX(G160:R160,1,MATCH(Parametres!$B$3,G$1:R$1,0)-1)*IF(OR(F160="L",F160="S",F160="I"),-1,1),"")</f>
        <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t="str">
        <f>IFERROR(INDEX(V160:AG160,1,MATCH(Parametres!$B$3,V$1:AG$1,0)-1)*IF(OR(C160="L",C160="S",C160="I"),-1,1),"")</f>
        <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11719.3</v>
      </c>
      <c r="L161" s="832">
        <v>11719.3</v>
      </c>
      <c r="M161" s="832">
        <v>11719.3</v>
      </c>
      <c r="N161" s="832">
        <v>11719.3</v>
      </c>
      <c r="O161" s="832">
        <v>0</v>
      </c>
      <c r="P161" s="832">
        <v>0</v>
      </c>
      <c r="Q161" s="832">
        <v>0</v>
      </c>
      <c r="R161" s="832">
        <v>0</v>
      </c>
      <c r="S161" s="832">
        <v>1674.19</v>
      </c>
      <c r="T161" s="832">
        <v>1674.19</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t="str">
        <f>IFERROR(INDEX(G161:R161,1,MATCH(Parametres!$B$3,G$1:R$1,0)-1)*IF(OR(F161="L",F161="S",F161="I"),-1,1),"")</f>
        <v/>
      </c>
      <c r="AM161" s="1030">
        <f t="shared" si="14"/>
        <v>1835.32</v>
      </c>
      <c r="AN161" s="1030">
        <f>INDEX(G161:R161,1,MATCH(Parametres!$B$3,G$1:R$1,0))*IF(OR(F161="L",F161="S",F161="I"),-1,1)</f>
        <v>1835.32</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t="str">
        <f>IFERROR(INDEX(V161:AG161,1,MATCH(Parametres!$B$3,V$1:AG$1,0)-1)*IF(OR(C161="L",C161="S",C161="I"),-1,1),"")</f>
        <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2801.23</v>
      </c>
      <c r="L162" s="832">
        <v>2801.23</v>
      </c>
      <c r="M162" s="832">
        <v>2801.23</v>
      </c>
      <c r="N162" s="832">
        <v>2801.23</v>
      </c>
      <c r="O162" s="832">
        <v>0</v>
      </c>
      <c r="P162" s="832">
        <v>0</v>
      </c>
      <c r="Q162" s="832">
        <v>0</v>
      </c>
      <c r="R162" s="832">
        <v>0</v>
      </c>
      <c r="S162" s="832">
        <v>400.18</v>
      </c>
      <c r="T162" s="832">
        <v>400.18</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t="str">
        <f>IFERROR(INDEX(G162:R162,1,MATCH(Parametres!$B$3,G$1:R$1,0)-1)*IF(OR(F162="L",F162="S",F162="I"),-1,1),"")</f>
        <v/>
      </c>
      <c r="AM162" s="1030">
        <f t="shared" si="14"/>
        <v>546.71</v>
      </c>
      <c r="AN162" s="1030">
        <f>INDEX(G162:R162,1,MATCH(Parametres!$B$3,G$1:R$1,0))*IF(OR(F162="L",F162="S",F162="I"),-1,1)</f>
        <v>546.71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t="str">
        <f>IFERROR(INDEX(V162:AG162,1,MATCH(Parametres!$B$3,V$1:AG$1,0)-1)*IF(OR(C162="L",C162="S",C162="I"),-1,1),"")</f>
        <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0</v>
      </c>
      <c r="N163" s="832">
        <v>0</v>
      </c>
      <c r="O163" s="832">
        <v>0</v>
      </c>
      <c r="P163" s="832">
        <v>0</v>
      </c>
      <c r="Q163" s="832">
        <v>0</v>
      </c>
      <c r="R163" s="832">
        <v>0</v>
      </c>
      <c r="S163" s="832">
        <v>0</v>
      </c>
      <c r="T163" s="832">
        <v>0</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t="str">
        <f>IFERROR(INDEX(G163:R163,1,MATCH(Parametres!$B$3,G$1:R$1,0)-1)*IF(OR(F163="L",F163="S",F163="I"),-1,1),"")</f>
        <v/>
      </c>
      <c r="AM163" s="1030">
        <f t="shared" si="14"/>
        <v>5922</v>
      </c>
      <c r="AN163" s="1030">
        <f>INDEX(G163:R163,1,MATCH(Parametres!$B$3,G$1:R$1,0))*IF(OR(F163="L",F163="S",F163="I"),-1,1)</f>
        <v>5922</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t="str">
        <f>IFERROR(INDEX(V163:AG163,1,MATCH(Parametres!$B$3,V$1:AG$1,0)-1)*IF(OR(C163="L",C163="S",C163="I"),-1,1),"")</f>
        <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351.97</v>
      </c>
      <c r="L164" s="832">
        <v>351.97</v>
      </c>
      <c r="M164" s="832">
        <v>351.97</v>
      </c>
      <c r="N164" s="832">
        <v>351.97</v>
      </c>
      <c r="O164" s="832">
        <v>0</v>
      </c>
      <c r="P164" s="832">
        <v>0</v>
      </c>
      <c r="Q164" s="832">
        <v>0</v>
      </c>
      <c r="R164" s="832">
        <v>0</v>
      </c>
      <c r="S164" s="832">
        <v>50.28</v>
      </c>
      <c r="T164" s="832">
        <v>50.28</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t="str">
        <f>IFERROR(INDEX(G164:R164,1,MATCH(Parametres!$B$3,G$1:R$1,0)-1)*IF(OR(F164="L",F164="S",F164="I"),-1,1),"")</f>
        <v/>
      </c>
      <c r="AM164" s="1030">
        <f t="shared" si="14"/>
        <v>98.55</v>
      </c>
      <c r="AN164" s="1030">
        <f>INDEX(G164:R164,1,MATCH(Parametres!$B$3,G$1:R$1,0))*IF(OR(F164="L",F164="S",F164="I"),-1,1)</f>
        <v>98.55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t="str">
        <f>IFERROR(INDEX(V164:AG164,1,MATCH(Parametres!$B$3,V$1:AG$1,0)-1)*IF(OR(C164="L",C164="S",C164="I"),-1,1),"")</f>
        <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t="str">
        <f>IFERROR(INDEX(G165:R165,1,MATCH(Parametres!$B$3,G$1:R$1,0)-1)*IF(OR(F165="L",F165="S",F165="I"),-1,1),"")</f>
        <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t="str">
        <f>IFERROR(INDEX(V165:AG165,1,MATCH(Parametres!$B$3,V$1:AG$1,0)-1)*IF(OR(C165="L",C165="S",C165="I"),-1,1),"")</f>
        <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30</v>
      </c>
      <c r="N166" s="832">
        <v>30</v>
      </c>
      <c r="O166" s="832">
        <v>0</v>
      </c>
      <c r="P166" s="832">
        <v>0</v>
      </c>
      <c r="Q166" s="832">
        <v>0</v>
      </c>
      <c r="R166" s="832">
        <v>0</v>
      </c>
      <c r="S166" s="832">
        <v>4.29</v>
      </c>
      <c r="T166" s="832">
        <v>4.29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t="str">
        <f>IFERROR(INDEX(G166:R166,1,MATCH(Parametres!$B$3,G$1:R$1,0)-1)*IF(OR(F166="L",F166="S",F166="I"),-1,1),"")</f>
        <v/>
      </c>
      <c r="AM166" s="1030">
        <f t="shared" si="14"/>
        <v>30</v>
      </c>
      <c r="AN166" s="1030">
        <f>INDEX(G166:R166,1,MATCH(Parametres!$B$3,G$1:R$1,0))*IF(OR(F166="L",F166="S",F166="I"),-1,1)</f>
        <v>30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t="str">
        <f>IFERROR(INDEX(V166:AG166,1,MATCH(Parametres!$B$3,V$1:AG$1,0)-1)*IF(OR(C166="L",C166="S",C166="I"),-1,1),"")</f>
        <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0</v>
      </c>
      <c r="N167" s="832">
        <v>0</v>
      </c>
      <c r="O167" s="832">
        <v>0</v>
      </c>
      <c r="P167" s="832">
        <v>0</v>
      </c>
      <c r="Q167" s="832">
        <v>0</v>
      </c>
      <c r="R167" s="832">
        <v>0</v>
      </c>
      <c r="S167" s="832">
        <v>0</v>
      </c>
      <c r="T167" s="832">
        <v>0</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t="str">
        <f>IFERROR(INDEX(G167:R167,1,MATCH(Parametres!$B$3,G$1:R$1,0)-1)*IF(OR(F167="L",F167="S",F167="I"),-1,1),"")</f>
        <v/>
      </c>
      <c r="AM167" s="1030">
        <f t="shared" si="14"/>
        <v>0</v>
      </c>
      <c r="AN167" s="1030">
        <f>INDEX(G167:R167,1,MATCH(Parametres!$B$3,G$1:R$1,0))*IF(OR(F167="L",F167="S",F167="I"),-1,1)</f>
        <v>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t="str">
        <f>IFERROR(INDEX(V167:AG167,1,MATCH(Parametres!$B$3,V$1:AG$1,0)-1)*IF(OR(C167="L",C167="S",C167="I"),-1,1),"")</f>
        <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2000</v>
      </c>
      <c r="M168" s="832">
        <v>2000</v>
      </c>
      <c r="N168" s="832">
        <v>2000</v>
      </c>
      <c r="O168" s="832">
        <v>0</v>
      </c>
      <c r="P168" s="832">
        <v>0</v>
      </c>
      <c r="Q168" s="832">
        <v>0</v>
      </c>
      <c r="R168" s="832">
        <v>0</v>
      </c>
      <c r="S168" s="832">
        <v>285.70999999999998</v>
      </c>
      <c r="T168" s="832">
        <v>285.70999999999998</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t="str">
        <f>IFERROR(INDEX(G168:R168,1,MATCH(Parametres!$B$3,G$1:R$1,0)-1)*IF(OR(F168="L",F168="S",F168="I"),-1,1),"")</f>
        <v/>
      </c>
      <c r="AM168" s="1030">
        <f t="shared" si="14"/>
        <v>500</v>
      </c>
      <c r="AN168" s="1030">
        <f>INDEX(G168:R168,1,MATCH(Parametres!$B$3,G$1:R$1,0))*IF(OR(F168="L",F168="S",F168="I"),-1,1)</f>
        <v>500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t="str">
        <f>IFERROR(INDEX(V168:AG168,1,MATCH(Parametres!$B$3,V$1:AG$1,0)-1)*IF(OR(C168="L",C168="S",C168="I"),-1,1),"")</f>
        <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122281.25</v>
      </c>
      <c r="M169" s="832">
        <v>122281.25</v>
      </c>
      <c r="N169" s="832">
        <v>122281.25</v>
      </c>
      <c r="O169" s="832">
        <v>0</v>
      </c>
      <c r="P169" s="832">
        <v>0</v>
      </c>
      <c r="Q169" s="832">
        <v>0</v>
      </c>
      <c r="R169" s="832">
        <v>0</v>
      </c>
      <c r="S169" s="832">
        <v>17468.75</v>
      </c>
      <c r="T169" s="832">
        <v>17468.75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t="str">
        <f>IFERROR(INDEX(G169:R169,1,MATCH(Parametres!$B$3,G$1:R$1,0)-1)*IF(OR(F169="L",F169="S",F169="I"),-1,1),"")</f>
        <v/>
      </c>
      <c r="AM169" s="1030">
        <f t="shared" si="14"/>
        <v>24456.25</v>
      </c>
      <c r="AN169" s="1030">
        <f>INDEX(G169:R169,1,MATCH(Parametres!$B$3,G$1:R$1,0))*IF(OR(F169="L",F169="S",F169="I"),-1,1)</f>
        <v>24456.25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t="str">
        <f>IFERROR(INDEX(V169:AG169,1,MATCH(Parametres!$B$3,V$1:AG$1,0)-1)*IF(OR(C169="L",C169="S",C169="I"),-1,1),"")</f>
        <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475.47</v>
      </c>
      <c r="L170" s="832">
        <v>475.47</v>
      </c>
      <c r="M170" s="832">
        <v>475.47</v>
      </c>
      <c r="N170" s="832">
        <v>475.47</v>
      </c>
      <c r="O170" s="832">
        <v>0</v>
      </c>
      <c r="P170" s="832">
        <v>0</v>
      </c>
      <c r="Q170" s="832">
        <v>0</v>
      </c>
      <c r="R170" s="832">
        <v>0</v>
      </c>
      <c r="S170" s="832">
        <v>67.92</v>
      </c>
      <c r="T170" s="832">
        <v>67.92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t="str">
        <f>IFERROR(INDEX(G170:R170,1,MATCH(Parametres!$B$3,G$1:R$1,0)-1)*IF(OR(F170="L",F170="S",F170="I"),-1,1),"")</f>
        <v/>
      </c>
      <c r="AM170" s="1030">
        <f t="shared" si="14"/>
        <v>120.88</v>
      </c>
      <c r="AN170" s="1030">
        <f>INDEX(G170:R170,1,MATCH(Parametres!$B$3,G$1:R$1,0))*IF(OR(F170="L",F170="S",F170="I"),-1,1)</f>
        <v>120.88</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t="str">
        <f>IFERROR(INDEX(V170:AG170,1,MATCH(Parametres!$B$3,V$1:AG$1,0)-1)*IF(OR(C170="L",C170="S",C170="I"),-1,1),"")</f>
        <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2729.14</v>
      </c>
      <c r="L171" s="832">
        <v>2729.14</v>
      </c>
      <c r="M171" s="832">
        <v>2729.14</v>
      </c>
      <c r="N171" s="832">
        <v>2729.14</v>
      </c>
      <c r="O171" s="832">
        <v>0</v>
      </c>
      <c r="P171" s="832">
        <v>0</v>
      </c>
      <c r="Q171" s="832">
        <v>0</v>
      </c>
      <c r="R171" s="832">
        <v>0</v>
      </c>
      <c r="S171" s="832">
        <v>389.88</v>
      </c>
      <c r="T171" s="832">
        <v>389.88</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t="str">
        <f>IFERROR(INDEX(G171:R171,1,MATCH(Parametres!$B$3,G$1:R$1,0)-1)*IF(OR(F171="L",F171="S",F171="I"),-1,1),"")</f>
        <v/>
      </c>
      <c r="AM171" s="1030">
        <f t="shared" si="14"/>
        <v>544.52</v>
      </c>
      <c r="AN171" s="1030">
        <f>INDEX(G171:R171,1,MATCH(Parametres!$B$3,G$1:R$1,0))*IF(OR(F171="L",F171="S",F171="I"),-1,1)</f>
        <v>544.52</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t="str">
        <f>IFERROR(INDEX(V171:AG171,1,MATCH(Parametres!$B$3,V$1:AG$1,0)-1)*IF(OR(C171="L",C171="S",C171="I"),-1,1),"")</f>
        <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23487.31</v>
      </c>
      <c r="L172" s="832">
        <v>23487.31</v>
      </c>
      <c r="M172" s="832">
        <v>23487.31</v>
      </c>
      <c r="N172" s="832">
        <v>23487.31</v>
      </c>
      <c r="O172" s="832">
        <v>0</v>
      </c>
      <c r="P172" s="832">
        <v>0</v>
      </c>
      <c r="Q172" s="832">
        <v>0</v>
      </c>
      <c r="R172" s="832">
        <v>0</v>
      </c>
      <c r="S172" s="832">
        <v>3355.33</v>
      </c>
      <c r="T172" s="832">
        <v>3355.33</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t="str">
        <f>IFERROR(INDEX(G172:R172,1,MATCH(Parametres!$B$3,G$1:R$1,0)-1)*IF(OR(F172="L",F172="S",F172="I"),-1,1),"")</f>
        <v/>
      </c>
      <c r="AM172" s="1030">
        <f t="shared" si="14"/>
        <v>5857.18</v>
      </c>
      <c r="AN172" s="1030">
        <f>INDEX(G172:R172,1,MATCH(Parametres!$B$3,G$1:R$1,0))*IF(OR(F172="L",F172="S",F172="I"),-1,1)</f>
        <v>5857.18</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t="str">
        <f>IFERROR(INDEX(V172:AG172,1,MATCH(Parametres!$B$3,V$1:AG$1,0)-1)*IF(OR(C172="L",C172="S",C172="I"),-1,1),"")</f>
        <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3339</v>
      </c>
      <c r="L173" s="832">
        <v>3339</v>
      </c>
      <c r="M173" s="832">
        <v>3339</v>
      </c>
      <c r="N173" s="832">
        <v>3339</v>
      </c>
      <c r="O173" s="832">
        <v>0</v>
      </c>
      <c r="P173" s="832">
        <v>0</v>
      </c>
      <c r="Q173" s="832">
        <v>0</v>
      </c>
      <c r="R173" s="832">
        <v>0</v>
      </c>
      <c r="S173" s="832">
        <v>477</v>
      </c>
      <c r="T173" s="832">
        <v>477</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t="str">
        <f>IFERROR(INDEX(G173:R173,1,MATCH(Parametres!$B$3,G$1:R$1,0)-1)*IF(OR(F173="L",F173="S",F173="I"),-1,1),"")</f>
        <v/>
      </c>
      <c r="AM173" s="1030">
        <f t="shared" si="14"/>
        <v>834.75</v>
      </c>
      <c r="AN173" s="1030">
        <f>INDEX(G173:R173,1,MATCH(Parametres!$B$3,G$1:R$1,0))*IF(OR(F173="L",F173="S",F173="I"),-1,1)</f>
        <v>834.75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t="str">
        <f>IFERROR(INDEX(V173:AG173,1,MATCH(Parametres!$B$3,V$1:AG$1,0)-1)*IF(OR(C173="L",C173="S",C173="I"),-1,1),"")</f>
        <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t="str">
        <f>IFERROR(INDEX(G174:R174,1,MATCH(Parametres!$B$3,G$1:R$1,0)-1)*IF(OR(F174="L",F174="S",F174="I"),-1,1),"")</f>
        <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t="str">
        <f>IFERROR(INDEX(V174:AG174,1,MATCH(Parametres!$B$3,V$1:AG$1,0)-1)*IF(OR(C174="L",C174="S",C174="I"),-1,1),"")</f>
        <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t="str">
        <f>IFERROR(INDEX(G175:R175,1,MATCH(Parametres!$B$3,G$1:R$1,0)-1)*IF(OR(F175="L",F175="S",F175="I"),-1,1),"")</f>
        <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t="str">
        <f>IFERROR(INDEX(V175:AG175,1,MATCH(Parametres!$B$3,V$1:AG$1,0)-1)*IF(OR(C175="L",C175="S",C175="I"),-1,1),"")</f>
        <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3155.08</v>
      </c>
      <c r="L176" s="832">
        <v>3155.08</v>
      </c>
      <c r="M176" s="832">
        <v>3155.08</v>
      </c>
      <c r="N176" s="832">
        <v>3155.08</v>
      </c>
      <c r="O176" s="832">
        <v>0</v>
      </c>
      <c r="P176" s="832">
        <v>0</v>
      </c>
      <c r="Q176" s="832">
        <v>0</v>
      </c>
      <c r="R176" s="832">
        <v>0</v>
      </c>
      <c r="S176" s="832">
        <v>450.73</v>
      </c>
      <c r="T176" s="832">
        <v>450.73</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t="str">
        <f>IFERROR(INDEX(G176:R176,1,MATCH(Parametres!$B$3,G$1:R$1,0)-1)*IF(OR(F176="L",F176="S",F176="I"),-1,1),"")</f>
        <v/>
      </c>
      <c r="AM176" s="1030">
        <f t="shared" si="14"/>
        <v>802.54</v>
      </c>
      <c r="AN176" s="1030">
        <f>INDEX(G176:R176,1,MATCH(Parametres!$B$3,G$1:R$1,0))*IF(OR(F176="L",F176="S",F176="I"),-1,1)</f>
        <v>802.54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t="str">
        <f>IFERROR(INDEX(V176:AG176,1,MATCH(Parametres!$B$3,V$1:AG$1,0)-1)*IF(OR(C176="L",C176="S",C176="I"),-1,1),"")</f>
        <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t="str">
        <f>IFERROR(INDEX(G177:R177,1,MATCH(Parametres!$B$3,G$1:R$1,0)-1)*IF(OR(F177="L",F177="S",F177="I"),-1,1),"")</f>
        <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t="str">
        <f>IFERROR(INDEX(V177:AG177,1,MATCH(Parametres!$B$3,V$1:AG$1,0)-1)*IF(OR(C177="L",C177="S",C177="I"),-1,1),"")</f>
        <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10234.64</v>
      </c>
      <c r="L178" s="832">
        <v>10234.64</v>
      </c>
      <c r="M178" s="832">
        <v>10234.64</v>
      </c>
      <c r="N178" s="832">
        <v>10234.64</v>
      </c>
      <c r="O178" s="832">
        <v>0</v>
      </c>
      <c r="P178" s="832">
        <v>0</v>
      </c>
      <c r="Q178" s="832">
        <v>0</v>
      </c>
      <c r="R178" s="832">
        <v>0</v>
      </c>
      <c r="S178" s="832">
        <v>1462.09</v>
      </c>
      <c r="T178" s="832">
        <v>1462.09</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t="str">
        <f>IFERROR(INDEX(G178:R178,1,MATCH(Parametres!$B$3,G$1:R$1,0)-1)*IF(OR(F178="L",F178="S",F178="I"),-1,1),"")</f>
        <v/>
      </c>
      <c r="AM178" s="1030">
        <f t="shared" si="14"/>
        <v>2853.41</v>
      </c>
      <c r="AN178" s="1030">
        <f>INDEX(G178:R178,1,MATCH(Parametres!$B$3,G$1:R$1,0))*IF(OR(F178="L",F178="S",F178="I"),-1,1)</f>
        <v>2853.41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t="str">
        <f>IFERROR(INDEX(V178:AG178,1,MATCH(Parametres!$B$3,V$1:AG$1,0)-1)*IF(OR(C178="L",C178="S",C178="I"),-1,1),"")</f>
        <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1260</v>
      </c>
      <c r="L179" s="832">
        <v>1260</v>
      </c>
      <c r="M179" s="832">
        <v>1260</v>
      </c>
      <c r="N179" s="832">
        <v>1260</v>
      </c>
      <c r="O179" s="832">
        <v>0</v>
      </c>
      <c r="P179" s="832">
        <v>0</v>
      </c>
      <c r="Q179" s="832">
        <v>0</v>
      </c>
      <c r="R179" s="832">
        <v>0</v>
      </c>
      <c r="S179" s="832">
        <v>180</v>
      </c>
      <c r="T179" s="832">
        <v>180</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t="str">
        <f>IFERROR(INDEX(G179:R179,1,MATCH(Parametres!$B$3,G$1:R$1,0)-1)*IF(OR(F179="L",F179="S",F179="I"),-1,1),"")</f>
        <v/>
      </c>
      <c r="AM179" s="1030">
        <f t="shared" si="14"/>
        <v>250</v>
      </c>
      <c r="AN179" s="1030">
        <f>INDEX(G179:R179,1,MATCH(Parametres!$B$3,G$1:R$1,0))*IF(OR(F179="L",F179="S",F179="I"),-1,1)</f>
        <v>250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t="str">
        <f>IFERROR(INDEX(V179:AG179,1,MATCH(Parametres!$B$3,V$1:AG$1,0)-1)*IF(OR(C179="L",C179="S",C179="I"),-1,1),"")</f>
        <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152.96</v>
      </c>
      <c r="L180" s="832">
        <v>152.96</v>
      </c>
      <c r="M180" s="832">
        <v>152.96</v>
      </c>
      <c r="N180" s="832">
        <v>152.96</v>
      </c>
      <c r="O180" s="832">
        <v>0</v>
      </c>
      <c r="P180" s="832">
        <v>0</v>
      </c>
      <c r="Q180" s="832">
        <v>0</v>
      </c>
      <c r="R180" s="832">
        <v>0</v>
      </c>
      <c r="S180" s="832">
        <v>21.85</v>
      </c>
      <c r="T180" s="832">
        <v>21.85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t="str">
        <f>IFERROR(INDEX(G180:R180,1,MATCH(Parametres!$B$3,G$1:R$1,0)-1)*IF(OR(F180="L",F180="S",F180="I"),-1,1),"")</f>
        <v/>
      </c>
      <c r="AM180" s="1030">
        <f t="shared" si="14"/>
        <v>-20.79</v>
      </c>
      <c r="AN180" s="1030">
        <f>INDEX(G180:R180,1,MATCH(Parametres!$B$3,G$1:R$1,0))*IF(OR(F180="L",F180="S",F180="I"),-1,1)</f>
        <v>-20.79</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t="str">
        <f>IFERROR(INDEX(V180:AG180,1,MATCH(Parametres!$B$3,V$1:AG$1,0)-1)*IF(OR(C180="L",C180="S",C180="I"),-1,1),"")</f>
        <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t="str">
        <f>IFERROR(INDEX(G181:R181,1,MATCH(Parametres!$B$3,G$1:R$1,0)-1)*IF(OR(F181="L",F181="S",F181="I"),-1,1),"")</f>
        <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t="str">
        <f>IFERROR(INDEX(V181:AG181,1,MATCH(Parametres!$B$3,V$1:AG$1,0)-1)*IF(OR(C181="L",C181="S",C181="I"),-1,1),"")</f>
        <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2118.35</v>
      </c>
      <c r="L182" s="832">
        <v>2118.35</v>
      </c>
      <c r="M182" s="832">
        <v>2118.35</v>
      </c>
      <c r="N182" s="832">
        <v>2118.35</v>
      </c>
      <c r="O182" s="832">
        <v>0</v>
      </c>
      <c r="P182" s="832">
        <v>0</v>
      </c>
      <c r="Q182" s="832">
        <v>0</v>
      </c>
      <c r="R182" s="832">
        <v>0</v>
      </c>
      <c r="S182" s="832">
        <v>302.62</v>
      </c>
      <c r="T182" s="832">
        <v>302.62</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t="str">
        <f>IFERROR(INDEX(G182:R182,1,MATCH(Parametres!$B$3,G$1:R$1,0)-1)*IF(OR(F182="L",F182="S",F182="I"),-1,1),"")</f>
        <v/>
      </c>
      <c r="AM182" s="1030">
        <f t="shared" si="14"/>
        <v>517.75</v>
      </c>
      <c r="AN182" s="1030">
        <f>INDEX(G182:R182,1,MATCH(Parametres!$B$3,G$1:R$1,0))*IF(OR(F182="L",F182="S",F182="I"),-1,1)</f>
        <v>517.75</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t="str">
        <f>IFERROR(INDEX(V182:AG182,1,MATCH(Parametres!$B$3,V$1:AG$1,0)-1)*IF(OR(C182="L",C182="S",C182="I"),-1,1),"")</f>
        <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t="str">
        <f>IFERROR(INDEX(G183:R183,1,MATCH(Parametres!$B$3,G$1:R$1,0)-1)*IF(OR(F183="L",F183="S",F183="I"),-1,1),"")</f>
        <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t="str">
        <f>IFERROR(INDEX(V183:AG183,1,MATCH(Parametres!$B$3,V$1:AG$1,0)-1)*IF(OR(C183="L",C183="S",C183="I"),-1,1),"")</f>
        <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t="str">
        <f>IFERROR(INDEX(G184:R184,1,MATCH(Parametres!$B$3,G$1:R$1,0)-1)*IF(OR(F184="L",F184="S",F184="I"),-1,1),"")</f>
        <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t="str">
        <f>IFERROR(INDEX(V184:AG184,1,MATCH(Parametres!$B$3,V$1:AG$1,0)-1)*IF(OR(C184="L",C184="S",C184="I"),-1,1),"")</f>
        <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t="str">
        <f>IFERROR(INDEX(G185:R185,1,MATCH(Parametres!$B$3,G$1:R$1,0)-1)*IF(OR(F185="L",F185="S",F185="I"),-1,1),"")</f>
        <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t="str">
        <f>IFERROR(INDEX(V185:AG185,1,MATCH(Parametres!$B$3,V$1:AG$1,0)-1)*IF(OR(C185="L",C185="S",C185="I"),-1,1),"")</f>
        <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t="str">
        <f>IFERROR(INDEX(G186:R186,1,MATCH(Parametres!$B$3,G$1:R$1,0)-1)*IF(OR(F186="L",F186="S",F186="I"),-1,1),"")</f>
        <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t="str">
        <f>IFERROR(INDEX(V186:AG186,1,MATCH(Parametres!$B$3,V$1:AG$1,0)-1)*IF(OR(C186="L",C186="S",C186="I"),-1,1),"")</f>
        <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t="str">
        <f>IFERROR(INDEX(G187:R187,1,MATCH(Parametres!$B$3,G$1:R$1,0)-1)*IF(OR(F187="L",F187="S",F187="I"),-1,1),"")</f>
        <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t="str">
        <f>IFERROR(INDEX(V187:AG187,1,MATCH(Parametres!$B$3,V$1:AG$1,0)-1)*IF(OR(C187="L",C187="S",C187="I"),-1,1),"")</f>
        <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t="str">
        <f>IFERROR(INDEX(G188:R188,1,MATCH(Parametres!$B$3,G$1:R$1,0)-1)*IF(OR(F188="L",F188="S",F188="I"),-1,1),"")</f>
        <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t="str">
        <f>IFERROR(INDEX(V188:AG188,1,MATCH(Parametres!$B$3,V$1:AG$1,0)-1)*IF(OR(C188="L",C188="S",C188="I"),-1,1),"")</f>
        <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t="str">
        <f>IFERROR(INDEX(G189:R189,1,MATCH(Parametres!$B$3,G$1:R$1,0)-1)*IF(OR(F189="L",F189="S",F189="I"),-1,1),"")</f>
        <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t="str">
        <f>IFERROR(INDEX(V189:AG189,1,MATCH(Parametres!$B$3,V$1:AG$1,0)-1)*IF(OR(C189="L",C189="S",C189="I"),-1,1),"")</f>
        <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t="str">
        <f>IFERROR(INDEX(G190:R190,1,MATCH(Parametres!$B$3,G$1:R$1,0)-1)*IF(OR(F190="L",F190="S",F190="I"),-1,1),"")</f>
        <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t="str">
        <f>IFERROR(INDEX(V190:AG190,1,MATCH(Parametres!$B$3,V$1:AG$1,0)-1)*IF(OR(C190="L",C190="S",C190="I"),-1,1),"")</f>
        <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t="str">
        <f>IFERROR(INDEX(G191:R191,1,MATCH(Parametres!$B$3,G$1:R$1,0)-1)*IF(OR(F191="L",F191="S",F191="I"),-1,1),"")</f>
        <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t="str">
        <f>IFERROR(INDEX(V191:AG191,1,MATCH(Parametres!$B$3,V$1:AG$1,0)-1)*IF(OR(C191="L",C191="S",C191="I"),-1,1),"")</f>
        <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t="str">
        <f>IFERROR(INDEX(G192:R192,1,MATCH(Parametres!$B$3,G$1:R$1,0)-1)*IF(OR(F192="L",F192="S",F192="I"),-1,1),"")</f>
        <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t="str">
        <f>IFERROR(INDEX(V192:AG192,1,MATCH(Parametres!$B$3,V$1:AG$1,0)-1)*IF(OR(C192="L",C192="S",C192="I"),-1,1),"")</f>
        <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t="str">
        <f>IFERROR(INDEX(G193:R193,1,MATCH(Parametres!$B$3,G$1:R$1,0)-1)*IF(OR(F193="L",F193="S",F193="I"),-1,1),"")</f>
        <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t="str">
        <f>IFERROR(INDEX(V193:AG193,1,MATCH(Parametres!$B$3,V$1:AG$1,0)-1)*IF(OR(C193="L",C193="S",C193="I"),-1,1),"")</f>
        <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t="str">
        <f>IFERROR(INDEX(G194:R194,1,MATCH(Parametres!$B$3,G$1:R$1,0)-1)*IF(OR(F194="L",F194="S",F194="I"),-1,1),"")</f>
        <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t="str">
        <f>IFERROR(INDEX(V194:AG194,1,MATCH(Parametres!$B$3,V$1:AG$1,0)-1)*IF(OR(C194="L",C194="S",C194="I"),-1,1),"")</f>
        <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t="str">
        <f>IFERROR(INDEX(G195:R195,1,MATCH(Parametres!$B$3,G$1:R$1,0)-1)*IF(OR(F195="L",F195="S",F195="I"),-1,1),"")</f>
        <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t="str">
        <f>IFERROR(INDEX(V195:AG195,1,MATCH(Parametres!$B$3,V$1:AG$1,0)-1)*IF(OR(C195="L",C195="S",C195="I"),-1,1),"")</f>
        <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t="str">
        <f>IFERROR(INDEX(G196:R196,1,MATCH(Parametres!$B$3,G$1:R$1,0)-1)*IF(OR(F196="L",F196="S",F196="I"),-1,1),"")</f>
        <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t="str">
        <f>IFERROR(INDEX(V196:AG196,1,MATCH(Parametres!$B$3,V$1:AG$1,0)-1)*IF(OR(C196="L",C196="S",C196="I"),-1,1),"")</f>
        <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t="str">
        <f>IFERROR(INDEX(G197:R197,1,MATCH(Parametres!$B$3,G$1:R$1,0)-1)*IF(OR(F197="L",F197="S",F197="I"),-1,1),"")</f>
        <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t="str">
        <f>IFERROR(INDEX(V197:AG197,1,MATCH(Parametres!$B$3,V$1:AG$1,0)-1)*IF(OR(C197="L",C197="S",C197="I"),-1,1),"")</f>
        <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t="str">
        <f>IFERROR(INDEX(G198:R198,1,MATCH(Parametres!$B$3,G$1:R$1,0)-1)*IF(OR(F198="L",F198="S",F198="I"),-1,1),"")</f>
        <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t="str">
        <f>IFERROR(INDEX(V198:AG198,1,MATCH(Parametres!$B$3,V$1:AG$1,0)-1)*IF(OR(C198="L",C198="S",C198="I"),-1,1),"")</f>
        <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t="str">
        <f>IFERROR(INDEX(G199:R199,1,MATCH(Parametres!$B$3,G$1:R$1,0)-1)*IF(OR(F199="L",F199="S",F199="I"),-1,1),"")</f>
        <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t="str">
        <f>IFERROR(INDEX(V199:AG199,1,MATCH(Parametres!$B$3,V$1:AG$1,0)-1)*IF(OR(C199="L",C199="S",C199="I"),-1,1),"")</f>
        <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t="str">
        <f>IFERROR(INDEX(G200:R200,1,MATCH(Parametres!$B$3,G$1:R$1,0)-1)*IF(OR(F200="L",F200="S",F200="I"),-1,1),"")</f>
        <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t="str">
        <f>IFERROR(INDEX(V200:AG200,1,MATCH(Parametres!$B$3,V$1:AG$1,0)-1)*IF(OR(C200="L",C200="S",C200="I"),-1,1),"")</f>
        <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t="str">
        <f>IFERROR(INDEX(G201:R201,1,MATCH(Parametres!$B$3,G$1:R$1,0)-1)*IF(OR(F201="L",F201="S",F201="I"),-1,1),"")</f>
        <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t="str">
        <f>IFERROR(INDEX(V201:AG201,1,MATCH(Parametres!$B$3,V$1:AG$1,0)-1)*IF(OR(C201="L",C201="S",C201="I"),-1,1),"")</f>
        <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t="str">
        <f>IFERROR(INDEX(G202:R202,1,MATCH(Parametres!$B$3,G$1:R$1,0)-1)*IF(OR(F202="L",F202="S",F202="I"),-1,1),"")</f>
        <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t="str">
        <f>IFERROR(INDEX(V202:AG202,1,MATCH(Parametres!$B$3,V$1:AG$1,0)-1)*IF(OR(C202="L",C202="S",C202="I"),-1,1),"")</f>
        <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t="str">
        <f>IFERROR(INDEX(G203:R203,1,MATCH(Parametres!$B$3,G$1:R$1,0)-1)*IF(OR(F203="L",F203="S",F203="I"),-1,1),"")</f>
        <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t="str">
        <f>IFERROR(INDEX(V203:AG203,1,MATCH(Parametres!$B$3,V$1:AG$1,0)-1)*IF(OR(C203="L",C203="S",C203="I"),-1,1),"")</f>
        <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t="str">
        <f>IFERROR(INDEX(G204:R204,1,MATCH(Parametres!$B$3,G$1:R$1,0)-1)*IF(OR(F204="L",F204="S",F204="I"),-1,1),"")</f>
        <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t="str">
        <f>IFERROR(INDEX(V204:AG204,1,MATCH(Parametres!$B$3,V$1:AG$1,0)-1)*IF(OR(C204="L",C204="S",C204="I"),-1,1),"")</f>
        <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t="str">
        <f>IFERROR(INDEX(G205:R205,1,MATCH(Parametres!$B$3,G$1:R$1,0)-1)*IF(OR(F205="L",F205="S",F205="I"),-1,1),"")</f>
        <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t="str">
        <f>IFERROR(INDEX(V205:AG205,1,MATCH(Parametres!$B$3,V$1:AG$1,0)-1)*IF(OR(C205="L",C205="S",C205="I"),-1,1),"")</f>
        <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t="str">
        <f>IFERROR(INDEX(G206:R206,1,MATCH(Parametres!$B$3,G$1:R$1,0)-1)*IF(OR(F206="L",F206="S",F206="I"),-1,1),"")</f>
        <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t="str">
        <f>IFERROR(INDEX(V206:AG206,1,MATCH(Parametres!$B$3,V$1:AG$1,0)-1)*IF(OR(C206="L",C206="S",C206="I"),-1,1),"")</f>
        <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t="str">
        <f>IFERROR(INDEX(G207:R207,1,MATCH(Parametres!$B$3,G$1:R$1,0)-1)*IF(OR(F207="L",F207="S",F207="I"),-1,1),"")</f>
        <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t="str">
        <f>IFERROR(INDEX(V207:AG207,1,MATCH(Parametres!$B$3,V$1:AG$1,0)-1)*IF(OR(C207="L",C207="S",C207="I"),-1,1),"")</f>
        <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t="str">
        <f>IFERROR(INDEX(G208:R208,1,MATCH(Parametres!$B$3,G$1:R$1,0)-1)*IF(OR(F208="L",F208="S",F208="I"),-1,1),"")</f>
        <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t="str">
        <f>IFERROR(INDEX(V208:AG208,1,MATCH(Parametres!$B$3,V$1:AG$1,0)-1)*IF(OR(C208="L",C208="S",C208="I"),-1,1),"")</f>
        <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t="str">
        <f>IFERROR(INDEX(G209:R209,1,MATCH(Parametres!$B$3,G$1:R$1,0)-1)*IF(OR(F209="L",F209="S",F209="I"),-1,1),"")</f>
        <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t="str">
        <f>IFERROR(INDEX(V209:AG209,1,MATCH(Parametres!$B$3,V$1:AG$1,0)-1)*IF(OR(C209="L",C209="S",C209="I"),-1,1),"")</f>
        <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t="str">
        <f>IFERROR(INDEX(G210:R210,1,MATCH(Parametres!$B$3,G$1:R$1,0)-1)*IF(OR(F210="L",F210="S",F210="I"),-1,1),"")</f>
        <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t="str">
        <f>IFERROR(INDEX(V210:AG210,1,MATCH(Parametres!$B$3,V$1:AG$1,0)-1)*IF(OR(C210="L",C210="S",C210="I"),-1,1),"")</f>
        <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t="str">
        <f>IFERROR(INDEX(G211:R211,1,MATCH(Parametres!$B$3,G$1:R$1,0)-1)*IF(OR(F211="L",F211="S",F211="I"),-1,1),"")</f>
        <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t="str">
        <f>IFERROR(INDEX(V211:AG211,1,MATCH(Parametres!$B$3,V$1:AG$1,0)-1)*IF(OR(C211="L",C211="S",C211="I"),-1,1),"")</f>
        <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t="str">
        <f>IFERROR(INDEX(G212:R212,1,MATCH(Parametres!$B$3,G$1:R$1,0)-1)*IF(OR(F212="L",F212="S",F212="I"),-1,1),"")</f>
        <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t="str">
        <f>IFERROR(INDEX(V212:AG212,1,MATCH(Parametres!$B$3,V$1:AG$1,0)-1)*IF(OR(C212="L",C212="S",C212="I"),-1,1),"")</f>
        <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t="str">
        <f>IFERROR(INDEX(G213:R213,1,MATCH(Parametres!$B$3,G$1:R$1,0)-1)*IF(OR(F213="L",F213="S",F213="I"),-1,1),"")</f>
        <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t="str">
        <f>IFERROR(INDEX(V213:AG213,1,MATCH(Parametres!$B$3,V$1:AG$1,0)-1)*IF(OR(C213="L",C213="S",C213="I"),-1,1),"")</f>
        <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t="str">
        <f>IFERROR(INDEX(G214:R214,1,MATCH(Parametres!$B$3,G$1:R$1,0)-1)*IF(OR(F214="L",F214="S",F214="I"),-1,1),"")</f>
        <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t="str">
        <f>IFERROR(INDEX(V214:AG214,1,MATCH(Parametres!$B$3,V$1:AG$1,0)-1)*IF(OR(C214="L",C214="S",C214="I"),-1,1),"")</f>
        <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t="str">
        <f>IFERROR(INDEX(G215:R215,1,MATCH(Parametres!$B$3,G$1:R$1,0)-1)*IF(OR(F215="L",F215="S",F215="I"),-1,1),"")</f>
        <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t="str">
        <f>IFERROR(INDEX(V215:AG215,1,MATCH(Parametres!$B$3,V$1:AG$1,0)-1)*IF(OR(C215="L",C215="S",C215="I"),-1,1),"")</f>
        <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t="str">
        <f>IFERROR(INDEX(G216:R216,1,MATCH(Parametres!$B$3,G$1:R$1,0)-1)*IF(OR(F216="L",F216="S",F216="I"),-1,1),"")</f>
        <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t="str">
        <f>IFERROR(INDEX(V216:AG216,1,MATCH(Parametres!$B$3,V$1:AG$1,0)-1)*IF(OR(C216="L",C216="S",C216="I"),-1,1),"")</f>
        <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t="str">
        <f>IFERROR(INDEX(G217:R217,1,MATCH(Parametres!$B$3,G$1:R$1,0)-1)*IF(OR(F217="L",F217="S",F217="I"),-1,1),"")</f>
        <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t="str">
        <f>IFERROR(INDEX(V217:AG217,1,MATCH(Parametres!$B$3,V$1:AG$1,0)-1)*IF(OR(C217="L",C217="S",C217="I"),-1,1),"")</f>
        <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t="str">
        <f>IFERROR(INDEX(G218:R218,1,MATCH(Parametres!$B$3,G$1:R$1,0)-1)*IF(OR(F218="L",F218="S",F218="I"),-1,1),"")</f>
        <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t="str">
        <f>IFERROR(INDEX(V218:AG218,1,MATCH(Parametres!$B$3,V$1:AG$1,0)-1)*IF(OR(C218="L",C218="S",C218="I"),-1,1),"")</f>
        <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t="str">
        <f>IFERROR(INDEX(G219:R219,1,MATCH(Parametres!$B$3,G$1:R$1,0)-1)*IF(OR(F219="L",F219="S",F219="I"),-1,1),"")</f>
        <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t="str">
        <f>IFERROR(INDEX(V219:AG219,1,MATCH(Parametres!$B$3,V$1:AG$1,0)-1)*IF(OR(C219="L",C219="S",C219="I"),-1,1),"")</f>
        <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t="str">
        <f>IFERROR(INDEX(G220:R220,1,MATCH(Parametres!$B$3,G$1:R$1,0)-1)*IF(OR(F220="L",F220="S",F220="I"),-1,1),"")</f>
        <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t="str">
        <f>IFERROR(INDEX(V220:AG220,1,MATCH(Parametres!$B$3,V$1:AG$1,0)-1)*IF(OR(C220="L",C220="S",C220="I"),-1,1),"")</f>
        <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t="str">
        <f>IFERROR(INDEX(G221:R221,1,MATCH(Parametres!$B$3,G$1:R$1,0)-1)*IF(OR(F221="L",F221="S",F221="I"),-1,1),"")</f>
        <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t="str">
        <f>IFERROR(INDEX(V221:AG221,1,MATCH(Parametres!$B$3,V$1:AG$1,0)-1)*IF(OR(C221="L",C221="S",C221="I"),-1,1),"")</f>
        <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t="str">
        <f>IFERROR(INDEX(G222:R222,1,MATCH(Parametres!$B$3,G$1:R$1,0)-1)*IF(OR(F222="L",F222="S",F222="I"),-1,1),"")</f>
        <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t="str">
        <f>IFERROR(INDEX(V222:AG222,1,MATCH(Parametres!$B$3,V$1:AG$1,0)-1)*IF(OR(C222="L",C222="S",C222="I"),-1,1),"")</f>
        <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t="str">
        <f>IFERROR(INDEX(G223:R223,1,MATCH(Parametres!$B$3,G$1:R$1,0)-1)*IF(OR(F223="L",F223="S",F223="I"),-1,1),"")</f>
        <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t="str">
        <f>IFERROR(INDEX(V223:AG223,1,MATCH(Parametres!$B$3,V$1:AG$1,0)-1)*IF(OR(C223="L",C223="S",C223="I"),-1,1),"")</f>
        <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t="str">
        <f>IFERROR(INDEX(G224:R224,1,MATCH(Parametres!$B$3,G$1:R$1,0)-1)*IF(OR(F224="L",F224="S",F224="I"),-1,1),"")</f>
        <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t="str">
        <f>IFERROR(INDEX(V224:AG224,1,MATCH(Parametres!$B$3,V$1:AG$1,0)-1)*IF(OR(C224="L",C224="S",C224="I"),-1,1),"")</f>
        <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t="str">
        <f>IFERROR(INDEX(G225:R225,1,MATCH(Parametres!$B$3,G$1:R$1,0)-1)*IF(OR(F225="L",F225="S",F225="I"),-1,1),"")</f>
        <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t="str">
        <f>IFERROR(INDEX(V225:AG225,1,MATCH(Parametres!$B$3,V$1:AG$1,0)-1)*IF(OR(C225="L",C225="S",C225="I"),-1,1),"")</f>
        <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t="str">
        <f>IFERROR(INDEX(G226:R226,1,MATCH(Parametres!$B$3,G$1:R$1,0)-1)*IF(OR(F226="L",F226="S",F226="I"),-1,1),"")</f>
        <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t="str">
        <f>IFERROR(INDEX(V226:AG226,1,MATCH(Parametres!$B$3,V$1:AG$1,0)-1)*IF(OR(C226="L",C226="S",C226="I"),-1,1),"")</f>
        <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t="str">
        <f>IFERROR(INDEX(G227:R227,1,MATCH(Parametres!$B$3,G$1:R$1,0)-1)*IF(OR(F227="L",F227="S",F227="I"),-1,1),"")</f>
        <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t="str">
        <f>IFERROR(INDEX(V227:AG227,1,MATCH(Parametres!$B$3,V$1:AG$1,0)-1)*IF(OR(C227="L",C227="S",C227="I"),-1,1),"")</f>
        <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t="str">
        <f>IFERROR(INDEX(G228:R228,1,MATCH(Parametres!$B$3,G$1:R$1,0)-1)*IF(OR(F228="L",F228="S",F228="I"),-1,1),"")</f>
        <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t="str">
        <f>IFERROR(INDEX(V228:AG228,1,MATCH(Parametres!$B$3,V$1:AG$1,0)-1)*IF(OR(C228="L",C228="S",C228="I"),-1,1),"")</f>
        <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t="str">
        <f>IFERROR(INDEX(G229:R229,1,MATCH(Parametres!$B$3,G$1:R$1,0)-1)*IF(OR(F229="L",F229="S",F229="I"),-1,1),"")</f>
        <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t="str">
        <f>IFERROR(INDEX(V229:AG229,1,MATCH(Parametres!$B$3,V$1:AG$1,0)-1)*IF(OR(C229="L",C229="S",C229="I"),-1,1),"")</f>
        <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t="str">
        <f>IFERROR(INDEX(G230:R230,1,MATCH(Parametres!$B$3,G$1:R$1,0)-1)*IF(OR(F230="L",F230="S",F230="I"),-1,1),"")</f>
        <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t="str">
        <f>IFERROR(INDEX(V230:AG230,1,MATCH(Parametres!$B$3,V$1:AG$1,0)-1)*IF(OR(C230="L",C230="S",C230="I"),-1,1),"")</f>
        <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t="str">
        <f>IFERROR(INDEX(G231:R231,1,MATCH(Parametres!$B$3,G$1:R$1,0)-1)*IF(OR(F231="L",F231="S",F231="I"),-1,1),"")</f>
        <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t="str">
        <f>IFERROR(INDEX(V231:AG231,1,MATCH(Parametres!$B$3,V$1:AG$1,0)-1)*IF(OR(C231="L",C231="S",C231="I"),-1,1),"")</f>
        <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t="str">
        <f>IFERROR(INDEX(G232:R232,1,MATCH(Parametres!$B$3,G$1:R$1,0)-1)*IF(OR(F232="L",F232="S",F232="I"),-1,1),"")</f>
        <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t="str">
        <f>IFERROR(INDEX(V232:AG232,1,MATCH(Parametres!$B$3,V$1:AG$1,0)-1)*IF(OR(C232="L",C232="S",C232="I"),-1,1),"")</f>
        <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t="str">
        <f>IFERROR(INDEX(G233:R233,1,MATCH(Parametres!$B$3,G$1:R$1,0)-1)*IF(OR(F233="L",F233="S",F233="I"),-1,1),"")</f>
        <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t="str">
        <f>IFERROR(INDEX(V233:AG233,1,MATCH(Parametres!$B$3,V$1:AG$1,0)-1)*IF(OR(C233="L",C233="S",C233="I"),-1,1),"")</f>
        <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t="str">
        <f>IFERROR(INDEX(G234:R234,1,MATCH(Parametres!$B$3,G$1:R$1,0)-1)*IF(OR(F234="L",F234="S",F234="I"),-1,1),"")</f>
        <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t="str">
        <f>IFERROR(INDEX(V234:AG234,1,MATCH(Parametres!$B$3,V$1:AG$1,0)-1)*IF(OR(C234="L",C234="S",C234="I"),-1,1),"")</f>
        <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t="str">
        <f>IFERROR(INDEX(G235:R235,1,MATCH(Parametres!$B$3,G$1:R$1,0)-1)*IF(OR(F235="L",F235="S",F235="I"),-1,1),"")</f>
        <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t="str">
        <f>IFERROR(INDEX(V235:AG235,1,MATCH(Parametres!$B$3,V$1:AG$1,0)-1)*IF(OR(C235="L",C235="S",C235="I"),-1,1),"")</f>
        <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t="str">
        <f>IFERROR(INDEX(G236:R236,1,MATCH(Parametres!$B$3,G$1:R$1,0)-1)*IF(OR(F236="L",F236="S",F236="I"),-1,1),"")</f>
        <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t="str">
        <f>IFERROR(INDEX(V236:AG236,1,MATCH(Parametres!$B$3,V$1:AG$1,0)-1)*IF(OR(C236="L",C236="S",C236="I"),-1,1),"")</f>
        <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t="str">
        <f>IFERROR(INDEX(G237:R237,1,MATCH(Parametres!$B$3,G$1:R$1,0)-1)*IF(OR(F237="L",F237="S",F237="I"),-1,1),"")</f>
        <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t="str">
        <f>IFERROR(INDEX(V237:AG237,1,MATCH(Parametres!$B$3,V$1:AG$1,0)-1)*IF(OR(C237="L",C237="S",C237="I"),-1,1),"")</f>
        <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t="str">
        <f>IFERROR(INDEX(G238:R238,1,MATCH(Parametres!$B$3,G$1:R$1,0)-1)*IF(OR(F238="L",F238="S",F238="I"),-1,1),"")</f>
        <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t="str">
        <f>IFERROR(INDEX(V238:AG238,1,MATCH(Parametres!$B$3,V$1:AG$1,0)-1)*IF(OR(C238="L",C238="S",C238="I"),-1,1),"")</f>
        <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t="str">
        <f>IFERROR(INDEX(G239:R239,1,MATCH(Parametres!$B$3,G$1:R$1,0)-1)*IF(OR(F239="L",F239="S",F239="I"),-1,1),"")</f>
        <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t="str">
        <f>IFERROR(INDEX(V239:AG239,1,MATCH(Parametres!$B$3,V$1:AG$1,0)-1)*IF(OR(C239="L",C239="S",C239="I"),-1,1),"")</f>
        <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t="str">
        <f>IFERROR(INDEX(G240:R240,1,MATCH(Parametres!$B$3,G$1:R$1,0)-1)*IF(OR(F240="L",F240="S",F240="I"),-1,1),"")</f>
        <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t="str">
        <f>IFERROR(INDEX(V240:AG240,1,MATCH(Parametres!$B$3,V$1:AG$1,0)-1)*IF(OR(C240="L",C240="S",C240="I"),-1,1),"")</f>
        <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t="str">
        <f>IFERROR(INDEX(G241:R241,1,MATCH(Parametres!$B$3,G$1:R$1,0)-1)*IF(OR(F241="L",F241="S",F241="I"),-1,1),"")</f>
        <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t="str">
        <f>IFERROR(INDEX(V241:AG241,1,MATCH(Parametres!$B$3,V$1:AG$1,0)-1)*IF(OR(C241="L",C241="S",C241="I"),-1,1),"")</f>
        <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t="str">
        <f>IFERROR(INDEX(G242:R242,1,MATCH(Parametres!$B$3,G$1:R$1,0)-1)*IF(OR(F242="L",F242="S",F242="I"),-1,1),"")</f>
        <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t="str">
        <f>IFERROR(INDEX(V242:AG242,1,MATCH(Parametres!$B$3,V$1:AG$1,0)-1)*IF(OR(C242="L",C242="S",C242="I"),-1,1),"")</f>
        <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t="str">
        <f>IFERROR(INDEX(G243:R243,1,MATCH(Parametres!$B$3,G$1:R$1,0)-1)*IF(OR(F243="L",F243="S",F243="I"),-1,1),"")</f>
        <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t="str">
        <f>IFERROR(INDEX(V243:AG243,1,MATCH(Parametres!$B$3,V$1:AG$1,0)-1)*IF(OR(C243="L",C243="S",C243="I"),-1,1),"")</f>
        <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t="str">
        <f>IFERROR(INDEX(G244:R244,1,MATCH(Parametres!$B$3,G$1:R$1,0)-1)*IF(OR(F244="L",F244="S",F244="I"),-1,1),"")</f>
        <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t="str">
        <f>IFERROR(INDEX(V244:AG244,1,MATCH(Parametres!$B$3,V$1:AG$1,0)-1)*IF(OR(C244="L",C244="S",C244="I"),-1,1),"")</f>
        <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t="str">
        <f>IFERROR(INDEX(G245:R245,1,MATCH(Parametres!$B$3,G$1:R$1,0)-1)*IF(OR(F245="L",F245="S",F245="I"),-1,1),"")</f>
        <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t="str">
        <f>IFERROR(INDEX(V245:AG245,1,MATCH(Parametres!$B$3,V$1:AG$1,0)-1)*IF(OR(C245="L",C245="S",C245="I"),-1,1),"")</f>
        <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t="str">
        <f>IFERROR(INDEX(G246:R246,1,MATCH(Parametres!$B$3,G$1:R$1,0)-1)*IF(OR(F246="L",F246="S",F246="I"),-1,1),"")</f>
        <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t="str">
        <f>IFERROR(INDEX(V246:AG246,1,MATCH(Parametres!$B$3,V$1:AG$1,0)-1)*IF(OR(C246="L",C246="S",C246="I"),-1,1),"")</f>
        <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t="str">
        <f>IFERROR(INDEX(G247:R247,1,MATCH(Parametres!$B$3,G$1:R$1,0)-1)*IF(OR(F247="L",F247="S",F247="I"),-1,1),"")</f>
        <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t="str">
        <f>IFERROR(INDEX(V247:AG247,1,MATCH(Parametres!$B$3,V$1:AG$1,0)-1)*IF(OR(C247="L",C247="S",C247="I"),-1,1),"")</f>
        <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t="str">
        <f>IFERROR(INDEX(G248:R248,1,MATCH(Parametres!$B$3,G$1:R$1,0)-1)*IF(OR(F248="L",F248="S",F248="I"),-1,1),"")</f>
        <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t="str">
        <f>IFERROR(INDEX(V248:AG248,1,MATCH(Parametres!$B$3,V$1:AG$1,0)-1)*IF(OR(C248="L",C248="S",C248="I"),-1,1),"")</f>
        <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t="str">
        <f>IFERROR(INDEX(G249:R249,1,MATCH(Parametres!$B$3,G$1:R$1,0)-1)*IF(OR(F249="L",F249="S",F249="I"),-1,1),"")</f>
        <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t="str">
        <f>IFERROR(INDEX(V249:AG249,1,MATCH(Parametres!$B$3,V$1:AG$1,0)-1)*IF(OR(C249="L",C249="S",C249="I"),-1,1),"")</f>
        <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t="str">
        <f>IFERROR(INDEX(G250:R250,1,MATCH(Parametres!$B$3,G$1:R$1,0)-1)*IF(OR(F250="L",F250="S",F250="I"),-1,1),"")</f>
        <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t="str">
        <f>IFERROR(INDEX(V250:AG250,1,MATCH(Parametres!$B$3,V$1:AG$1,0)-1)*IF(OR(C250="L",C250="S",C250="I"),-1,1),"")</f>
        <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t="str">
        <f>IFERROR(INDEX(G251:R251,1,MATCH(Parametres!$B$3,G$1:R$1,0)-1)*IF(OR(F251="L",F251="S",F251="I"),-1,1),"")</f>
        <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t="str">
        <f>IFERROR(INDEX(V251:AG251,1,MATCH(Parametres!$B$3,V$1:AG$1,0)-1)*IF(OR(C251="L",C251="S",C251="I"),-1,1),"")</f>
        <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t="str">
        <f>IFERROR(INDEX(G252:R252,1,MATCH(Parametres!$B$3,G$1:R$1,0)-1)*IF(OR(F252="L",F252="S",F252="I"),-1,1),"")</f>
        <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t="str">
        <f>IFERROR(INDEX(V252:AG252,1,MATCH(Parametres!$B$3,V$1:AG$1,0)-1)*IF(OR(C252="L",C252="S",C252="I"),-1,1),"")</f>
        <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t="str">
        <f>IFERROR(INDEX(G253:R253,1,MATCH(Parametres!$B$3,G$1:R$1,0)-1)*IF(OR(F253="L",F253="S",F253="I"),-1,1),"")</f>
        <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t="str">
        <f>IFERROR(INDEX(V253:AG253,1,MATCH(Parametres!$B$3,V$1:AG$1,0)-1)*IF(OR(C253="L",C253="S",C253="I"),-1,1),"")</f>
        <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t="str">
        <f>IFERROR(INDEX(G254:R254,1,MATCH(Parametres!$B$3,G$1:R$1,0)-1)*IF(OR(F254="L",F254="S",F254="I"),-1,1),"")</f>
        <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t="str">
        <f>IFERROR(INDEX(V254:AG254,1,MATCH(Parametres!$B$3,V$1:AG$1,0)-1)*IF(OR(C254="L",C254="S",C254="I"),-1,1),"")</f>
        <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t="str">
        <f>IFERROR(INDEX(G255:R255,1,MATCH(Parametres!$B$3,G$1:R$1,0)-1)*IF(OR(F255="L",F255="S",F255="I"),-1,1),"")</f>
        <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t="str">
        <f>IFERROR(INDEX(V255:AG255,1,MATCH(Parametres!$B$3,V$1:AG$1,0)-1)*IF(OR(C255="L",C255="S",C255="I"),-1,1),"")</f>
        <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t="str">
        <f>IFERROR(INDEX(G256:R256,1,MATCH(Parametres!$B$3,G$1:R$1,0)-1)*IF(OR(F256="L",F256="S",F256="I"),-1,1),"")</f>
        <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t="str">
        <f>IFERROR(INDEX(V256:AG256,1,MATCH(Parametres!$B$3,V$1:AG$1,0)-1)*IF(OR(C256="L",C256="S",C256="I"),-1,1),"")</f>
        <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t="str">
        <f>IFERROR(INDEX(G257:R257,1,MATCH(Parametres!$B$3,G$1:R$1,0)-1)*IF(OR(F257="L",F257="S",F257="I"),-1,1),"")</f>
        <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t="str">
        <f>IFERROR(INDEX(V257:AG257,1,MATCH(Parametres!$B$3,V$1:AG$1,0)-1)*IF(OR(C257="L",C257="S",C257="I"),-1,1),"")</f>
        <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t="str">
        <f>IFERROR(INDEX(G258:R258,1,MATCH(Parametres!$B$3,G$1:R$1,0)-1)*IF(OR(F258="L",F258="S",F258="I"),-1,1),"")</f>
        <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t="str">
        <f>IFERROR(INDEX(V258:AG258,1,MATCH(Parametres!$B$3,V$1:AG$1,0)-1)*IF(OR(C258="L",C258="S",C258="I"),-1,1),"")</f>
        <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2135.39</v>
      </c>
      <c r="M259" s="832">
        <v>2135.39</v>
      </c>
      <c r="N259" s="832">
        <v>2135.39</v>
      </c>
      <c r="O259" s="832">
        <v>0</v>
      </c>
      <c r="P259" s="832">
        <v>0</v>
      </c>
      <c r="Q259" s="832">
        <v>0</v>
      </c>
      <c r="R259" s="832">
        <v>0</v>
      </c>
      <c r="S259" s="832">
        <v>305.06</v>
      </c>
      <c r="T259" s="832">
        <v>305.06</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t="str">
        <f>IFERROR(INDEX(G259:R259,1,MATCH(Parametres!$B$3,G$1:R$1,0)-1)*IF(OR(F259="L",F259="S",F259="I"),-1,1),"")</f>
        <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t="str">
        <f>IFERROR(INDEX(V259:AG259,1,MATCH(Parametres!$B$3,V$1:AG$1,0)-1)*IF(OR(C259="L",C259="S",C259="I"),-1,1),"")</f>
        <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t="str">
        <f>IFERROR(INDEX(G260:R260,1,MATCH(Parametres!$B$3,G$1:R$1,0)-1)*IF(OR(F260="L",F260="S",F260="I"),-1,1),"")</f>
        <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t="str">
        <f>IFERROR(INDEX(V260:AG260,1,MATCH(Parametres!$B$3,V$1:AG$1,0)-1)*IF(OR(C260="L",C260="S",C260="I"),-1,1),"")</f>
        <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t="str">
        <f>IFERROR(INDEX(G261:R261,1,MATCH(Parametres!$B$3,G$1:R$1,0)-1)*IF(OR(F261="L",F261="S",F261="I"),-1,1),"")</f>
        <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t="str">
        <f>IFERROR(INDEX(V261:AG261,1,MATCH(Parametres!$B$3,V$1:AG$1,0)-1)*IF(OR(C261="L",C261="S",C261="I"),-1,1),"")</f>
        <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t="str">
        <f>IFERROR(INDEX(G262:R262,1,MATCH(Parametres!$B$3,G$1:R$1,0)-1)*IF(OR(F262="L",F262="S",F262="I"),-1,1),"")</f>
        <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t="str">
        <f>IFERROR(INDEX(V262:AG262,1,MATCH(Parametres!$B$3,V$1:AG$1,0)-1)*IF(OR(C262="L",C262="S",C262="I"),-1,1),"")</f>
        <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t="str">
        <f>IFERROR(INDEX(G263:R263,1,MATCH(Parametres!$B$3,G$1:R$1,0)-1)*IF(OR(F263="L",F263="S",F263="I"),-1,1),"")</f>
        <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t="str">
        <f>IFERROR(INDEX(V263:AG263,1,MATCH(Parametres!$B$3,V$1:AG$1,0)-1)*IF(OR(C263="L",C263="S",C263="I"),-1,1),"")</f>
        <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t="str">
        <f>IFERROR(INDEX(G264:R264,1,MATCH(Parametres!$B$3,G$1:R$1,0)-1)*IF(OR(F264="L",F264="S",F264="I"),-1,1),"")</f>
        <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t="str">
        <f>IFERROR(INDEX(V264:AG264,1,MATCH(Parametres!$B$3,V$1:AG$1,0)-1)*IF(OR(C264="L",C264="S",C264="I"),-1,1),"")</f>
        <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t="str">
        <f>IFERROR(INDEX(G265:R265,1,MATCH(Parametres!$B$3,G$1:R$1,0)-1)*IF(OR(F265="L",F265="S",F265="I"),-1,1),"")</f>
        <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t="str">
        <f>IFERROR(INDEX(V265:AG265,1,MATCH(Parametres!$B$3,V$1:AG$1,0)-1)*IF(OR(C265="L",C265="S",C265="I"),-1,1),"")</f>
        <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t="str">
        <f>IFERROR(INDEX(G266:R266,1,MATCH(Parametres!$B$3,G$1:R$1,0)-1)*IF(OR(F266="L",F266="S",F266="I"),-1,1),"")</f>
        <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t="str">
        <f>IFERROR(INDEX(V266:AG266,1,MATCH(Parametres!$B$3,V$1:AG$1,0)-1)*IF(OR(C266="L",C266="S",C266="I"),-1,1),"")</f>
        <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t="str">
        <f>IFERROR(INDEX(G267:R267,1,MATCH(Parametres!$B$3,G$1:R$1,0)-1)*IF(OR(F267="L",F267="S",F267="I"),-1,1),"")</f>
        <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t="str">
        <f>IFERROR(INDEX(V267:AG267,1,MATCH(Parametres!$B$3,V$1:AG$1,0)-1)*IF(OR(C267="L",C267="S",C267="I"),-1,1),"")</f>
        <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t="str">
        <f>IFERROR(INDEX(G268:R268,1,MATCH(Parametres!$B$3,G$1:R$1,0)-1)*IF(OR(F268="L",F268="S",F268="I"),-1,1),"")</f>
        <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t="str">
        <f>IFERROR(INDEX(V268:AG268,1,MATCH(Parametres!$B$3,V$1:AG$1,0)-1)*IF(OR(C268="L",C268="S",C268="I"),-1,1),"")</f>
        <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t="str">
        <f>IFERROR(INDEX(G269:R269,1,MATCH(Parametres!$B$3,G$1:R$1,0)-1)*IF(OR(F269="L",F269="S",F269="I"),-1,1),"")</f>
        <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t="str">
        <f>IFERROR(INDEX(V269:AG269,1,MATCH(Parametres!$B$3,V$1:AG$1,0)-1)*IF(OR(C269="L",C269="S",C269="I"),-1,1),"")</f>
        <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t="str">
        <f>IFERROR(INDEX(G270:R270,1,MATCH(Parametres!$B$3,G$1:R$1,0)-1)*IF(OR(F270="L",F270="S",F270="I"),-1,1),"")</f>
        <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t="str">
        <f>IFERROR(INDEX(V270:AG270,1,MATCH(Parametres!$B$3,V$1:AG$1,0)-1)*IF(OR(C270="L",C270="S",C270="I"),-1,1),"")</f>
        <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t="str">
        <f>IFERROR(INDEX(G271:R271,1,MATCH(Parametres!$B$3,G$1:R$1,0)-1)*IF(OR(F271="L",F271="S",F271="I"),-1,1),"")</f>
        <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t="str">
        <f>IFERROR(INDEX(V271:AG271,1,MATCH(Parametres!$B$3,V$1:AG$1,0)-1)*IF(OR(C271="L",C271="S",C271="I"),-1,1),"")</f>
        <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t="str">
        <f>IFERROR(INDEX(G272:R272,1,MATCH(Parametres!$B$3,G$1:R$1,0)-1)*IF(OR(F272="L",F272="S",F272="I"),-1,1),"")</f>
        <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t="str">
        <f>IFERROR(INDEX(V272:AG272,1,MATCH(Parametres!$B$3,V$1:AG$1,0)-1)*IF(OR(C272="L",C272="S",C272="I"),-1,1),"")</f>
        <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t="str">
        <f>IFERROR(INDEX(G273:R273,1,MATCH(Parametres!$B$3,G$1:R$1,0)-1)*IF(OR(F273="L",F273="S",F273="I"),-1,1),"")</f>
        <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t="str">
        <f>IFERROR(INDEX(V273:AG273,1,MATCH(Parametres!$B$3,V$1:AG$1,0)-1)*IF(OR(C273="L",C273="S",C273="I"),-1,1),"")</f>
        <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t="str">
        <f>IFERROR(INDEX(G274:R274,1,MATCH(Parametres!$B$3,G$1:R$1,0)-1)*IF(OR(F274="L",F274="S",F274="I"),-1,1),"")</f>
        <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t="str">
        <f>IFERROR(INDEX(V274:AG274,1,MATCH(Parametres!$B$3,V$1:AG$1,0)-1)*IF(OR(C274="L",C274="S",C274="I"),-1,1),"")</f>
        <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t="str">
        <f>IFERROR(INDEX(G275:R275,1,MATCH(Parametres!$B$3,G$1:R$1,0)-1)*IF(OR(F275="L",F275="S",F275="I"),-1,1),"")</f>
        <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t="str">
        <f>IFERROR(INDEX(V275:AG275,1,MATCH(Parametres!$B$3,V$1:AG$1,0)-1)*IF(OR(C275="L",C275="S",C275="I"),-1,1),"")</f>
        <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t="str">
        <f>IFERROR(INDEX(G276:R276,1,MATCH(Parametres!$B$3,G$1:R$1,0)-1)*IF(OR(F276="L",F276="S",F276="I"),-1,1),"")</f>
        <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t="str">
        <f>IFERROR(INDEX(V276:AG276,1,MATCH(Parametres!$B$3,V$1:AG$1,0)-1)*IF(OR(C276="L",C276="S",C276="I"),-1,1),"")</f>
        <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t="str">
        <f>IFERROR(INDEX(G277:R277,1,MATCH(Parametres!$B$3,G$1:R$1,0)-1)*IF(OR(F277="L",F277="S",F277="I"),-1,1),"")</f>
        <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t="str">
        <f>IFERROR(INDEX(V277:AG277,1,MATCH(Parametres!$B$3,V$1:AG$1,0)-1)*IF(OR(C277="L",C277="S",C277="I"),-1,1),"")</f>
        <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t="str">
        <f>IFERROR(INDEX(G278:R278,1,MATCH(Parametres!$B$3,G$1:R$1,0)-1)*IF(OR(F278="L",F278="S",F278="I"),-1,1),"")</f>
        <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t="str">
        <f>IFERROR(INDEX(V278:AG278,1,MATCH(Parametres!$B$3,V$1:AG$1,0)-1)*IF(OR(C278="L",C278="S",C278="I"),-1,1),"")</f>
        <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t="str">
        <f>IFERROR(INDEX(G279:R279,1,MATCH(Parametres!$B$3,G$1:R$1,0)-1)*IF(OR(F279="L",F279="S",F279="I"),-1,1),"")</f>
        <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t="str">
        <f>IFERROR(INDEX(V279:AG279,1,MATCH(Parametres!$B$3,V$1:AG$1,0)-1)*IF(OR(C279="L",C279="S",C279="I"),-1,1),"")</f>
        <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t="str">
        <f>IFERROR(INDEX(G280:R280,1,MATCH(Parametres!$B$3,G$1:R$1,0)-1)*IF(OR(F280="L",F280="S",F280="I"),-1,1),"")</f>
        <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t="str">
        <f>IFERROR(INDEX(V280:AG280,1,MATCH(Parametres!$B$3,V$1:AG$1,0)-1)*IF(OR(C280="L",C280="S",C280="I"),-1,1),"")</f>
        <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t="str">
        <f>IFERROR(INDEX(G281:R281,1,MATCH(Parametres!$B$3,G$1:R$1,0)-1)*IF(OR(F281="L",F281="S",F281="I"),-1,1),"")</f>
        <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t="str">
        <f>IFERROR(INDEX(V281:AG281,1,MATCH(Parametres!$B$3,V$1:AG$1,0)-1)*IF(OR(C281="L",C281="S",C281="I"),-1,1),"")</f>
        <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t="str">
        <f>IFERROR(INDEX(G282:R282,1,MATCH(Parametres!$B$3,G$1:R$1,0)-1)*IF(OR(F282="L",F282="S",F282="I"),-1,1),"")</f>
        <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t="str">
        <f>IFERROR(INDEX(V282:AG282,1,MATCH(Parametres!$B$3,V$1:AG$1,0)-1)*IF(OR(C282="L",C282="S",C282="I"),-1,1),"")</f>
        <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t="str">
        <f>IFERROR(INDEX(G283:R283,1,MATCH(Parametres!$B$3,G$1:R$1,0)-1)*IF(OR(F283="L",F283="S",F283="I"),-1,1),"")</f>
        <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t="str">
        <f>IFERROR(INDEX(V283:AG283,1,MATCH(Parametres!$B$3,V$1:AG$1,0)-1)*IF(OR(C283="L",C283="S",C283="I"),-1,1),"")</f>
        <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t="str">
        <f>IFERROR(INDEX(G284:R284,1,MATCH(Parametres!$B$3,G$1:R$1,0)-1)*IF(OR(F284="L",F284="S",F284="I"),-1,1),"")</f>
        <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t="str">
        <f>IFERROR(INDEX(V284:AG284,1,MATCH(Parametres!$B$3,V$1:AG$1,0)-1)*IF(OR(C284="L",C284="S",C284="I"),-1,1),"")</f>
        <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t="str">
        <f>IFERROR(INDEX(G285:R285,1,MATCH(Parametres!$B$3,G$1:R$1,0)-1)*IF(OR(F285="L",F285="S",F285="I"),-1,1),"")</f>
        <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t="str">
        <f>IFERROR(INDEX(V285:AG285,1,MATCH(Parametres!$B$3,V$1:AG$1,0)-1)*IF(OR(C285="L",C285="S",C285="I"),-1,1),"")</f>
        <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t="str">
        <f>IFERROR(INDEX(G286:R286,1,MATCH(Parametres!$B$3,G$1:R$1,0)-1)*IF(OR(F286="L",F286="S",F286="I"),-1,1),"")</f>
        <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t="str">
        <f>IFERROR(INDEX(V286:AG286,1,MATCH(Parametres!$B$3,V$1:AG$1,0)-1)*IF(OR(C286="L",C286="S",C286="I"),-1,1),"")</f>
        <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t="str">
        <f>IFERROR(INDEX(G287:R287,1,MATCH(Parametres!$B$3,G$1:R$1,0)-1)*IF(OR(F287="L",F287="S",F287="I"),-1,1),"")</f>
        <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t="str">
        <f>IFERROR(INDEX(V287:AG287,1,MATCH(Parametres!$B$3,V$1:AG$1,0)-1)*IF(OR(C287="L",C287="S",C287="I"),-1,1),"")</f>
        <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t="str">
        <f>IFERROR(INDEX(G288:R288,1,MATCH(Parametres!$B$3,G$1:R$1,0)-1)*IF(OR(F288="L",F288="S",F288="I"),-1,1),"")</f>
        <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t="str">
        <f>IFERROR(INDEX(V288:AG288,1,MATCH(Parametres!$B$3,V$1:AG$1,0)-1)*IF(OR(C288="L",C288="S",C288="I"),-1,1),"")</f>
        <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t="str">
        <f>IFERROR(INDEX(G289:R289,1,MATCH(Parametres!$B$3,G$1:R$1,0)-1)*IF(OR(F289="L",F289="S",F289="I"),-1,1),"")</f>
        <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t="str">
        <f>IFERROR(INDEX(V289:AG289,1,MATCH(Parametres!$B$3,V$1:AG$1,0)-1)*IF(OR(C289="L",C289="S",C289="I"),-1,1),"")</f>
        <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t="str">
        <f>IFERROR(INDEX(G290:R290,1,MATCH(Parametres!$B$3,G$1:R$1,0)-1)*IF(OR(F290="L",F290="S",F290="I"),-1,1),"")</f>
        <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t="str">
        <f>IFERROR(INDEX(V290:AG290,1,MATCH(Parametres!$B$3,V$1:AG$1,0)-1)*IF(OR(C290="L",C290="S",C290="I"),-1,1),"")</f>
        <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t="str">
        <f>IFERROR(INDEX(G291:R291,1,MATCH(Parametres!$B$3,G$1:R$1,0)-1)*IF(OR(F291="L",F291="S",F291="I"),-1,1),"")</f>
        <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t="str">
        <f>IFERROR(INDEX(V291:AG291,1,MATCH(Parametres!$B$3,V$1:AG$1,0)-1)*IF(OR(C291="L",C291="S",C291="I"),-1,1),"")</f>
        <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t="str">
        <f>IFERROR(INDEX(G292:R292,1,MATCH(Parametres!$B$3,G$1:R$1,0)-1)*IF(OR(F292="L",F292="S",F292="I"),-1,1),"")</f>
        <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t="str">
        <f>IFERROR(INDEX(V292:AG292,1,MATCH(Parametres!$B$3,V$1:AG$1,0)-1)*IF(OR(C292="L",C292="S",C292="I"),-1,1),"")</f>
        <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t="str">
        <f>IFERROR(INDEX(G293:R293,1,MATCH(Parametres!$B$3,G$1:R$1,0)-1)*IF(OR(F293="L",F293="S",F293="I"),-1,1),"")</f>
        <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t="str">
        <f>IFERROR(INDEX(V293:AG293,1,MATCH(Parametres!$B$3,V$1:AG$1,0)-1)*IF(OR(C293="L",C293="S",C293="I"),-1,1),"")</f>
        <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t="str">
        <f>IFERROR(INDEX(G294:R294,1,MATCH(Parametres!$B$3,G$1:R$1,0)-1)*IF(OR(F294="L",F294="S",F294="I"),-1,1),"")</f>
        <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t="str">
        <f>IFERROR(INDEX(V294:AG294,1,MATCH(Parametres!$B$3,V$1:AG$1,0)-1)*IF(OR(C294="L",C294="S",C294="I"),-1,1),"")</f>
        <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t="str">
        <f>IFERROR(INDEX(G295:R295,1,MATCH(Parametres!$B$3,G$1:R$1,0)-1)*IF(OR(F295="L",F295="S",F295="I"),-1,1),"")</f>
        <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t="str">
        <f>IFERROR(INDEX(V295:AG295,1,MATCH(Parametres!$B$3,V$1:AG$1,0)-1)*IF(OR(C295="L",C295="S",C295="I"),-1,1),"")</f>
        <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t="str">
        <f>IFERROR(INDEX(G296:R296,1,MATCH(Parametres!$B$3,G$1:R$1,0)-1)*IF(OR(F296="L",F296="S",F296="I"),-1,1),"")</f>
        <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t="str">
        <f>IFERROR(INDEX(V296:AG296,1,MATCH(Parametres!$B$3,V$1:AG$1,0)-1)*IF(OR(C296="L",C296="S",C296="I"),-1,1),"")</f>
        <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t="str">
        <f>IFERROR(INDEX(G297:R297,1,MATCH(Parametres!$B$3,G$1:R$1,0)-1)*IF(OR(F297="L",F297="S",F297="I"),-1,1),"")</f>
        <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t="str">
        <f>IFERROR(INDEX(V297:AG297,1,MATCH(Parametres!$B$3,V$1:AG$1,0)-1)*IF(OR(C297="L",C297="S",C297="I"),-1,1),"")</f>
        <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t="str">
        <f>IFERROR(INDEX(G298:R298,1,MATCH(Parametres!$B$3,G$1:R$1,0)-1)*IF(OR(F298="L",F298="S",F298="I"),-1,1),"")</f>
        <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t="str">
        <f>IFERROR(INDEX(V298:AG298,1,MATCH(Parametres!$B$3,V$1:AG$1,0)-1)*IF(OR(C298="L",C298="S",C298="I"),-1,1),"")</f>
        <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t="str">
        <f>IFERROR(INDEX(G299:R299,1,MATCH(Parametres!$B$3,G$1:R$1,0)-1)*IF(OR(F299="L",F299="S",F299="I"),-1,1),"")</f>
        <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t="str">
        <f>IFERROR(INDEX(V299:AG299,1,MATCH(Parametres!$B$3,V$1:AG$1,0)-1)*IF(OR(C299="L",C299="S",C299="I"),-1,1),"")</f>
        <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t="str">
        <f>IFERROR(INDEX(G300:R300,1,MATCH(Parametres!$B$3,G$1:R$1,0)-1)*IF(OR(F300="L",F300="S",F300="I"),-1,1),"")</f>
        <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t="str">
        <f>IFERROR(INDEX(V300:AG300,1,MATCH(Parametres!$B$3,V$1:AG$1,0)-1)*IF(OR(C300="L",C300="S",C300="I"),-1,1),"")</f>
        <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t="str">
        <f>IFERROR(INDEX(G301:R301,1,MATCH(Parametres!$B$3,G$1:R$1,0)-1)*IF(OR(F301="L",F301="S",F301="I"),-1,1),"")</f>
        <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t="str">
        <f>IFERROR(INDEX(V301:AG301,1,MATCH(Parametres!$B$3,V$1:AG$1,0)-1)*IF(OR(C301="L",C301="S",C301="I"),-1,1),"")</f>
        <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t="str">
        <f>IFERROR(INDEX(G302:R302,1,MATCH(Parametres!$B$3,G$1:R$1,0)-1)*IF(OR(F302="L",F302="S",F302="I"),-1,1),"")</f>
        <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t="str">
        <f>IFERROR(INDEX(V302:AG302,1,MATCH(Parametres!$B$3,V$1:AG$1,0)-1)*IF(OR(C302="L",C302="S",C302="I"),-1,1),"")</f>
        <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t="str">
        <f>IFERROR(INDEX(G303:R303,1,MATCH(Parametres!$B$3,G$1:R$1,0)-1)*IF(OR(F303="L",F303="S",F303="I"),-1,1),"")</f>
        <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t="str">
        <f>IFERROR(INDEX(V303:AG303,1,MATCH(Parametres!$B$3,V$1:AG$1,0)-1)*IF(OR(C303="L",C303="S",C303="I"),-1,1),"")</f>
        <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t="str">
        <f>IFERROR(INDEX(G304:R304,1,MATCH(Parametres!$B$3,G$1:R$1,0)-1)*IF(OR(F304="L",F304="S",F304="I"),-1,1),"")</f>
        <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t="str">
        <f>IFERROR(INDEX(V304:AG304,1,MATCH(Parametres!$B$3,V$1:AG$1,0)-1)*IF(OR(C304="L",C304="S",C304="I"),-1,1),"")</f>
        <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t="str">
        <f>IFERROR(INDEX(G305:R305,1,MATCH(Parametres!$B$3,G$1:R$1,0)-1)*IF(OR(F305="L",F305="S",F305="I"),-1,1),"")</f>
        <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t="str">
        <f>IFERROR(INDEX(V305:AG305,1,MATCH(Parametres!$B$3,V$1:AG$1,0)-1)*IF(OR(C305="L",C305="S",C305="I"),-1,1),"")</f>
        <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t="str">
        <f>IFERROR(INDEX(G306:R306,1,MATCH(Parametres!$B$3,G$1:R$1,0)-1)*IF(OR(F306="L",F306="S",F306="I"),-1,1),"")</f>
        <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t="str">
        <f>IFERROR(INDEX(V306:AG306,1,MATCH(Parametres!$B$3,V$1:AG$1,0)-1)*IF(OR(C306="L",C306="S",C306="I"),-1,1),"")</f>
        <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t="str">
        <f>IFERROR(INDEX(G307:R307,1,MATCH(Parametres!$B$3,G$1:R$1,0)-1)*IF(OR(F307="L",F307="S",F307="I"),-1,1),"")</f>
        <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t="str">
        <f>IFERROR(INDEX(V307:AG307,1,MATCH(Parametres!$B$3,V$1:AG$1,0)-1)*IF(OR(C307="L",C307="S",C307="I"),-1,1),"")</f>
        <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t="str">
        <f>IFERROR(INDEX(G308:R308,1,MATCH(Parametres!$B$3,G$1:R$1,0)-1)*IF(OR(F308="L",F308="S",F308="I"),-1,1),"")</f>
        <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t="str">
        <f>IFERROR(INDEX(V308:AG308,1,MATCH(Parametres!$B$3,V$1:AG$1,0)-1)*IF(OR(C308="L",C308="S",C308="I"),-1,1),"")</f>
        <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t="str">
        <f>IFERROR(INDEX(G309:R309,1,MATCH(Parametres!$B$3,G$1:R$1,0)-1)*IF(OR(F309="L",F309="S",F309="I"),-1,1),"")</f>
        <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t="str">
        <f>IFERROR(INDEX(V309:AG309,1,MATCH(Parametres!$B$3,V$1:AG$1,0)-1)*IF(OR(C309="L",C309="S",C309="I"),-1,1),"")</f>
        <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t="str">
        <f>IFERROR(INDEX(G310:R310,1,MATCH(Parametres!$B$3,G$1:R$1,0)-1)*IF(OR(F310="L",F310="S",F310="I"),-1,1),"")</f>
        <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t="str">
        <f>IFERROR(INDEX(V310:AG310,1,MATCH(Parametres!$B$3,V$1:AG$1,0)-1)*IF(OR(C310="L",C310="S",C310="I"),-1,1),"")</f>
        <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t="str">
        <f>IFERROR(INDEX(G311:R311,1,MATCH(Parametres!$B$3,G$1:R$1,0)-1)*IF(OR(F311="L",F311="S",F311="I"),-1,1),"")</f>
        <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t="str">
        <f>IFERROR(INDEX(V311:AG311,1,MATCH(Parametres!$B$3,V$1:AG$1,0)-1)*IF(OR(C311="L",C311="S",C311="I"),-1,1),"")</f>
        <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t="str">
        <f>IFERROR(INDEX(G312:R312,1,MATCH(Parametres!$B$3,G$1:R$1,0)-1)*IF(OR(F312="L",F312="S",F312="I"),-1,1),"")</f>
        <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t="str">
        <f>IFERROR(INDEX(V312:AG312,1,MATCH(Parametres!$B$3,V$1:AG$1,0)-1)*IF(OR(C312="L",C312="S",C312="I"),-1,1),"")</f>
        <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t="str">
        <f>IFERROR(INDEX(G313:R313,1,MATCH(Parametres!$B$3,G$1:R$1,0)-1)*IF(OR(F313="L",F313="S",F313="I"),-1,1),"")</f>
        <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t="str">
        <f>IFERROR(INDEX(V313:AG313,1,MATCH(Parametres!$B$3,V$1:AG$1,0)-1)*IF(OR(C313="L",C313="S",C313="I"),-1,1),"")</f>
        <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t="str">
        <f>IFERROR(INDEX(G314:R314,1,MATCH(Parametres!$B$3,G$1:R$1,0)-1)*IF(OR(F314="L",F314="S",F314="I"),-1,1),"")</f>
        <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t="str">
        <f>IFERROR(INDEX(V314:AG314,1,MATCH(Parametres!$B$3,V$1:AG$1,0)-1)*IF(OR(C314="L",C314="S",C314="I"),-1,1),"")</f>
        <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t="str">
        <f>IFERROR(INDEX(G315:R315,1,MATCH(Parametres!$B$3,G$1:R$1,0)-1)*IF(OR(F315="L",F315="S",F315="I"),-1,1),"")</f>
        <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t="str">
        <f>IFERROR(INDEX(V315:AG315,1,MATCH(Parametres!$B$3,V$1:AG$1,0)-1)*IF(OR(C315="L",C315="S",C315="I"),-1,1),"")</f>
        <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t="str">
        <f>IFERROR(INDEX(G316:R316,1,MATCH(Parametres!$B$3,G$1:R$1,0)-1)*IF(OR(F316="L",F316="S",F316="I"),-1,1),"")</f>
        <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t="str">
        <f>IFERROR(INDEX(V316:AG316,1,MATCH(Parametres!$B$3,V$1:AG$1,0)-1)*IF(OR(C316="L",C316="S",C316="I"),-1,1),"")</f>
        <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t="str">
        <f>IFERROR(INDEX(G317:R317,1,MATCH(Parametres!$B$3,G$1:R$1,0)-1)*IF(OR(F317="L",F317="S",F317="I"),-1,1),"")</f>
        <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t="str">
        <f>IFERROR(INDEX(V317:AG317,1,MATCH(Parametres!$B$3,V$1:AG$1,0)-1)*IF(OR(C317="L",C317="S",C317="I"),-1,1),"")</f>
        <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t="str">
        <f>IFERROR(INDEX(G318:R318,1,MATCH(Parametres!$B$3,G$1:R$1,0)-1)*IF(OR(F318="L",F318="S",F318="I"),-1,1),"")</f>
        <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t="str">
        <f>IFERROR(INDEX(V318:AG318,1,MATCH(Parametres!$B$3,V$1:AG$1,0)-1)*IF(OR(C318="L",C318="S",C318="I"),-1,1),"")</f>
        <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t="str">
        <f>IFERROR(INDEX(G319:R319,1,MATCH(Parametres!$B$3,G$1:R$1,0)-1)*IF(OR(F319="L",F319="S",F319="I"),-1,1),"")</f>
        <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t="str">
        <f>IFERROR(INDEX(V319:AG319,1,MATCH(Parametres!$B$3,V$1:AG$1,0)-1)*IF(OR(C319="L",C319="S",C319="I"),-1,1),"")</f>
        <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t="str">
        <f>IFERROR(INDEX(G320:R320,1,MATCH(Parametres!$B$3,G$1:R$1,0)-1)*IF(OR(F320="L",F320="S",F320="I"),-1,1),"")</f>
        <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t="str">
        <f>IFERROR(INDEX(V320:AG320,1,MATCH(Parametres!$B$3,V$1:AG$1,0)-1)*IF(OR(C320="L",C320="S",C320="I"),-1,1),"")</f>
        <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t="str">
        <f>IFERROR(INDEX(G321:R321,1,MATCH(Parametres!$B$3,G$1:R$1,0)-1)*IF(OR(F321="L",F321="S",F321="I"),-1,1),"")</f>
        <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t="str">
        <f>IFERROR(INDEX(V321:AG321,1,MATCH(Parametres!$B$3,V$1:AG$1,0)-1)*IF(OR(C321="L",C321="S",C321="I"),-1,1),"")</f>
        <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t="str">
        <f>IFERROR(INDEX(G322:R322,1,MATCH(Parametres!$B$3,G$1:R$1,0)-1)*IF(OR(F322="L",F322="S",F322="I"),-1,1),"")</f>
        <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t="str">
        <f>IFERROR(INDEX(V322:AG322,1,MATCH(Parametres!$B$3,V$1:AG$1,0)-1)*IF(OR(C322="L",C322="S",C322="I"),-1,1),"")</f>
        <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t="str">
        <f>IFERROR(INDEX(G323:R323,1,MATCH(Parametres!$B$3,G$1:R$1,0)-1)*IF(OR(F323="L",F323="S",F323="I"),-1,1),"")</f>
        <v/>
      </c>
      <c r="AM323" s="1030">
        <f t="shared" si="26"/>
        <v>1220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t="str">
        <f>IFERROR(INDEX(V323:AG323,1,MATCH(Parametres!$B$3,V$1:AG$1,0)-1)*IF(OR(C323="L",C323="S",C323="I"),-1,1),"")</f>
        <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t="str">
        <f>IFERROR(INDEX(G324:R324,1,MATCH(Parametres!$B$3,G$1:R$1,0)-1)*IF(OR(F324="L",F324="S",F324="I"),-1,1),"")</f>
        <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t="str">
        <f>IFERROR(INDEX(V324:AG324,1,MATCH(Parametres!$B$3,V$1:AG$1,0)-1)*IF(OR(C324="L",C324="S",C324="I"),-1,1),"")</f>
        <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t="str">
        <f>IFERROR(INDEX(G325:R325,1,MATCH(Parametres!$B$3,G$1:R$1,0)-1)*IF(OR(F325="L",F325="S",F325="I"),-1,1),"")</f>
        <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t="str">
        <f>IFERROR(INDEX(V325:AG325,1,MATCH(Parametres!$B$3,V$1:AG$1,0)-1)*IF(OR(C325="L",C325="S",C325="I"),-1,1),"")</f>
        <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t="str">
        <f>IFERROR(INDEX(G326:R326,1,MATCH(Parametres!$B$3,G$1:R$1,0)-1)*IF(OR(F326="L",F326="S",F326="I"),-1,1),"")</f>
        <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t="str">
        <f>IFERROR(INDEX(V326:AG326,1,MATCH(Parametres!$B$3,V$1:AG$1,0)-1)*IF(OR(C326="L",C326="S",C326="I"),-1,1),"")</f>
        <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t="str">
        <f>IFERROR(INDEX(G327:R327,1,MATCH(Parametres!$B$3,G$1:R$1,0)-1)*IF(OR(F327="L",F327="S",F327="I"),-1,1),"")</f>
        <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t="str">
        <f>IFERROR(INDEX(V327:AG327,1,MATCH(Parametres!$B$3,V$1:AG$1,0)-1)*IF(OR(C327="L",C327="S",C327="I"),-1,1),"")</f>
        <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t="str">
        <f>IFERROR(INDEX(G328:R328,1,MATCH(Parametres!$B$3,G$1:R$1,0)-1)*IF(OR(F328="L",F328="S",F328="I"),-1,1),"")</f>
        <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t="str">
        <f>IFERROR(INDEX(V328:AG328,1,MATCH(Parametres!$B$3,V$1:AG$1,0)-1)*IF(OR(C328="L",C328="S",C328="I"),-1,1),"")</f>
        <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t="str">
        <f>IFERROR(INDEX(G329:R329,1,MATCH(Parametres!$B$3,G$1:R$1,0)-1)*IF(OR(F329="L",F329="S",F329="I"),-1,1),"")</f>
        <v/>
      </c>
      <c r="AM329" s="1030">
        <f t="shared" si="32"/>
        <v>3500000</v>
      </c>
      <c r="AN329" s="1030">
        <f>INDEX(G329:R329,1,MATCH(Parametres!$B$3,G$1:R$1,0))*IF(OR(F329="L",F329="S",F329="I"),-1,1)</f>
        <v>3500000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t="str">
        <f>IFERROR(INDEX(V329:AG329,1,MATCH(Parametres!$B$3,V$1:AG$1,0)-1)*IF(OR(C329="L",C329="S",C329="I"),-1,1),"")</f>
        <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5337405.83</v>
      </c>
      <c r="L330" s="832">
        <v>5258968.08</v>
      </c>
      <c r="M330" s="832">
        <v>5258968.08</v>
      </c>
      <c r="N330" s="832">
        <v>5190404.5</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t="str">
        <f>IFERROR(INDEX(G330:R330,1,MATCH(Parametres!$B$3,G$1:R$1,0)-1)*IF(OR(F330="L",F330="S",F330="I"),-1,1),"")</f>
        <v/>
      </c>
      <c r="AM330" s="1030">
        <f t="shared" si="32"/>
        <v>3334666.43</v>
      </c>
      <c r="AN330" s="1030">
        <f>INDEX(G330:R330,1,MATCH(Parametres!$B$3,G$1:R$1,0))*IF(OR(F330="L",F330="S",F330="I"),-1,1)</f>
        <v>3334666.43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t="str">
        <f>IFERROR(INDEX(V330:AG330,1,MATCH(Parametres!$B$3,V$1:AG$1,0)-1)*IF(OR(C330="L",C330="S",C330="I"),-1,1),"")</f>
        <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2026</v>
      </c>
      <c r="C331" s="832" t="s">
        <v>1807</v>
      </c>
      <c r="D331" s="832" t="s">
        <v>1808</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t="str">
        <f>IFERROR(INDEX(G331:R331,1,MATCH(Parametres!$B$3,G$1:R$1,0)-1)*IF(OR(F331="L",F331="S",F331="I"),-1,1),"")</f>
        <v/>
      </c>
      <c r="AM331" s="1030">
        <f t="shared" si="32"/>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33"/>
        <v>H10500</v>
      </c>
      <c r="AU331" s="599" t="str">
        <f t="shared" si="34"/>
        <v>RBC NO 2</v>
      </c>
      <c r="AV331" s="1030" t="str">
        <f>IFERROR(INDEX(V331:AG331,1,MATCH(Parametres!$B$3,V$1:AG$1,0)-1)*IF(OR(C331="L",C331="S",C331="I"),-1,1),"")</f>
        <v/>
      </c>
      <c r="AW331" s="1030">
        <f t="shared" si="35"/>
        <v>0</v>
      </c>
      <c r="AX331" s="1030">
        <f>INDEX(V331:AG331,1,MATCH(Parametres!$B$3,V$1:AG$1,0))*IF(OR(C331="L",C331="S",C331="I"),-1,1)</f>
        <v>0</v>
      </c>
      <c r="AY331" s="598" t="s">
        <v>337</v>
      </c>
      <c r="AZ331" s="598" t="e">
        <f>+VLOOKUP($AJ331,Data_Validation!$A:$E,5,0)</f>
        <v>#N/A</v>
      </c>
    </row>
    <row r="332" spans="1:52" ht="15" customHeight="1">
      <c r="A332" s="832" t="s">
        <v>1150</v>
      </c>
      <c r="B332" s="832">
        <v>2026</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t="str">
        <f>IFERROR(INDEX(G332:R332,1,MATCH(Parametres!$B$3,G$1:R$1,0)-1)*IF(OR(F332="L",F332="S",F332="I"),-1,1),"")</f>
        <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t="str">
        <f>IFERROR(INDEX(V332:AG332,1,MATCH(Parametres!$B$3,V$1:AG$1,0)-1)*IF(OR(C332="L",C332="S",C332="I"),-1,1),"")</f>
        <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2026</v>
      </c>
      <c r="C333" s="832" t="s">
        <v>1811</v>
      </c>
      <c r="D333" s="832" t="s">
        <v>1812</v>
      </c>
      <c r="E333" s="832" t="s">
        <v>1813</v>
      </c>
      <c r="F333" s="832" t="s">
        <v>1792</v>
      </c>
      <c r="G333" s="832">
        <v>0</v>
      </c>
      <c r="H333" s="832">
        <v>245485.96</v>
      </c>
      <c r="I333" s="832">
        <v>135688.51999999999</v>
      </c>
      <c r="J333" s="832">
        <v>467936.05</v>
      </c>
      <c r="K333" s="832">
        <v>-1238686.77</v>
      </c>
      <c r="L333" s="832">
        <v>-1238686.77</v>
      </c>
      <c r="M333" s="832">
        <v>-1238686.77</v>
      </c>
      <c r="N333" s="832">
        <v>-1238686.77</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t="str">
        <f>IFERROR(INDEX(G333:R333,1,MATCH(Parametres!$B$3,G$1:R$1,0)-1)*IF(OR(F333="L",F333="S",F333="I"),-1,1),"")</f>
        <v/>
      </c>
      <c r="AM333" s="1030">
        <f t="shared" si="32"/>
        <v>0</v>
      </c>
      <c r="AN333" s="1030">
        <f>INDEX(G333:R333,1,MATCH(Parametres!$B$3,G$1:R$1,0))*IF(OR(F333="L",F333="S",F333="I"),-1,1)</f>
        <v>0</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t="str">
        <f>IFERROR(INDEX(V333:AG333,1,MATCH(Parametres!$B$3,V$1:AG$1,0)-1)*IF(OR(C333="L",C333="S",C333="I"),-1,1),"")</f>
        <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2026</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t="str">
        <f>IFERROR(INDEX(G334:R334,1,MATCH(Parametres!$B$3,G$1:R$1,0)-1)*IF(OR(F334="L",F334="S",F334="I"),-1,1),"")</f>
        <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t="str">
        <f>IFERROR(INDEX(V334:AG334,1,MATCH(Parametres!$B$3,V$1:AG$1,0)-1)*IF(OR(C334="L",C334="S",C334="I"),-1,1),"")</f>
        <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2026</v>
      </c>
      <c r="C335" s="832" t="s">
        <v>1816</v>
      </c>
      <c r="D335" s="832" t="s">
        <v>1817</v>
      </c>
      <c r="E335" s="832" t="s">
        <v>1792</v>
      </c>
      <c r="F335" s="832" t="s">
        <v>1792</v>
      </c>
      <c r="G335" s="832">
        <v>-1023.85</v>
      </c>
      <c r="H335" s="832">
        <v>3688.84</v>
      </c>
      <c r="I335" s="832">
        <v>-666.71</v>
      </c>
      <c r="J335" s="832">
        <v>1453.36</v>
      </c>
      <c r="K335" s="832">
        <v>2163.5</v>
      </c>
      <c r="L335" s="832">
        <v>13505.67</v>
      </c>
      <c r="M335" s="832">
        <v>13505.67</v>
      </c>
      <c r="N335" s="832">
        <v>13505.67</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t="str">
        <f>IFERROR(INDEX(G335:R335,1,MATCH(Parametres!$B$3,G$1:R$1,0)-1)*IF(OR(F335="L",F335="S",F335="I"),-1,1),"")</f>
        <v/>
      </c>
      <c r="AM335" s="1030">
        <f t="shared" si="32"/>
        <v>-1023.85</v>
      </c>
      <c r="AN335" s="1030">
        <f>INDEX(G335:R335,1,MATCH(Parametres!$B$3,G$1:R$1,0))*IF(OR(F335="L",F335="S",F335="I"),-1,1)</f>
        <v>-1023.85</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t="str">
        <f>IFERROR(INDEX(V335:AG335,1,MATCH(Parametres!$B$3,V$1:AG$1,0)-1)*IF(OR(C335="L",C335="S",C335="I"),-1,1),"")</f>
        <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2026</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t="str">
        <f>IFERROR(INDEX(G336:R336,1,MATCH(Parametres!$B$3,G$1:R$1,0)-1)*IF(OR(F336="L",F336="S",F336="I"),-1,1),"")</f>
        <v/>
      </c>
      <c r="AM336" s="1030">
        <f t="shared" si="32"/>
        <v>257.58999999999997</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t="str">
        <f>IFERROR(INDEX(V336:AG336,1,MATCH(Parametres!$B$3,V$1:AG$1,0)-1)*IF(OR(C336="L",C336="S",C336="I"),-1,1),"")</f>
        <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2026</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t="str">
        <f>IFERROR(INDEX(G337:R337,1,MATCH(Parametres!$B$3,G$1:R$1,0)-1)*IF(OR(F337="L",F337="S",F337="I"),-1,1),"")</f>
        <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t="str">
        <f>IFERROR(INDEX(V337:AG337,1,MATCH(Parametres!$B$3,V$1:AG$1,0)-1)*IF(OR(C337="L",C337="S",C337="I"),-1,1),"")</f>
        <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2026</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t="str">
        <f>IFERROR(INDEX(G338:R338,1,MATCH(Parametres!$B$3,G$1:R$1,0)-1)*IF(OR(F338="L",F338="S",F338="I"),-1,1),"")</f>
        <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t="str">
        <f>IFERROR(INDEX(V338:AG338,1,MATCH(Parametres!$B$3,V$1:AG$1,0)-1)*IF(OR(C338="L",C338="S",C338="I"),-1,1),"")</f>
        <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2026</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t="str">
        <f>IFERROR(INDEX(G339:R339,1,MATCH(Parametres!$B$3,G$1:R$1,0)-1)*IF(OR(F339="L",F339="S",F339="I"),-1,1),"")</f>
        <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t="str">
        <f>IFERROR(INDEX(V339:AG339,1,MATCH(Parametres!$B$3,V$1:AG$1,0)-1)*IF(OR(C339="L",C339="S",C339="I"),-1,1),"")</f>
        <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2026</v>
      </c>
      <c r="C340" s="832" t="s">
        <v>1826</v>
      </c>
      <c r="D340" s="832" t="s">
        <v>1827</v>
      </c>
      <c r="E340" s="832" t="s">
        <v>1792</v>
      </c>
      <c r="F340" s="832" t="s">
        <v>1792</v>
      </c>
      <c r="G340" s="832">
        <v>572314.31999999995</v>
      </c>
      <c r="H340" s="832">
        <v>523711.52</v>
      </c>
      <c r="I340" s="832">
        <v>587090.16</v>
      </c>
      <c r="J340" s="832">
        <v>706411.47</v>
      </c>
      <c r="K340" s="832">
        <v>728855.5</v>
      </c>
      <c r="L340" s="832">
        <v>751991.4</v>
      </c>
      <c r="M340" s="832">
        <v>751991.4</v>
      </c>
      <c r="N340" s="832">
        <v>751991.4</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t="str">
        <f>IFERROR(INDEX(G340:R340,1,MATCH(Parametres!$B$3,G$1:R$1,0)-1)*IF(OR(F340="L",F340="S",F340="I"),-1,1),"")</f>
        <v/>
      </c>
      <c r="AM340" s="1030">
        <f t="shared" si="32"/>
        <v>572314.31999999995</v>
      </c>
      <c r="AN340" s="1030">
        <f>INDEX(G340:R340,1,MATCH(Parametres!$B$3,G$1:R$1,0))*IF(OR(F340="L",F340="S",F340="I"),-1,1)</f>
        <v>572314.31999999995</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t="str">
        <f>IFERROR(INDEX(V340:AG340,1,MATCH(Parametres!$B$3,V$1:AG$1,0)-1)*IF(OR(C340="L",C340="S",C340="I"),-1,1),"")</f>
        <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2026</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t="str">
        <f>IFERROR(INDEX(G341:R341,1,MATCH(Parametres!$B$3,G$1:R$1,0)-1)*IF(OR(F341="L",F341="S",F341="I"),-1,1),"")</f>
        <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t="str">
        <f>IFERROR(INDEX(V341:AG341,1,MATCH(Parametres!$B$3,V$1:AG$1,0)-1)*IF(OR(C341="L",C341="S",C341="I"),-1,1),"")</f>
        <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2026</v>
      </c>
      <c r="C342" s="832" t="s">
        <v>1830</v>
      </c>
      <c r="D342" s="832" t="s">
        <v>1831</v>
      </c>
      <c r="E342" s="832" t="s">
        <v>1792</v>
      </c>
      <c r="F342" s="832" t="s">
        <v>1792</v>
      </c>
      <c r="G342" s="832">
        <v>-8578.42</v>
      </c>
      <c r="H342" s="832">
        <v>-8142.01</v>
      </c>
      <c r="I342" s="832">
        <v>-7927.59</v>
      </c>
      <c r="J342" s="832">
        <v>-7199.98</v>
      </c>
      <c r="K342" s="832">
        <v>-6357.18</v>
      </c>
      <c r="L342" s="832">
        <v>-6357.18</v>
      </c>
      <c r="M342" s="832">
        <v>-6357.18</v>
      </c>
      <c r="N342" s="832">
        <v>-6357.18</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t="str">
        <f>IFERROR(INDEX(G342:R342,1,MATCH(Parametres!$B$3,G$1:R$1,0)-1)*IF(OR(F342="L",F342="S",F342="I"),-1,1),"")</f>
        <v/>
      </c>
      <c r="AM342" s="1030">
        <f t="shared" si="32"/>
        <v>-8578.42</v>
      </c>
      <c r="AN342" s="1030">
        <f>INDEX(G342:R342,1,MATCH(Parametres!$B$3,G$1:R$1,0))*IF(OR(F342="L",F342="S",F342="I"),-1,1)</f>
        <v>-8578.42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t="str">
        <f>IFERROR(INDEX(V342:AG342,1,MATCH(Parametres!$B$3,V$1:AG$1,0)-1)*IF(OR(C342="L",C342="S",C342="I"),-1,1),"")</f>
        <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2026</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t="str">
        <f>IFERROR(INDEX(G343:R343,1,MATCH(Parametres!$B$3,G$1:R$1,0)-1)*IF(OR(F343="L",F343="S",F343="I"),-1,1),"")</f>
        <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t="str">
        <f>IFERROR(INDEX(V343:AG343,1,MATCH(Parametres!$B$3,V$1:AG$1,0)-1)*IF(OR(C343="L",C343="S",C343="I"),-1,1),"")</f>
        <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2026</v>
      </c>
      <c r="C344" s="832" t="s">
        <v>1834</v>
      </c>
      <c r="D344" s="832" t="s">
        <v>1835</v>
      </c>
      <c r="E344" s="832" t="s">
        <v>1792</v>
      </c>
      <c r="F344" s="832" t="s">
        <v>1792</v>
      </c>
      <c r="G344" s="832">
        <v>-958.42</v>
      </c>
      <c r="H344" s="832">
        <v>-958.42</v>
      </c>
      <c r="I344" s="832">
        <v>-958.42</v>
      </c>
      <c r="J344" s="832">
        <v>-958.42</v>
      </c>
      <c r="K344" s="832">
        <v>-958.42</v>
      </c>
      <c r="L344" s="832">
        <v>-958.42</v>
      </c>
      <c r="M344" s="832">
        <v>-958.42</v>
      </c>
      <c r="N344" s="832">
        <v>-958.42</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t="str">
        <f>IFERROR(INDEX(G344:R344,1,MATCH(Parametres!$B$3,G$1:R$1,0)-1)*IF(OR(F344="L",F344="S",F344="I"),-1,1),"")</f>
        <v/>
      </c>
      <c r="AM344" s="1030">
        <f t="shared" si="32"/>
        <v>-958.42</v>
      </c>
      <c r="AN344" s="1030">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t="str">
        <f>IFERROR(INDEX(V344:AG344,1,MATCH(Parametres!$B$3,V$1:AG$1,0)-1)*IF(OR(C344="L",C344="S",C344="I"),-1,1),"")</f>
        <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2026</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t="str">
        <f>IFERROR(INDEX(G345:R345,1,MATCH(Parametres!$B$3,G$1:R$1,0)-1)*IF(OR(F345="L",F345="S",F345="I"),-1,1),"")</f>
        <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t="str">
        <f>IFERROR(INDEX(V345:AG345,1,MATCH(Parametres!$B$3,V$1:AG$1,0)-1)*IF(OR(C345="L",C345="S",C345="I"),-1,1),"")</f>
        <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2026</v>
      </c>
      <c r="C346" s="832" t="s">
        <v>1838</v>
      </c>
      <c r="D346" s="832" t="s">
        <v>1839</v>
      </c>
      <c r="E346" s="832" t="s">
        <v>1813</v>
      </c>
      <c r="F346" s="832" t="s">
        <v>1792</v>
      </c>
      <c r="G346" s="832">
        <v>277134.2</v>
      </c>
      <c r="H346" s="832">
        <v>271185.36</v>
      </c>
      <c r="I346" s="832">
        <v>-4440.67</v>
      </c>
      <c r="J346" s="832">
        <v>319982.95</v>
      </c>
      <c r="K346" s="832">
        <v>-708082.28</v>
      </c>
      <c r="L346" s="832">
        <v>-698208.11</v>
      </c>
      <c r="M346" s="832">
        <v>-698208.11</v>
      </c>
      <c r="N346" s="832">
        <v>-698208.11</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t="str">
        <f>IFERROR(INDEX(G346:R346,1,MATCH(Parametres!$B$3,G$1:R$1,0)-1)*IF(OR(F346="L",F346="S",F346="I"),-1,1),"")</f>
        <v/>
      </c>
      <c r="AM346" s="1030">
        <f t="shared" si="32"/>
        <v>277134.2</v>
      </c>
      <c r="AN346" s="1030">
        <f>INDEX(G346:R346,1,MATCH(Parametres!$B$3,G$1:R$1,0))*IF(OR(F346="L",F346="S",F346="I"),-1,1)</f>
        <v>277134.2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t="str">
        <f>IFERROR(INDEX(V346:AG346,1,MATCH(Parametres!$B$3,V$1:AG$1,0)-1)*IF(OR(C346="L",C346="S",C346="I"),-1,1),"")</f>
        <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2026</v>
      </c>
      <c r="C347" s="832" t="s">
        <v>1840</v>
      </c>
      <c r="D347" s="832" t="s">
        <v>1841</v>
      </c>
      <c r="E347" s="832" t="s">
        <v>1842</v>
      </c>
      <c r="F347" s="832" t="s">
        <v>1792</v>
      </c>
      <c r="G347" s="832">
        <v>26857.38</v>
      </c>
      <c r="H347" s="832">
        <v>26857.38</v>
      </c>
      <c r="I347" s="832">
        <v>26857.38</v>
      </c>
      <c r="J347" s="832">
        <v>26857.38</v>
      </c>
      <c r="K347" s="832">
        <v>26857.38</v>
      </c>
      <c r="L347" s="832">
        <v>26857.38</v>
      </c>
      <c r="M347" s="832">
        <v>26857.38</v>
      </c>
      <c r="N347" s="832">
        <v>26857.38</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t="str">
        <f>IFERROR(INDEX(G347:R347,1,MATCH(Parametres!$B$3,G$1:R$1,0)-1)*IF(OR(F347="L",F347="S",F347="I"),-1,1),"")</f>
        <v/>
      </c>
      <c r="AM347" s="1030">
        <f t="shared" si="32"/>
        <v>26857.38</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t="str">
        <f>IFERROR(INDEX(V347:AG347,1,MATCH(Parametres!$B$3,V$1:AG$1,0)-1)*IF(OR(C347="L",C347="S",C347="I"),-1,1),"")</f>
        <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2026</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t="str">
        <f>IFERROR(INDEX(G348:R348,1,MATCH(Parametres!$B$3,G$1:R$1,0)-1)*IF(OR(F348="L",F348="S",F348="I"),-1,1),"")</f>
        <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t="str">
        <f>IFERROR(INDEX(V348:AG348,1,MATCH(Parametres!$B$3,V$1:AG$1,0)-1)*IF(OR(C348="L",C348="S",C348="I"),-1,1),"")</f>
        <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2026</v>
      </c>
      <c r="C349" s="832" t="s">
        <v>1844</v>
      </c>
      <c r="D349" s="832" t="s">
        <v>1845</v>
      </c>
      <c r="E349" s="832" t="s">
        <v>1813</v>
      </c>
      <c r="F349" s="832" t="s">
        <v>1792</v>
      </c>
      <c r="G349" s="832">
        <v>44446.11</v>
      </c>
      <c r="H349" s="832">
        <v>20552.8</v>
      </c>
      <c r="I349" s="832">
        <v>212301.22</v>
      </c>
      <c r="J349" s="832">
        <v>400159.38</v>
      </c>
      <c r="K349" s="832">
        <v>473651.38</v>
      </c>
      <c r="L349" s="832">
        <v>473651.38</v>
      </c>
      <c r="M349" s="832">
        <v>473651.38</v>
      </c>
      <c r="N349" s="832">
        <v>473651.38</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t="str">
        <f>IFERROR(INDEX(G349:R349,1,MATCH(Parametres!$B$3,G$1:R$1,0)-1)*IF(OR(F349="L",F349="S",F349="I"),-1,1),"")</f>
        <v/>
      </c>
      <c r="AM349" s="1030">
        <f t="shared" si="32"/>
        <v>44446.11</v>
      </c>
      <c r="AN349" s="1030">
        <f>INDEX(G349:R349,1,MATCH(Parametres!$B$3,G$1:R$1,0))*IF(OR(F349="L",F349="S",F349="I"),-1,1)</f>
        <v>44446.11</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t="str">
        <f>IFERROR(INDEX(V349:AG349,1,MATCH(Parametres!$B$3,V$1:AG$1,0)-1)*IF(OR(C349="L",C349="S",C349="I"),-1,1),"")</f>
        <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2026</v>
      </c>
      <c r="C350" s="832" t="s">
        <v>1846</v>
      </c>
      <c r="D350" s="832" t="s">
        <v>1847</v>
      </c>
      <c r="E350" s="832" t="s">
        <v>1813</v>
      </c>
      <c r="F350" s="832" t="s">
        <v>1792</v>
      </c>
      <c r="G350" s="832">
        <v>-13360</v>
      </c>
      <c r="H350" s="832">
        <v>-16199</v>
      </c>
      <c r="I350" s="832">
        <v>-6680</v>
      </c>
      <c r="J350" s="832">
        <v>-6680</v>
      </c>
      <c r="K350" s="832">
        <v>-6680</v>
      </c>
      <c r="L350" s="832">
        <v>-6680</v>
      </c>
      <c r="M350" s="832">
        <v>-6680</v>
      </c>
      <c r="N350" s="832">
        <v>-6680</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t="str">
        <f>IFERROR(INDEX(G350:R350,1,MATCH(Parametres!$B$3,G$1:R$1,0)-1)*IF(OR(F350="L",F350="S",F350="I"),-1,1),"")</f>
        <v/>
      </c>
      <c r="AM350" s="1030">
        <f t="shared" si="32"/>
        <v>-13360</v>
      </c>
      <c r="AN350" s="1030">
        <f>INDEX(G350:R350,1,MATCH(Parametres!$B$3,G$1:R$1,0))*IF(OR(F350="L",F350="S",F350="I"),-1,1)</f>
        <v>-13360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t="str">
        <f>IFERROR(INDEX(V350:AG350,1,MATCH(Parametres!$B$3,V$1:AG$1,0)-1)*IF(OR(C350="L",C350="S",C350="I"),-1,1),"")</f>
        <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2026</v>
      </c>
      <c r="C351" s="832" t="s">
        <v>1848</v>
      </c>
      <c r="D351" s="832" t="s">
        <v>1849</v>
      </c>
      <c r="E351" s="832" t="s">
        <v>1813</v>
      </c>
      <c r="F351" s="832" t="s">
        <v>1792</v>
      </c>
      <c r="G351" s="832">
        <v>-83619</v>
      </c>
      <c r="H351" s="832">
        <v>-82609.649999999994</v>
      </c>
      <c r="I351" s="832">
        <v>-89046.65</v>
      </c>
      <c r="J351" s="832">
        <v>-18677.64</v>
      </c>
      <c r="K351" s="832">
        <v>6926.4</v>
      </c>
      <c r="L351" s="832">
        <v>6926.4</v>
      </c>
      <c r="M351" s="832">
        <v>6926.4</v>
      </c>
      <c r="N351" s="832">
        <v>6926.4</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t="str">
        <f>IFERROR(INDEX(G351:R351,1,MATCH(Parametres!$B$3,G$1:R$1,0)-1)*IF(OR(F351="L",F351="S",F351="I"),-1,1),"")</f>
        <v/>
      </c>
      <c r="AM351" s="1030">
        <f t="shared" si="32"/>
        <v>-83619</v>
      </c>
      <c r="AN351" s="1030">
        <f>INDEX(G351:R351,1,MATCH(Parametres!$B$3,G$1:R$1,0))*IF(OR(F351="L",F351="S",F351="I"),-1,1)</f>
        <v>-83619</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t="str">
        <f>IFERROR(INDEX(V351:AG351,1,MATCH(Parametres!$B$3,V$1:AG$1,0)-1)*IF(OR(C351="L",C351="S",C351="I"),-1,1),"")</f>
        <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2026</v>
      </c>
      <c r="C352" s="832" t="s">
        <v>1850</v>
      </c>
      <c r="D352" s="832" t="s">
        <v>1851</v>
      </c>
      <c r="E352" s="832" t="s">
        <v>1813</v>
      </c>
      <c r="F352" s="832" t="s">
        <v>1792</v>
      </c>
      <c r="G352" s="832">
        <v>-6547.08</v>
      </c>
      <c r="H352" s="832">
        <v>-5735.32</v>
      </c>
      <c r="I352" s="832">
        <v>-2206.9499999999998</v>
      </c>
      <c r="J352" s="832">
        <v>21311.56</v>
      </c>
      <c r="K352" s="832">
        <v>42972.480000000003</v>
      </c>
      <c r="L352" s="832">
        <v>44313.3</v>
      </c>
      <c r="M352" s="832">
        <v>44313.3</v>
      </c>
      <c r="N352" s="832">
        <v>44313.3</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t="str">
        <f>IFERROR(INDEX(G352:R352,1,MATCH(Parametres!$B$3,G$1:R$1,0)-1)*IF(OR(F352="L",F352="S",F352="I"),-1,1),"")</f>
        <v/>
      </c>
      <c r="AM352" s="1030">
        <f t="shared" si="32"/>
        <v>-6547.08</v>
      </c>
      <c r="AN352" s="1030">
        <f>INDEX(G352:R352,1,MATCH(Parametres!$B$3,G$1:R$1,0))*IF(OR(F352="L",F352="S",F352="I"),-1,1)</f>
        <v>-6547.08</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t="str">
        <f>IFERROR(INDEX(V352:AG352,1,MATCH(Parametres!$B$3,V$1:AG$1,0)-1)*IF(OR(C352="L",C352="S",C352="I"),-1,1),"")</f>
        <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2026</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t="str">
        <f>IFERROR(INDEX(G353:R353,1,MATCH(Parametres!$B$3,G$1:R$1,0)-1)*IF(OR(F353="L",F353="S",F353="I"),-1,1),"")</f>
        <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t="str">
        <f>IFERROR(INDEX(V353:AG353,1,MATCH(Parametres!$B$3,V$1:AG$1,0)-1)*IF(OR(C353="L",C353="S",C353="I"),-1,1),"")</f>
        <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2026</v>
      </c>
      <c r="C354" s="832" t="s">
        <v>1855</v>
      </c>
      <c r="D354" s="832" t="s">
        <v>1856</v>
      </c>
      <c r="E354" s="832" t="s">
        <v>1854</v>
      </c>
      <c r="F354" s="832" t="s">
        <v>1792</v>
      </c>
      <c r="G354" s="832">
        <v>-3440016.62</v>
      </c>
      <c r="H354" s="832">
        <v>-3376480.93</v>
      </c>
      <c r="I354" s="832">
        <v>-3311933.17</v>
      </c>
      <c r="J354" s="832">
        <v>-3247335.25</v>
      </c>
      <c r="K354" s="832">
        <v>-3247335.25</v>
      </c>
      <c r="L354" s="832">
        <v>-3247335.25</v>
      </c>
      <c r="M354" s="832">
        <v>-3247335.25</v>
      </c>
      <c r="N354" s="832">
        <v>-3247335.25</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t="str">
        <f>IFERROR(INDEX(G354:R354,1,MATCH(Parametres!$B$3,G$1:R$1,0)-1)*IF(OR(F354="L",F354="S",F354="I"),-1,1),"")</f>
        <v/>
      </c>
      <c r="AM354" s="1030">
        <f t="shared" si="32"/>
        <v>-3440016.62</v>
      </c>
      <c r="AN354" s="1030">
        <f>INDEX(G354:R354,1,MATCH(Parametres!$B$3,G$1:R$1,0))*IF(OR(F354="L",F354="S",F354="I"),-1,1)</f>
        <v>-3440016.62</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t="str">
        <f>IFERROR(INDEX(V354:AG354,1,MATCH(Parametres!$B$3,V$1:AG$1,0)-1)*IF(OR(C354="L",C354="S",C354="I"),-1,1),"")</f>
        <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2026</v>
      </c>
      <c r="C355" s="832" t="s">
        <v>1857</v>
      </c>
      <c r="D355" s="832" t="s">
        <v>1858</v>
      </c>
      <c r="E355" s="832" t="s">
        <v>1854</v>
      </c>
      <c r="F355" s="832" t="s">
        <v>1792</v>
      </c>
      <c r="G355" s="832">
        <v>142595.93</v>
      </c>
      <c r="H355" s="832">
        <v>142595.93</v>
      </c>
      <c r="I355" s="832">
        <v>142595.93</v>
      </c>
      <c r="J355" s="832">
        <v>142595.93</v>
      </c>
      <c r="K355" s="832">
        <v>142595.93</v>
      </c>
      <c r="L355" s="832">
        <v>142595.93</v>
      </c>
      <c r="M355" s="832">
        <v>142595.93</v>
      </c>
      <c r="N355" s="832">
        <v>142595.93</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t="str">
        <f>IFERROR(INDEX(G355:R355,1,MATCH(Parametres!$B$3,G$1:R$1,0)-1)*IF(OR(F355="L",F355="S",F355="I"),-1,1),"")</f>
        <v/>
      </c>
      <c r="AM355" s="1030">
        <f t="shared" si="32"/>
        <v>142595.93</v>
      </c>
      <c r="AN355" s="1030">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t="str">
        <f>IFERROR(INDEX(V355:AG355,1,MATCH(Parametres!$B$3,V$1:AG$1,0)-1)*IF(OR(C355="L",C355="S",C355="I"),-1,1),"")</f>
        <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2026</v>
      </c>
      <c r="C356" s="832" t="s">
        <v>1859</v>
      </c>
      <c r="D356" s="832" t="s">
        <v>1860</v>
      </c>
      <c r="E356" s="832" t="s">
        <v>1854</v>
      </c>
      <c r="F356" s="832" t="s">
        <v>1792</v>
      </c>
      <c r="G356" s="832">
        <v>-189931.82</v>
      </c>
      <c r="H356" s="832">
        <v>-242524.23</v>
      </c>
      <c r="I356" s="832">
        <v>-242595.93</v>
      </c>
      <c r="J356" s="832">
        <v>-242595.93</v>
      </c>
      <c r="K356" s="832">
        <v>-242595.93</v>
      </c>
      <c r="L356" s="832">
        <v>-242595.93</v>
      </c>
      <c r="M356" s="832">
        <v>-242595.93</v>
      </c>
      <c r="N356" s="832">
        <v>-242595.93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t="str">
        <f>IFERROR(INDEX(G356:R356,1,MATCH(Parametres!$B$3,G$1:R$1,0)-1)*IF(OR(F356="L",F356="S",F356="I"),-1,1),"")</f>
        <v/>
      </c>
      <c r="AM356" s="1030">
        <f t="shared" si="32"/>
        <v>-189931.82</v>
      </c>
      <c r="AN356" s="1030">
        <f>INDEX(G356:R356,1,MATCH(Parametres!$B$3,G$1:R$1,0))*IF(OR(F356="L",F356="S",F356="I"),-1,1)</f>
        <v>-189931.82</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t="str">
        <f>IFERROR(INDEX(V356:AG356,1,MATCH(Parametres!$B$3,V$1:AG$1,0)-1)*IF(OR(C356="L",C356="S",C356="I"),-1,1),"")</f>
        <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2026</v>
      </c>
      <c r="C357" s="832" t="s">
        <v>1861</v>
      </c>
      <c r="D357" s="832" t="s">
        <v>1862</v>
      </c>
      <c r="E357" s="832" t="s">
        <v>1854</v>
      </c>
      <c r="F357" s="832" t="s">
        <v>1792</v>
      </c>
      <c r="G357" s="832">
        <v>-3640000</v>
      </c>
      <c r="H357" s="832">
        <v>-3640000</v>
      </c>
      <c r="I357" s="832">
        <v>-3640000</v>
      </c>
      <c r="J357" s="832">
        <v>-3640000</v>
      </c>
      <c r="K357" s="832">
        <v>-3640000</v>
      </c>
      <c r="L357" s="832">
        <v>-3640000</v>
      </c>
      <c r="M357" s="832">
        <v>-3640000</v>
      </c>
      <c r="N357" s="832">
        <v>-3640000</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t="str">
        <f>IFERROR(INDEX(G357:R357,1,MATCH(Parametres!$B$3,G$1:R$1,0)-1)*IF(OR(F357="L",F357="S",F357="I"),-1,1),"")</f>
        <v/>
      </c>
      <c r="AM357" s="1030">
        <f t="shared" si="32"/>
        <v>-3640000</v>
      </c>
      <c r="AN357" s="1030">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t="str">
        <f>IFERROR(INDEX(V357:AG357,1,MATCH(Parametres!$B$3,V$1:AG$1,0)-1)*IF(OR(C357="L",C357="S",C357="I"),-1,1),"")</f>
        <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2026</v>
      </c>
      <c r="C358" s="832" t="s">
        <v>1863</v>
      </c>
      <c r="D358" s="832" t="s">
        <v>1864</v>
      </c>
      <c r="E358" s="832" t="s">
        <v>1842</v>
      </c>
      <c r="F358" s="832" t="s">
        <v>1792</v>
      </c>
      <c r="G358" s="832">
        <v>3546617.48</v>
      </c>
      <c r="H358" s="832">
        <v>3547729.08</v>
      </c>
      <c r="I358" s="832">
        <v>3547729.08</v>
      </c>
      <c r="J358" s="832">
        <v>3548350.78</v>
      </c>
      <c r="K358" s="832">
        <v>3548350.78</v>
      </c>
      <c r="L358" s="832">
        <v>3548350.78</v>
      </c>
      <c r="M358" s="832">
        <v>3548350.78</v>
      </c>
      <c r="N358" s="832">
        <v>3548350.78</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t="str">
        <f>IFERROR(INDEX(G358:R358,1,MATCH(Parametres!$B$3,G$1:R$1,0)-1)*IF(OR(F358="L",F358="S",F358="I"),-1,1),"")</f>
        <v/>
      </c>
      <c r="AM358" s="1030">
        <f t="shared" si="32"/>
        <v>3546617.48</v>
      </c>
      <c r="AN358" s="1030">
        <f>INDEX(G358:R358,1,MATCH(Parametres!$B$3,G$1:R$1,0))*IF(OR(F358="L",F358="S",F358="I"),-1,1)</f>
        <v>3546617.48</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t="str">
        <f>IFERROR(INDEX(V358:AG358,1,MATCH(Parametres!$B$3,V$1:AG$1,0)-1)*IF(OR(C358="L",C358="S",C358="I"),-1,1),"")</f>
        <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2026</v>
      </c>
      <c r="C359" s="832" t="s">
        <v>1865</v>
      </c>
      <c r="D359" s="832" t="s">
        <v>1866</v>
      </c>
      <c r="E359" s="832" t="s">
        <v>1842</v>
      </c>
      <c r="F359" s="832" t="s">
        <v>1792</v>
      </c>
      <c r="G359" s="832">
        <v>-5785742.0599999996</v>
      </c>
      <c r="H359" s="832">
        <v>-5785742.0599999996</v>
      </c>
      <c r="I359" s="832">
        <v>-5785742.0599999996</v>
      </c>
      <c r="J359" s="832">
        <v>-5785742.0599999996</v>
      </c>
      <c r="K359" s="832">
        <v>-5785742.0599999996</v>
      </c>
      <c r="L359" s="832">
        <v>-5785742.0599999996</v>
      </c>
      <c r="M359" s="832">
        <v>-5785742.0599999996</v>
      </c>
      <c r="N359" s="832">
        <v>-5785742.0599999996</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t="str">
        <f>IFERROR(INDEX(G359:R359,1,MATCH(Parametres!$B$3,G$1:R$1,0)-1)*IF(OR(F359="L",F359="S",F359="I"),-1,1),"")</f>
        <v/>
      </c>
      <c r="AM359" s="1030">
        <f t="shared" si="32"/>
        <v>-5785742.0599999996</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t="str">
        <f>IFERROR(INDEX(V359:AG359,1,MATCH(Parametres!$B$3,V$1:AG$1,0)-1)*IF(OR(C359="L",C359="S",C359="I"),-1,1),"")</f>
        <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2026</v>
      </c>
      <c r="C360" s="832" t="s">
        <v>1867</v>
      </c>
      <c r="D360" s="832" t="s">
        <v>1868</v>
      </c>
      <c r="E360" s="832" t="s">
        <v>1842</v>
      </c>
      <c r="F360" s="832" t="s">
        <v>1792</v>
      </c>
      <c r="G360" s="832">
        <v>500000</v>
      </c>
      <c r="H360" s="832">
        <v>5500000</v>
      </c>
      <c r="I360" s="832">
        <v>5500000</v>
      </c>
      <c r="J360" s="832">
        <v>5500000</v>
      </c>
      <c r="K360" s="832">
        <v>5500000</v>
      </c>
      <c r="L360" s="832">
        <v>5500000</v>
      </c>
      <c r="M360" s="832">
        <v>5500000</v>
      </c>
      <c r="N360" s="832">
        <v>5500000</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t="str">
        <f>IFERROR(INDEX(G360:R360,1,MATCH(Parametres!$B$3,G$1:R$1,0)-1)*IF(OR(F360="L",F360="S",F360="I"),-1,1),"")</f>
        <v/>
      </c>
      <c r="AM360" s="1030">
        <f t="shared" si="32"/>
        <v>500000</v>
      </c>
      <c r="AN360" s="1030">
        <f>INDEX(G360:R360,1,MATCH(Parametres!$B$3,G$1:R$1,0))*IF(OR(F360="L",F360="S",F360="I"),-1,1)</f>
        <v>500000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t="str">
        <f>IFERROR(INDEX(V360:AG360,1,MATCH(Parametres!$B$3,V$1:AG$1,0)-1)*IF(OR(C360="L",C360="S",C360="I"),-1,1),"")</f>
        <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2026</v>
      </c>
      <c r="C361" s="832" t="s">
        <v>1869</v>
      </c>
      <c r="D361" s="832" t="s">
        <v>1870</v>
      </c>
      <c r="E361" s="832" t="s">
        <v>1854</v>
      </c>
      <c r="F361" s="832" t="s">
        <v>1792</v>
      </c>
      <c r="G361" s="832">
        <v>-1000000</v>
      </c>
      <c r="H361" s="832">
        <v>-831567.54</v>
      </c>
      <c r="I361" s="832">
        <v>-1000000</v>
      </c>
      <c r="J361" s="832">
        <v>-1000000</v>
      </c>
      <c r="K361" s="832">
        <v>-1000000</v>
      </c>
      <c r="L361" s="832">
        <v>-1000000</v>
      </c>
      <c r="M361" s="832">
        <v>-1000000</v>
      </c>
      <c r="N361" s="832">
        <v>-1000000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t="str">
        <f>IFERROR(INDEX(G361:R361,1,MATCH(Parametres!$B$3,G$1:R$1,0)-1)*IF(OR(F361="L",F361="S",F361="I"),-1,1),"")</f>
        <v/>
      </c>
      <c r="AM361" s="1030">
        <f t="shared" si="32"/>
        <v>-1000000</v>
      </c>
      <c r="AN361" s="1030">
        <f>INDEX(G361:R361,1,MATCH(Parametres!$B$3,G$1:R$1,0))*IF(OR(F361="L",F361="S",F361="I"),-1,1)</f>
        <v>-1000000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t="str">
        <f>IFERROR(INDEX(V361:AG361,1,MATCH(Parametres!$B$3,V$1:AG$1,0)-1)*IF(OR(C361="L",C361="S",C361="I"),-1,1),"")</f>
        <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2026</v>
      </c>
      <c r="C362" s="832" t="s">
        <v>1871</v>
      </c>
      <c r="D362" s="832" t="s">
        <v>1872</v>
      </c>
      <c r="E362" s="832" t="s">
        <v>1854</v>
      </c>
      <c r="F362" s="832" t="s">
        <v>1792</v>
      </c>
      <c r="G362" s="832">
        <v>0</v>
      </c>
      <c r="H362" s="832">
        <v>0</v>
      </c>
      <c r="I362" s="832">
        <v>0</v>
      </c>
      <c r="J362" s="832">
        <v>0</v>
      </c>
      <c r="K362" s="832">
        <v>0</v>
      </c>
      <c r="L362" s="832">
        <v>0</v>
      </c>
      <c r="M362" s="832">
        <v>0</v>
      </c>
      <c r="N362" s="832">
        <v>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H11909</v>
      </c>
      <c r="AK362" s="1030" t="str">
        <f t="shared" si="31"/>
        <v>INTERCO-VOLKSWAGEN</v>
      </c>
      <c r="AL362" s="1030" t="str">
        <f>IFERROR(INDEX(G362:R362,1,MATCH(Parametres!$B$3,G$1:R$1,0)-1)*IF(OR(F362="L",F362="S",F362="I"),-1,1),"")</f>
        <v/>
      </c>
      <c r="AM362" s="1030">
        <f t="shared" si="32"/>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t="str">
        <f t="shared" si="33"/>
        <v>H11909</v>
      </c>
      <c r="AU362" s="599" t="str">
        <f t="shared" si="34"/>
        <v>INTERCO-VOLKSWAGEN</v>
      </c>
      <c r="AV362" s="1030" t="str">
        <f>IFERROR(INDEX(V362:AG362,1,MATCH(Parametres!$B$3,V$1:AG$1,0)-1)*IF(OR(C362="L",C362="S",C362="I"),-1,1),"")</f>
        <v/>
      </c>
      <c r="AW362" s="1030">
        <f t="shared" si="35"/>
        <v>0</v>
      </c>
      <c r="AX362" s="1030">
        <f>INDEX(V362:AG362,1,MATCH(Parametres!$B$3,V$1:AG$1,0))*IF(OR(C362="L",C362="S",C362="I"),-1,1)</f>
        <v>0</v>
      </c>
      <c r="AY362" s="598" t="s">
        <v>337</v>
      </c>
      <c r="AZ362" s="598" t="e">
        <f>+VLOOKUP($AJ362,Data_Validation!$A:$E,5,0)</f>
        <v>#N/A</v>
      </c>
    </row>
    <row r="363" spans="1:52" ht="15.75" customHeight="1">
      <c r="A363" s="832" t="s">
        <v>1150</v>
      </c>
      <c r="B363" s="832">
        <v>2026</v>
      </c>
      <c r="C363" s="832" t="s">
        <v>1873</v>
      </c>
      <c r="D363" s="832" t="s">
        <v>1874</v>
      </c>
      <c r="E363" s="832" t="s">
        <v>1792</v>
      </c>
      <c r="F363" s="832" t="s">
        <v>1792</v>
      </c>
      <c r="G363" s="832">
        <v>1334.25</v>
      </c>
      <c r="H363" s="832">
        <v>-5156.8999999999996</v>
      </c>
      <c r="I363" s="832">
        <v>10180.91</v>
      </c>
      <c r="J363" s="832">
        <v>96080.77</v>
      </c>
      <c r="K363" s="832">
        <v>205607.22</v>
      </c>
      <c r="L363" s="832">
        <v>217069.83</v>
      </c>
      <c r="M363" s="832">
        <v>217069.83</v>
      </c>
      <c r="N363" s="832">
        <v>217069.83</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H12000</v>
      </c>
      <c r="AK363" s="1030" t="str">
        <f t="shared" si="31"/>
        <v>RECLAMATION GAR. HYUNDAI</v>
      </c>
      <c r="AL363" s="1030" t="str">
        <f>IFERROR(INDEX(G363:R363,1,MATCH(Parametres!$B$3,G$1:R$1,0)-1)*IF(OR(F363="L",F363="S",F363="I"),-1,1),"")</f>
        <v/>
      </c>
      <c r="AM363" s="1030">
        <f t="shared" si="32"/>
        <v>1334.25</v>
      </c>
      <c r="AN363" s="1030">
        <f>INDEX(G363:R363,1,MATCH(Parametres!$B$3,G$1:R$1,0))*IF(OR(F363="L",F363="S",F363="I"),-1,1)</f>
        <v>1334.25</v>
      </c>
      <c r="AO363" s="598" t="str">
        <f>+VLOOKUP($AJ363,Data_Validation!$A:$D,1,0)</f>
        <v>H12000</v>
      </c>
      <c r="AP363" s="598" t="str">
        <f>+VLOOKUP($AJ363,Data_Validation!$A:$D,3,0)</f>
        <v>Bilan</v>
      </c>
      <c r="AQ363" s="598" t="str">
        <f>+VLOOKUP($AJ363,Data_Validation!$A:$D,4,0)</f>
        <v>Recevables Manufacturier</v>
      </c>
      <c r="AR363" s="598" t="s">
        <v>299</v>
      </c>
      <c r="AS363" s="598">
        <f>+VLOOKUP($AJ363,Data_Validation!$A:$E,5,0)</f>
        <v>0</v>
      </c>
      <c r="AT363" s="1036" t="str">
        <f t="shared" si="33"/>
        <v>H12000</v>
      </c>
      <c r="AU363" s="599" t="str">
        <f t="shared" si="34"/>
        <v>RECLAMATION GAR. HYUNDAI</v>
      </c>
      <c r="AV363" s="1030" t="str">
        <f>IFERROR(INDEX(V363:AG363,1,MATCH(Parametres!$B$3,V$1:AG$1,0)-1)*IF(OR(C363="L",C363="S",C363="I"),-1,1),"")</f>
        <v/>
      </c>
      <c r="AW363" s="1030">
        <f t="shared" si="35"/>
        <v>0</v>
      </c>
      <c r="AX363" s="1030">
        <f>INDEX(V363:AG363,1,MATCH(Parametres!$B$3,V$1:AG$1,0))*IF(OR(C363="L",C363="S",C363="I"),-1,1)</f>
        <v>0</v>
      </c>
      <c r="AY363" s="598" t="s">
        <v>337</v>
      </c>
      <c r="AZ363" s="598">
        <f>+VLOOKUP($AJ363,Data_Validation!$A:$E,5,0)</f>
        <v>0</v>
      </c>
    </row>
    <row r="364" spans="1:52" ht="15" customHeight="1">
      <c r="A364" s="832" t="s">
        <v>1150</v>
      </c>
      <c r="B364" s="832">
        <v>2026</v>
      </c>
      <c r="C364" s="832" t="s">
        <v>1875</v>
      </c>
      <c r="D364" s="832" t="s">
        <v>1876</v>
      </c>
      <c r="E364" s="832" t="s">
        <v>1153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H12001</v>
      </c>
      <c r="AK364" s="1030" t="str">
        <f t="shared" si="31"/>
        <v>RECLAMATION GAR. AUTRES</v>
      </c>
      <c r="AL364" s="1030" t="str">
        <f>IFERROR(INDEX(G364:R364,1,MATCH(Parametres!$B$3,G$1:R$1,0)-1)*IF(OR(F364="L",F364="S",F364="I"),-1,1),"")</f>
        <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H12001</v>
      </c>
      <c r="AU364" s="599" t="str">
        <f t="shared" si="34"/>
        <v>RECLAMATION GAR. AUTRES</v>
      </c>
      <c r="AV364" s="1030" t="str">
        <f>IFERROR(INDEX(V364:AG364,1,MATCH(Parametres!$B$3,V$1:AG$1,0)-1)*IF(OR(C364="L",C364="S",C364="I"),-1,1),"")</f>
        <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2026</v>
      </c>
      <c r="C365" s="832" t="s">
        <v>1877</v>
      </c>
      <c r="D365" s="832" t="s">
        <v>1878</v>
      </c>
      <c r="E365" s="832" t="s">
        <v>333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H12090</v>
      </c>
      <c r="AK365" s="1030" t="str">
        <f t="shared" si="31"/>
        <v>NE PAS UTILISER</v>
      </c>
      <c r="AL365" s="1030" t="str">
        <f>IFERROR(INDEX(G365:R365,1,MATCH(Parametres!$B$3,G$1:R$1,0)-1)*IF(OR(F365="L",F365="S",F365="I"),-1,1),"")</f>
        <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H12090</v>
      </c>
      <c r="AU365" s="599" t="str">
        <f t="shared" si="34"/>
        <v>NE PAS UTILISER</v>
      </c>
      <c r="AV365" s="1030" t="str">
        <f>IFERROR(INDEX(V365:AG365,1,MATCH(Parametres!$B$3,V$1:AG$1,0)-1)*IF(OR(C365="L",C365="S",C365="I"),-1,1),"")</f>
        <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2026</v>
      </c>
      <c r="C366" s="832" t="s">
        <v>1879</v>
      </c>
      <c r="D366" s="832" t="s">
        <v>1880</v>
      </c>
      <c r="E366" s="832" t="s">
        <v>1792</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H12100</v>
      </c>
      <c r="AK366" s="1030" t="str">
        <f t="shared" si="31"/>
        <v>RECLAMATION DE TRANSPORT</v>
      </c>
      <c r="AL366" s="1030" t="str">
        <f>IFERROR(INDEX(G366:R366,1,MATCH(Parametres!$B$3,G$1:R$1,0)-1)*IF(OR(F366="L",F366="S",F366="I"),-1,1),"")</f>
        <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H12100</v>
      </c>
      <c r="AU366" s="599" t="str">
        <f t="shared" si="34"/>
        <v>RECLAMATION DE TRANSPORT</v>
      </c>
      <c r="AV366" s="1030" t="str">
        <f>IFERROR(INDEX(V366:AG366,1,MATCH(Parametres!$B$3,V$1:AG$1,0)-1)*IF(OR(C366="L",C366="S",C366="I"),-1,1),"")</f>
        <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2026</v>
      </c>
      <c r="C367" s="832" t="s">
        <v>1881</v>
      </c>
      <c r="D367" s="832" t="s">
        <v>1882</v>
      </c>
      <c r="E367" s="832" t="s">
        <v>333</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H12200</v>
      </c>
      <c r="AK367" s="1030" t="str">
        <f t="shared" si="31"/>
        <v>CARTES DE CREDIT</v>
      </c>
      <c r="AL367" s="1030" t="str">
        <f>IFERROR(INDEX(G367:R367,1,MATCH(Parametres!$B$3,G$1:R$1,0)-1)*IF(OR(F367="L",F367="S",F367="I"),-1,1),"")</f>
        <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H12200</v>
      </c>
      <c r="AU367" s="599" t="str">
        <f t="shared" si="34"/>
        <v>CARTES DE CREDIT</v>
      </c>
      <c r="AV367" s="1030" t="str">
        <f>IFERROR(INDEX(V367:AG367,1,MATCH(Parametres!$B$3,V$1:AG$1,0)-1)*IF(OR(C367="L",C367="S",C367="I"),-1,1),"")</f>
        <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2026</v>
      </c>
      <c r="C368" s="832" t="s">
        <v>1883</v>
      </c>
      <c r="D368" s="832" t="s">
        <v>1884</v>
      </c>
      <c r="E368" s="832" t="s">
        <v>336</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H12300</v>
      </c>
      <c r="AK368" s="1030" t="str">
        <f t="shared" si="31"/>
        <v>VOIR COMPTE 126</v>
      </c>
      <c r="AL368" s="1030" t="str">
        <f>IFERROR(INDEX(G368:R368,1,MATCH(Parametres!$B$3,G$1:R$1,0)-1)*IF(OR(F368="L",F368="S",F368="I"),-1,1),"")</f>
        <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H12300</v>
      </c>
      <c r="AU368" s="599" t="str">
        <f t="shared" si="34"/>
        <v>VOIR COMPTE 126</v>
      </c>
      <c r="AV368" s="1030" t="str">
        <f>IFERROR(INDEX(V368:AG368,1,MATCH(Parametres!$B$3,V$1:AG$1,0)-1)*IF(OR(C368="L",C368="S",C368="I"),-1,1),"")</f>
        <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2026</v>
      </c>
      <c r="C369" s="832" t="s">
        <v>1885</v>
      </c>
      <c r="D369" s="832" t="s">
        <v>1886</v>
      </c>
      <c r="E369" s="832" t="s">
        <v>333</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H12500</v>
      </c>
      <c r="AK369" s="1030" t="str">
        <f t="shared" si="31"/>
        <v>PROV. CREANCES DOUTEUSES</v>
      </c>
      <c r="AL369" s="1030" t="str">
        <f>IFERROR(INDEX(G369:R369,1,MATCH(Parametres!$B$3,G$1:R$1,0)-1)*IF(OR(F369="L",F369="S",F369="I"),-1,1),"")</f>
        <v/>
      </c>
      <c r="AM369" s="1030">
        <f t="shared" si="32"/>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33"/>
        <v>H12500</v>
      </c>
      <c r="AU369" s="599" t="str">
        <f t="shared" si="34"/>
        <v>PROV. CREANCES DOUTEUSES</v>
      </c>
      <c r="AV369" s="1030" t="str">
        <f>IFERROR(INDEX(V369:AG369,1,MATCH(Parametres!$B$3,V$1:AG$1,0)-1)*IF(OR(C369="L",C369="S",C369="I"),-1,1),"")</f>
        <v/>
      </c>
      <c r="AW369" s="1030">
        <f t="shared" si="35"/>
        <v>0</v>
      </c>
      <c r="AX369" s="1030">
        <f>INDEX(V369:AG369,1,MATCH(Parametres!$B$3,V$1:AG$1,0))*IF(OR(C369="L",C369="S",C369="I"),-1,1)</f>
        <v>0</v>
      </c>
      <c r="AY369" s="598" t="s">
        <v>337</v>
      </c>
      <c r="AZ369" s="598" t="e">
        <f>+VLOOKUP($AJ369,Data_Validation!$A:$E,5,0)</f>
        <v>#N/A</v>
      </c>
    </row>
    <row r="370" spans="1:52" ht="15.75" customHeight="1">
      <c r="A370" s="832" t="s">
        <v>1150</v>
      </c>
      <c r="B370" s="832">
        <v>2026</v>
      </c>
      <c r="C370" s="832" t="s">
        <v>1887</v>
      </c>
      <c r="D370" s="832" t="s">
        <v>1888</v>
      </c>
      <c r="E370" s="832" t="s">
        <v>336</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H12600</v>
      </c>
      <c r="AK370" s="1030" t="str">
        <f t="shared" si="31"/>
        <v>RISTOURNE DE FINANCES</v>
      </c>
      <c r="AL370" s="1030" t="str">
        <f>IFERROR(INDEX(G370:R370,1,MATCH(Parametres!$B$3,G$1:R$1,0)-1)*IF(OR(F370="L",F370="S",F370="I"),-1,1),"")</f>
        <v/>
      </c>
      <c r="AM370" s="1030">
        <f t="shared" si="32"/>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t="str">
        <f t="shared" si="33"/>
        <v>H12600</v>
      </c>
      <c r="AU370" s="599" t="str">
        <f t="shared" si="34"/>
        <v>RISTOURNE DE FINANCES</v>
      </c>
      <c r="AV370" s="1030" t="str">
        <f>IFERROR(INDEX(V370:AG370,1,MATCH(Parametres!$B$3,V$1:AG$1,0)-1)*IF(OR(C370="L",C370="S",C370="I"),-1,1),"")</f>
        <v/>
      </c>
      <c r="AW370" s="1030">
        <f t="shared" si="35"/>
        <v>0</v>
      </c>
      <c r="AX370" s="1030">
        <f>INDEX(V370:AG370,1,MATCH(Parametres!$B$3,V$1:AG$1,0))*IF(OR(C370="L",C370="S",C370="I"),-1,1)</f>
        <v>0</v>
      </c>
      <c r="AY370" s="598" t="s">
        <v>337</v>
      </c>
      <c r="AZ370" s="598" t="e">
        <f>+VLOOKUP($AJ370,Data_Validation!$A:$E,5,0)</f>
        <v>#N/A</v>
      </c>
    </row>
    <row r="371" spans="1:52" ht="15.75" customHeight="1">
      <c r="A371" s="832" t="s">
        <v>1150</v>
      </c>
      <c r="B371" s="832">
        <v>2026</v>
      </c>
      <c r="C371" s="832" t="s">
        <v>1889</v>
      </c>
      <c r="D371" s="832" t="s">
        <v>1890</v>
      </c>
      <c r="E371" s="832" t="s">
        <v>1891</v>
      </c>
      <c r="F371" s="832" t="s">
        <v>1792</v>
      </c>
      <c r="G371" s="832">
        <v>775858.33</v>
      </c>
      <c r="H371" s="832">
        <v>655125.16</v>
      </c>
      <c r="I371" s="832">
        <v>647965.1</v>
      </c>
      <c r="J371" s="832">
        <v>446576.35</v>
      </c>
      <c r="K371" s="832">
        <v>556219.07999999996</v>
      </c>
      <c r="L371" s="832">
        <v>556219.07999999996</v>
      </c>
      <c r="M371" s="832">
        <v>556219.07999999996</v>
      </c>
      <c r="N371" s="832">
        <v>556219.07999999996</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H13000</v>
      </c>
      <c r="AK371" s="1030" t="str">
        <f t="shared" si="31"/>
        <v>VEHICULES NEUFS - HYUNDAI</v>
      </c>
      <c r="AL371" s="1030" t="str">
        <f>IFERROR(INDEX(G371:R371,1,MATCH(Parametres!$B$3,G$1:R$1,0)-1)*IF(OR(F371="L",F371="S",F371="I"),-1,1),"")</f>
        <v/>
      </c>
      <c r="AM371" s="1030">
        <f t="shared" si="32"/>
        <v>775858.33</v>
      </c>
      <c r="AN371" s="1030">
        <f>INDEX(G371:R371,1,MATCH(Parametres!$B$3,G$1:R$1,0))*IF(OR(F371="L",F371="S",F371="I"),-1,1)</f>
        <v>775858.33</v>
      </c>
      <c r="AO371" s="598" t="str">
        <f>+VLOOKUP($AJ371,Data_Validation!$A:$D,1,0)</f>
        <v>H13000</v>
      </c>
      <c r="AP371" s="598" t="str">
        <f>+VLOOKUP($AJ371,Data_Validation!$A:$D,3,0)</f>
        <v>Bilan</v>
      </c>
      <c r="AQ371" s="598" t="str">
        <f>+VLOOKUP($AJ371,Data_Validation!$A:$D,4,0)</f>
        <v>Inventaire Véhicules Neufs</v>
      </c>
      <c r="AR371" s="598" t="s">
        <v>299</v>
      </c>
      <c r="AS371" s="598">
        <f>+VLOOKUP($AJ371,Data_Validation!$A:$E,5,0)</f>
        <v>0</v>
      </c>
      <c r="AT371" s="1036" t="str">
        <f t="shared" si="33"/>
        <v>H13000</v>
      </c>
      <c r="AU371" s="599" t="str">
        <f t="shared" si="34"/>
        <v>VEHICULES NEUFS - HYUNDAI</v>
      </c>
      <c r="AV371" s="1030" t="str">
        <f>IFERROR(INDEX(V371:AG371,1,MATCH(Parametres!$B$3,V$1:AG$1,0)-1)*IF(OR(C371="L",C371="S",C371="I"),-1,1),"")</f>
        <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2026</v>
      </c>
      <c r="C372" s="832" t="s">
        <v>1892</v>
      </c>
      <c r="D372" s="832" t="s">
        <v>1893</v>
      </c>
      <c r="E372" s="832" t="s">
        <v>1891</v>
      </c>
      <c r="F372" s="832" t="s">
        <v>1792</v>
      </c>
      <c r="G372" s="832">
        <v>4724863.8899999997</v>
      </c>
      <c r="H372" s="832">
        <v>5563744.4800000004</v>
      </c>
      <c r="I372" s="832">
        <v>4643819.5199999996</v>
      </c>
      <c r="J372" s="832">
        <v>4440334.4800000004</v>
      </c>
      <c r="K372" s="832">
        <v>4370266.46</v>
      </c>
      <c r="L372" s="832">
        <v>4371186.84</v>
      </c>
      <c r="M372" s="832">
        <v>4371186.84</v>
      </c>
      <c r="N372" s="832">
        <v>4371186.84</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H13001</v>
      </c>
      <c r="AK372" s="1030" t="str">
        <f t="shared" si="31"/>
        <v>NEUF CAMIONS HYUNDAI</v>
      </c>
      <c r="AL372" s="1030" t="str">
        <f>IFERROR(INDEX(G372:R372,1,MATCH(Parametres!$B$3,G$1:R$1,0)-1)*IF(OR(F372="L",F372="S",F372="I"),-1,1),"")</f>
        <v/>
      </c>
      <c r="AM372" s="1030">
        <f t="shared" si="32"/>
        <v>4724863.8899999997</v>
      </c>
      <c r="AN372" s="1030">
        <f>INDEX(G372:R372,1,MATCH(Parametres!$B$3,G$1:R$1,0))*IF(OR(F372="L",F372="S",F372="I"),-1,1)</f>
        <v>4724863.8899999997</v>
      </c>
      <c r="AO372" s="598" t="str">
        <f>+VLOOKUP($AJ372,Data_Validation!$A:$D,1,0)</f>
        <v>H13001</v>
      </c>
      <c r="AP372" s="598" t="str">
        <f>+VLOOKUP($AJ372,Data_Validation!$A:$D,3,0)</f>
        <v>Bilan</v>
      </c>
      <c r="AQ372" s="598" t="str">
        <f>+VLOOKUP($AJ372,Data_Validation!$A:$D,4,0)</f>
        <v>Inventaire Véhicules Neufs</v>
      </c>
      <c r="AR372" s="598" t="s">
        <v>299</v>
      </c>
      <c r="AS372" s="598">
        <f>+VLOOKUP($AJ372,Data_Validation!$A:$E,5,0)</f>
        <v>0</v>
      </c>
      <c r="AT372" s="1036" t="str">
        <f t="shared" si="33"/>
        <v>H13001</v>
      </c>
      <c r="AU372" s="599" t="str">
        <f t="shared" si="34"/>
        <v>NEUF CAMIONS HYUNDAI</v>
      </c>
      <c r="AV372" s="1030" t="str">
        <f>IFERROR(INDEX(V372:AG372,1,MATCH(Parametres!$B$3,V$1:AG$1,0)-1)*IF(OR(C372="L",C372="S",C372="I"),-1,1),"")</f>
        <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2026</v>
      </c>
      <c r="C373" s="832" t="s">
        <v>1894</v>
      </c>
      <c r="D373" s="832" t="s">
        <v>1895</v>
      </c>
      <c r="E373" s="832" t="s">
        <v>1891</v>
      </c>
      <c r="F373" s="832" t="s">
        <v>1792</v>
      </c>
      <c r="G373" s="832">
        <v>1795970.9</v>
      </c>
      <c r="H373" s="832">
        <v>2538311.2799999998</v>
      </c>
      <c r="I373" s="832">
        <v>4347443.79</v>
      </c>
      <c r="J373" s="832">
        <v>4051398.59</v>
      </c>
      <c r="K373" s="832">
        <v>3533636.7</v>
      </c>
      <c r="L373" s="832">
        <v>3533726.54</v>
      </c>
      <c r="M373" s="832">
        <v>3533726.54</v>
      </c>
      <c r="N373" s="832">
        <v>3533726.54</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H13003</v>
      </c>
      <c r="AK373" s="1030" t="str">
        <f t="shared" si="31"/>
        <v>VEH. VERT HYUNDAI</v>
      </c>
      <c r="AL373" s="1030" t="str">
        <f>IFERROR(INDEX(G373:R373,1,MATCH(Parametres!$B$3,G$1:R$1,0)-1)*IF(OR(F373="L",F373="S",F373="I"),-1,1),"")</f>
        <v/>
      </c>
      <c r="AM373" s="1030">
        <f t="shared" si="32"/>
        <v>1795970.9</v>
      </c>
      <c r="AN373" s="1030">
        <f>INDEX(G373:R373,1,MATCH(Parametres!$B$3,G$1:R$1,0))*IF(OR(F373="L",F373="S",F373="I"),-1,1)</f>
        <v>1795970.9</v>
      </c>
      <c r="AO373" s="598" t="str">
        <f>+VLOOKUP($AJ373,Data_Validation!$A:$D,1,0)</f>
        <v>H13003</v>
      </c>
      <c r="AP373" s="598" t="str">
        <f>+VLOOKUP($AJ373,Data_Validation!$A:$D,3,0)</f>
        <v>Bilan</v>
      </c>
      <c r="AQ373" s="598" t="str">
        <f>+VLOOKUP($AJ373,Data_Validation!$A:$D,4,0)</f>
        <v>Inventaire Véhicules Neufs</v>
      </c>
      <c r="AR373" s="598" t="s">
        <v>299</v>
      </c>
      <c r="AS373" s="598">
        <f>+VLOOKUP($AJ373,Data_Validation!$A:$E,5,0)</f>
        <v>0</v>
      </c>
      <c r="AT373" s="1036" t="str">
        <f t="shared" si="33"/>
        <v>H13003</v>
      </c>
      <c r="AU373" s="599" t="str">
        <f t="shared" si="34"/>
        <v>VEH. VERT HYUNDAI</v>
      </c>
      <c r="AV373" s="1030" t="str">
        <f>IFERROR(INDEX(V373:AG373,1,MATCH(Parametres!$B$3,V$1:AG$1,0)-1)*IF(OR(C373="L",C373="S",C373="I"),-1,1),"")</f>
        <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2026</v>
      </c>
      <c r="C374" s="832" t="s">
        <v>1896</v>
      </c>
      <c r="D374" s="832" t="s">
        <v>1897</v>
      </c>
      <c r="E374" s="832" t="s">
        <v>1891</v>
      </c>
      <c r="F374" s="832" t="s">
        <v>1792</v>
      </c>
      <c r="G374" s="832">
        <v>0</v>
      </c>
      <c r="H374" s="832">
        <v>0</v>
      </c>
      <c r="I374" s="832">
        <v>0</v>
      </c>
      <c r="J374" s="832">
        <v>24980.57</v>
      </c>
      <c r="K374" s="832">
        <v>24980.57</v>
      </c>
      <c r="L374" s="832">
        <v>24980.57</v>
      </c>
      <c r="M374" s="832">
        <v>24980.57</v>
      </c>
      <c r="N374" s="832">
        <v>24980.57</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H13100</v>
      </c>
      <c r="AK374" s="1030" t="str">
        <f t="shared" si="31"/>
        <v>VEHICULES NEUFS AUTRES</v>
      </c>
      <c r="AL374" s="1030" t="str">
        <f>IFERROR(INDEX(G374:R374,1,MATCH(Parametres!$B$3,G$1:R$1,0)-1)*IF(OR(F374="L",F374="S",F374="I"),-1,1),"")</f>
        <v/>
      </c>
      <c r="AM374" s="1030">
        <f t="shared" si="32"/>
        <v>0</v>
      </c>
      <c r="AN374" s="1030">
        <f>INDEX(G374:R374,1,MATCH(Parametres!$B$3,G$1:R$1,0))*IF(OR(F374="L",F374="S",F374="I"),-1,1)</f>
        <v>0</v>
      </c>
      <c r="AO374" s="598" t="str">
        <f>+VLOOKUP($AJ374,Data_Validation!$A:$D,1,0)</f>
        <v>H13100</v>
      </c>
      <c r="AP374" s="598" t="str">
        <f>+VLOOKUP($AJ374,Data_Validation!$A:$D,3,0)</f>
        <v>Bilan</v>
      </c>
      <c r="AQ374" s="598" t="str">
        <f>+VLOOKUP($AJ374,Data_Validation!$A:$D,4,0)</f>
        <v>Inventaire Véhicules Neufs</v>
      </c>
      <c r="AR374" s="598" t="s">
        <v>299</v>
      </c>
      <c r="AS374" s="598">
        <f>+VLOOKUP($AJ374,Data_Validation!$A:$E,5,0)</f>
        <v>0</v>
      </c>
      <c r="AT374" s="1036" t="str">
        <f t="shared" si="33"/>
        <v>H13100</v>
      </c>
      <c r="AU374" s="599" t="str">
        <f t="shared" si="34"/>
        <v>VEHICULES NEUFS AUTRES</v>
      </c>
      <c r="AV374" s="1030" t="str">
        <f>IFERROR(INDEX(V374:AG374,1,MATCH(Parametres!$B$3,V$1:AG$1,0)-1)*IF(OR(C374="L",C374="S",C374="I"),-1,1),"")</f>
        <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2026</v>
      </c>
      <c r="C375" s="832" t="s">
        <v>1898</v>
      </c>
      <c r="D375" s="832" t="s">
        <v>1899</v>
      </c>
      <c r="E375" s="832" t="s">
        <v>1891</v>
      </c>
      <c r="F375" s="832" t="s">
        <v>1792</v>
      </c>
      <c r="G375" s="832">
        <v>148707.63</v>
      </c>
      <c r="H375" s="832">
        <v>148368.89000000001</v>
      </c>
      <c r="I375" s="832">
        <v>147305.10999999999</v>
      </c>
      <c r="J375" s="832">
        <v>302027.14</v>
      </c>
      <c r="K375" s="832">
        <v>391231.32</v>
      </c>
      <c r="L375" s="832">
        <v>391231.32</v>
      </c>
      <c r="M375" s="832">
        <v>391231.32</v>
      </c>
      <c r="N375" s="832">
        <v>391231.32</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H13600</v>
      </c>
      <c r="AK375" s="1030" t="str">
        <f t="shared" si="31"/>
        <v>DEMONSTRATEUR - HYUNDAI</v>
      </c>
      <c r="AL375" s="1030" t="str">
        <f>IFERROR(INDEX(G375:R375,1,MATCH(Parametres!$B$3,G$1:R$1,0)-1)*IF(OR(F375="L",F375="S",F375="I"),-1,1),"")</f>
        <v/>
      </c>
      <c r="AM375" s="1030">
        <f t="shared" si="32"/>
        <v>148707.63</v>
      </c>
      <c r="AN375" s="1030">
        <f>INDEX(G375:R375,1,MATCH(Parametres!$B$3,G$1:R$1,0))*IF(OR(F375="L",F375="S",F375="I"),-1,1)</f>
        <v>148707.63</v>
      </c>
      <c r="AO375" s="598" t="str">
        <f>+VLOOKUP($AJ375,Data_Validation!$A:$D,1,0)</f>
        <v>H13600</v>
      </c>
      <c r="AP375" s="598" t="str">
        <f>+VLOOKUP($AJ375,Data_Validation!$A:$D,3,0)</f>
        <v>Bilan</v>
      </c>
      <c r="AQ375" s="598" t="str">
        <f>+VLOOKUP($AJ375,Data_Validation!$A:$D,4,0)</f>
        <v>Inventaire Véhicules Neufs</v>
      </c>
      <c r="AR375" s="598" t="s">
        <v>299</v>
      </c>
      <c r="AS375" s="598">
        <f>+VLOOKUP($AJ375,Data_Validation!$A:$E,5,0)</f>
        <v>0</v>
      </c>
      <c r="AT375" s="1036" t="str">
        <f t="shared" si="33"/>
        <v>H13600</v>
      </c>
      <c r="AU375" s="599" t="str">
        <f t="shared" si="34"/>
        <v>DEMONSTRATEUR - HYUNDAI</v>
      </c>
      <c r="AV375" s="1030" t="str">
        <f>IFERROR(INDEX(V375:AG375,1,MATCH(Parametres!$B$3,V$1:AG$1,0)-1)*IF(OR(C375="L",C375="S",C375="I"),-1,1),"")</f>
        <v/>
      </c>
      <c r="AW375" s="1030">
        <f t="shared" si="35"/>
        <v>0</v>
      </c>
      <c r="AX375" s="1030">
        <f>INDEX(V375:AG375,1,MATCH(Parametres!$B$3,V$1:AG$1,0))*IF(OR(C375="L",C375="S",C375="I"),-1,1)</f>
        <v>0</v>
      </c>
      <c r="AY375" s="598" t="s">
        <v>337</v>
      </c>
      <c r="AZ375" s="598">
        <f>+VLOOKUP($AJ375,Data_Validation!$A:$E,5,0)</f>
        <v>0</v>
      </c>
    </row>
    <row r="376" spans="1:52" ht="15.75" customHeight="1">
      <c r="A376" s="832" t="s">
        <v>1150</v>
      </c>
      <c r="B376" s="832">
        <v>2026</v>
      </c>
      <c r="C376" s="832" t="s">
        <v>1900</v>
      </c>
      <c r="D376" s="832" t="s">
        <v>1901</v>
      </c>
      <c r="E376" s="832" t="s">
        <v>1891</v>
      </c>
      <c r="F376" s="832" t="s">
        <v>1792</v>
      </c>
      <c r="G376" s="832">
        <v>0</v>
      </c>
      <c r="H376" s="832">
        <v>0</v>
      </c>
      <c r="I376" s="832">
        <v>0</v>
      </c>
      <c r="J376" s="832">
        <v>0</v>
      </c>
      <c r="K376" s="832">
        <v>0</v>
      </c>
      <c r="L376" s="832">
        <v>0</v>
      </c>
      <c r="M376" s="832">
        <v>0</v>
      </c>
      <c r="N376" s="832">
        <v>0</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H13700</v>
      </c>
      <c r="AK376" s="1030" t="str">
        <f t="shared" si="31"/>
        <v>VEHICULES LOUE A L/T</v>
      </c>
      <c r="AL376" s="1030" t="str">
        <f>IFERROR(INDEX(G376:R376,1,MATCH(Parametres!$B$3,G$1:R$1,0)-1)*IF(OR(F376="L",F376="S",F376="I"),-1,1),"")</f>
        <v/>
      </c>
      <c r="AM376" s="1030">
        <f t="shared" si="32"/>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t="str">
        <f t="shared" si="33"/>
        <v>H13700</v>
      </c>
      <c r="AU376" s="599" t="str">
        <f t="shared" si="34"/>
        <v>VEHICULES LOUE A L/T</v>
      </c>
      <c r="AV376" s="1030" t="str">
        <f>IFERROR(INDEX(V376:AG376,1,MATCH(Parametres!$B$3,V$1:AG$1,0)-1)*IF(OR(C376="L",C376="S",C376="I"),-1,1),"")</f>
        <v/>
      </c>
      <c r="AW376" s="1030">
        <f t="shared" si="35"/>
        <v>0</v>
      </c>
      <c r="AX376" s="1030">
        <f>INDEX(V376:AG376,1,MATCH(Parametres!$B$3,V$1:AG$1,0))*IF(OR(C376="L",C376="S",C376="I"),-1,1)</f>
        <v>0</v>
      </c>
      <c r="AY376" s="598" t="s">
        <v>337</v>
      </c>
      <c r="AZ376" s="598" t="e">
        <f>+VLOOKUP($AJ376,Data_Validation!$A:$E,5,0)</f>
        <v>#N/A</v>
      </c>
    </row>
    <row r="377" spans="1:52" ht="15.75" customHeight="1">
      <c r="A377" s="832" t="s">
        <v>1150</v>
      </c>
      <c r="B377" s="832">
        <v>2026</v>
      </c>
      <c r="C377" s="832" t="s">
        <v>1902</v>
      </c>
      <c r="D377" s="832" t="s">
        <v>1903</v>
      </c>
      <c r="E377" s="832" t="s">
        <v>1891</v>
      </c>
      <c r="F377" s="832" t="s">
        <v>1792</v>
      </c>
      <c r="G377" s="832">
        <v>626336.15</v>
      </c>
      <c r="H377" s="832">
        <v>640005.69999999995</v>
      </c>
      <c r="I377" s="832">
        <v>993257.95</v>
      </c>
      <c r="J377" s="832">
        <v>775731.01</v>
      </c>
      <c r="K377" s="832">
        <v>652653.52</v>
      </c>
      <c r="L377" s="832">
        <v>652818.52</v>
      </c>
      <c r="M377" s="832">
        <v>652818.52</v>
      </c>
      <c r="N377" s="832">
        <v>652818.52</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H13800</v>
      </c>
      <c r="AK377" s="1030" t="str">
        <f t="shared" si="31"/>
        <v>VEHICULES D OCCASSION</v>
      </c>
      <c r="AL377" s="1030" t="str">
        <f>IFERROR(INDEX(G377:R377,1,MATCH(Parametres!$B$3,G$1:R$1,0)-1)*IF(OR(F377="L",F377="S",F377="I"),-1,1),"")</f>
        <v/>
      </c>
      <c r="AM377" s="1030">
        <f t="shared" si="32"/>
        <v>626336.15</v>
      </c>
      <c r="AN377" s="1030">
        <f>INDEX(G377:R377,1,MATCH(Parametres!$B$3,G$1:R$1,0))*IF(OR(F377="L",F377="S",F377="I"),-1,1)</f>
        <v>626336.15</v>
      </c>
      <c r="AO377" s="598" t="str">
        <f>+VLOOKUP($AJ377,Data_Validation!$A:$D,1,0)</f>
        <v>H13800</v>
      </c>
      <c r="AP377" s="598" t="str">
        <f>+VLOOKUP($AJ377,Data_Validation!$A:$D,3,0)</f>
        <v>Bilan</v>
      </c>
      <c r="AQ377" s="598" t="str">
        <f>+VLOOKUP($AJ377,Data_Validation!$A:$D,4,0)</f>
        <v>Inventaire Véhicules Usagés</v>
      </c>
      <c r="AR377" s="598" t="s">
        <v>299</v>
      </c>
      <c r="AS377" s="598">
        <f>+VLOOKUP($AJ377,Data_Validation!$A:$E,5,0)</f>
        <v>0</v>
      </c>
      <c r="AT377" s="1036" t="str">
        <f t="shared" si="33"/>
        <v>H13800</v>
      </c>
      <c r="AU377" s="599" t="str">
        <f t="shared" si="34"/>
        <v>VEHICULES D OCCASSION</v>
      </c>
      <c r="AV377" s="1030" t="str">
        <f>IFERROR(INDEX(V377:AG377,1,MATCH(Parametres!$B$3,V$1:AG$1,0)-1)*IF(OR(C377="L",C377="S",C377="I"),-1,1),"")</f>
        <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2026</v>
      </c>
      <c r="C378" s="832" t="s">
        <v>1904</v>
      </c>
      <c r="D378" s="832" t="s">
        <v>1905</v>
      </c>
      <c r="E378" s="832" t="s">
        <v>1891</v>
      </c>
      <c r="F378" s="832" t="s">
        <v>1792</v>
      </c>
      <c r="G378" s="832">
        <v>65457.47</v>
      </c>
      <c r="H378" s="832">
        <v>75856.490000000005</v>
      </c>
      <c r="I378" s="832">
        <v>60317</v>
      </c>
      <c r="J378" s="832">
        <v>105999.21</v>
      </c>
      <c r="K378" s="832">
        <v>300217.05</v>
      </c>
      <c r="L378" s="832">
        <v>300911.14</v>
      </c>
      <c r="M378" s="832">
        <v>300911.14</v>
      </c>
      <c r="N378" s="832">
        <v>300911.14</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H13801</v>
      </c>
      <c r="AK378" s="1030" t="str">
        <f t="shared" si="31"/>
        <v>VEHICULES OCC AUTRES</v>
      </c>
      <c r="AL378" s="1030" t="str">
        <f>IFERROR(INDEX(G378:R378,1,MATCH(Parametres!$B$3,G$1:R$1,0)-1)*IF(OR(F378="L",F378="S",F378="I"),-1,1),"")</f>
        <v/>
      </c>
      <c r="AM378" s="1030">
        <f t="shared" si="32"/>
        <v>65457.47</v>
      </c>
      <c r="AN378" s="1030">
        <f>INDEX(G378:R378,1,MATCH(Parametres!$B$3,G$1:R$1,0))*IF(OR(F378="L",F378="S",F378="I"),-1,1)</f>
        <v>65457.47</v>
      </c>
      <c r="AO378" s="598" t="str">
        <f>+VLOOKUP($AJ378,Data_Validation!$A:$D,1,0)</f>
        <v>H13801</v>
      </c>
      <c r="AP378" s="598" t="str">
        <f>+VLOOKUP($AJ378,Data_Validation!$A:$D,3,0)</f>
        <v>Bilan</v>
      </c>
      <c r="AQ378" s="598" t="str">
        <f>+VLOOKUP($AJ378,Data_Validation!$A:$D,4,0)</f>
        <v>Inventaire Véhicules Usagés</v>
      </c>
      <c r="AR378" s="598" t="s">
        <v>299</v>
      </c>
      <c r="AS378" s="598">
        <f>+VLOOKUP($AJ378,Data_Validation!$A:$E,5,0)</f>
        <v>0</v>
      </c>
      <c r="AT378" s="1036" t="str">
        <f t="shared" si="33"/>
        <v>H13801</v>
      </c>
      <c r="AU378" s="599" t="str">
        <f t="shared" si="34"/>
        <v>VEHICULES OCC AUTRES</v>
      </c>
      <c r="AV378" s="1030" t="str">
        <f>IFERROR(INDEX(V378:AG378,1,MATCH(Parametres!$B$3,V$1:AG$1,0)-1)*IF(OR(C378="L",C378="S",C378="I"),-1,1),"")</f>
        <v/>
      </c>
      <c r="AW378" s="1030">
        <f t="shared" si="35"/>
        <v>0</v>
      </c>
      <c r="AX378" s="1030">
        <f>INDEX(V378:AG378,1,MATCH(Parametres!$B$3,V$1:AG$1,0))*IF(OR(C378="L",C378="S",C378="I"),-1,1)</f>
        <v>0</v>
      </c>
      <c r="AY378" s="598" t="s">
        <v>337</v>
      </c>
      <c r="AZ378" s="598">
        <f>+VLOOKUP($AJ378,Data_Validation!$A:$E,5,0)</f>
        <v>0</v>
      </c>
    </row>
    <row r="379" spans="1:52" ht="15.75" customHeight="1">
      <c r="A379" s="832" t="s">
        <v>1150</v>
      </c>
      <c r="B379" s="832">
        <v>2026</v>
      </c>
      <c r="C379" s="832" t="s">
        <v>1906</v>
      </c>
      <c r="D379" s="832" t="s">
        <v>1907</v>
      </c>
      <c r="E379" s="832" t="s">
        <v>1891</v>
      </c>
      <c r="F379" s="832" t="s">
        <v>1792</v>
      </c>
      <c r="G379" s="832">
        <v>0</v>
      </c>
      <c r="H379" s="832">
        <v>0</v>
      </c>
      <c r="I379" s="832">
        <v>0</v>
      </c>
      <c r="J379" s="832">
        <v>0</v>
      </c>
      <c r="K379" s="832">
        <v>0</v>
      </c>
      <c r="L379" s="832">
        <v>0</v>
      </c>
      <c r="M379" s="832">
        <v>0</v>
      </c>
      <c r="N379" s="832">
        <v>0</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H13802</v>
      </c>
      <c r="AK379" s="1030" t="str">
        <f t="shared" si="31"/>
        <v>VEHICULES OCC CERTIF HYUN</v>
      </c>
      <c r="AL379" s="1030" t="str">
        <f>IFERROR(INDEX(G379:R379,1,MATCH(Parametres!$B$3,G$1:R$1,0)-1)*IF(OR(F379="L",F379="S",F379="I"),-1,1),"")</f>
        <v/>
      </c>
      <c r="AM379" s="1030">
        <f t="shared" si="32"/>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t="str">
        <f t="shared" si="33"/>
        <v>H13802</v>
      </c>
      <c r="AU379" s="599" t="str">
        <f t="shared" si="34"/>
        <v>VEHICULES OCC CERTIF HYUN</v>
      </c>
      <c r="AV379" s="1030" t="str">
        <f>IFERROR(INDEX(V379:AG379,1,MATCH(Parametres!$B$3,V$1:AG$1,0)-1)*IF(OR(C379="L",C379="S",C379="I"),-1,1),"")</f>
        <v/>
      </c>
      <c r="AW379" s="1030">
        <f t="shared" si="35"/>
        <v>0</v>
      </c>
      <c r="AX379" s="1030">
        <f>INDEX(V379:AG379,1,MATCH(Parametres!$B$3,V$1:AG$1,0))*IF(OR(C379="L",C379="S",C379="I"),-1,1)</f>
        <v>0</v>
      </c>
      <c r="AY379" s="598" t="s">
        <v>337</v>
      </c>
      <c r="AZ379" s="598" t="e">
        <f>+VLOOKUP($AJ379,Data_Validation!$A:$E,5,0)</f>
        <v>#N/A</v>
      </c>
    </row>
    <row r="380" spans="1:52" ht="15.75" customHeight="1">
      <c r="A380" s="832" t="s">
        <v>1150</v>
      </c>
      <c r="B380" s="832">
        <v>2026</v>
      </c>
      <c r="C380" s="832" t="s">
        <v>1908</v>
      </c>
      <c r="D380" s="832" t="s">
        <v>1909</v>
      </c>
      <c r="E380" s="832" t="s">
        <v>1891</v>
      </c>
      <c r="F380" s="832" t="s">
        <v>1792</v>
      </c>
      <c r="G380" s="832">
        <v>648619.4</v>
      </c>
      <c r="H380" s="832">
        <v>634907.68000000005</v>
      </c>
      <c r="I380" s="832">
        <v>618462.68999999994</v>
      </c>
      <c r="J380" s="832">
        <v>570071.69999999995</v>
      </c>
      <c r="K380" s="832">
        <v>595931.68000000005</v>
      </c>
      <c r="L380" s="832">
        <v>595931.68000000005</v>
      </c>
      <c r="M380" s="832">
        <v>595931.68000000005</v>
      </c>
      <c r="N380" s="832">
        <v>595931.68000000005</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H13900</v>
      </c>
      <c r="AK380" s="1030" t="str">
        <f t="shared" si="31"/>
        <v>VEHICULE LOCATION A C.T</v>
      </c>
      <c r="AL380" s="1030" t="str">
        <f>IFERROR(INDEX(G380:R380,1,MATCH(Parametres!$B$3,G$1:R$1,0)-1)*IF(OR(F380="L",F380="S",F380="I"),-1,1),"")</f>
        <v/>
      </c>
      <c r="AM380" s="1030">
        <f t="shared" si="32"/>
        <v>648619.4</v>
      </c>
      <c r="AN380" s="1030">
        <f>INDEX(G380:R380,1,MATCH(Parametres!$B$3,G$1:R$1,0))*IF(OR(F380="L",F380="S",F380="I"),-1,1)</f>
        <v>648619.4</v>
      </c>
      <c r="AO380" s="598" t="str">
        <f>+VLOOKUP($AJ380,Data_Validation!$A:$D,1,0)</f>
        <v>H13900</v>
      </c>
      <c r="AP380" s="598" t="str">
        <f>+VLOOKUP($AJ380,Data_Validation!$A:$D,3,0)</f>
        <v>Bilan</v>
      </c>
      <c r="AQ380" s="598" t="str">
        <f>+VLOOKUP($AJ380,Data_Validation!$A:$D,4,0)</f>
        <v>Inventaire Véhicules Neufs</v>
      </c>
      <c r="AR380" s="598" t="s">
        <v>299</v>
      </c>
      <c r="AS380" s="598">
        <f>+VLOOKUP($AJ380,Data_Validation!$A:$E,5,0)</f>
        <v>0</v>
      </c>
      <c r="AT380" s="1036" t="str">
        <f t="shared" si="33"/>
        <v>H13900</v>
      </c>
      <c r="AU380" s="599" t="str">
        <f t="shared" si="34"/>
        <v>VEHICULE LOCATION A C.T</v>
      </c>
      <c r="AV380" s="1030" t="str">
        <f>IFERROR(INDEX(V380:AG380,1,MATCH(Parametres!$B$3,V$1:AG$1,0)-1)*IF(OR(C380="L",C380="S",C380="I"),-1,1),"")</f>
        <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2026</v>
      </c>
      <c r="C381" s="832" t="s">
        <v>1910</v>
      </c>
      <c r="D381" s="832" t="s">
        <v>1911</v>
      </c>
      <c r="E381" s="832" t="s">
        <v>333</v>
      </c>
      <c r="F381" s="832" t="s">
        <v>1792</v>
      </c>
      <c r="G381" s="832">
        <v>20041.419999999998</v>
      </c>
      <c r="H381" s="832">
        <v>23343.05</v>
      </c>
      <c r="I381" s="832">
        <v>24757.19</v>
      </c>
      <c r="J381" s="832">
        <v>21422.41</v>
      </c>
      <c r="K381" s="832">
        <v>20465.740000000002</v>
      </c>
      <c r="L381" s="832">
        <v>20465.740000000002</v>
      </c>
      <c r="M381" s="832">
        <v>20465.740000000002</v>
      </c>
      <c r="N381" s="832">
        <v>20465.740000000002</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H14100</v>
      </c>
      <c r="AK381" s="1030" t="str">
        <f t="shared" si="31"/>
        <v>ESSENCE INV. EN GROS</v>
      </c>
      <c r="AL381" s="1030" t="str">
        <f>IFERROR(INDEX(G381:R381,1,MATCH(Parametres!$B$3,G$1:R$1,0)-1)*IF(OR(F381="L",F381="S",F381="I"),-1,1),"")</f>
        <v/>
      </c>
      <c r="AM381" s="1030">
        <f t="shared" si="32"/>
        <v>20041.419999999998</v>
      </c>
      <c r="AN381" s="1030">
        <f>INDEX(G381:R381,1,MATCH(Parametres!$B$3,G$1:R$1,0))*IF(OR(F381="L",F381="S",F381="I"),-1,1)</f>
        <v>20041.419999999998</v>
      </c>
      <c r="AO381" s="598" t="str">
        <f>+VLOOKUP($AJ381,Data_Validation!$A:$D,1,0)</f>
        <v>H14100</v>
      </c>
      <c r="AP381" s="598" t="str">
        <f>+VLOOKUP($AJ381,Data_Validation!$A:$D,3,0)</f>
        <v>Bilan</v>
      </c>
      <c r="AQ381" s="598" t="str">
        <f>+VLOOKUP($AJ381,Data_Validation!$A:$D,4,0)</f>
        <v>Inventaire Pièces, Pneus, Huile</v>
      </c>
      <c r="AR381" s="598" t="s">
        <v>299</v>
      </c>
      <c r="AS381" s="598">
        <f>+VLOOKUP($AJ381,Data_Validation!$A:$E,5,0)</f>
        <v>0</v>
      </c>
      <c r="AT381" s="1036" t="str">
        <f t="shared" si="33"/>
        <v>H14100</v>
      </c>
      <c r="AU381" s="599" t="str">
        <f t="shared" si="34"/>
        <v>ESSENCE INV. EN GROS</v>
      </c>
      <c r="AV381" s="1030" t="str">
        <f>IFERROR(INDEX(V381:AG381,1,MATCH(Parametres!$B$3,V$1:AG$1,0)-1)*IF(OR(C381="L",C381="S",C381="I"),-1,1),"")</f>
        <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2026</v>
      </c>
      <c r="C382" s="832" t="s">
        <v>1912</v>
      </c>
      <c r="D382" s="832" t="s">
        <v>1913</v>
      </c>
      <c r="E382" s="832" t="s">
        <v>333</v>
      </c>
      <c r="F382" s="832" t="s">
        <v>1792</v>
      </c>
      <c r="G382" s="832">
        <v>208422.31</v>
      </c>
      <c r="H382" s="832">
        <v>203214.7</v>
      </c>
      <c r="I382" s="832">
        <v>163638.93</v>
      </c>
      <c r="J382" s="832">
        <v>194522.48</v>
      </c>
      <c r="K382" s="832">
        <v>-208816.73</v>
      </c>
      <c r="L382" s="832">
        <v>-233851.12</v>
      </c>
      <c r="M382" s="832">
        <v>-233851.12</v>
      </c>
      <c r="N382" s="832">
        <v>-233851.12</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H14400</v>
      </c>
      <c r="AK382" s="1030" t="str">
        <f t="shared" si="31"/>
        <v>PIECES &amp; ACCESS.-HYUNDAI</v>
      </c>
      <c r="AL382" s="1030" t="str">
        <f>IFERROR(INDEX(G382:R382,1,MATCH(Parametres!$B$3,G$1:R$1,0)-1)*IF(OR(F382="L",F382="S",F382="I"),-1,1),"")</f>
        <v/>
      </c>
      <c r="AM382" s="1030">
        <f t="shared" si="32"/>
        <v>208422.31</v>
      </c>
      <c r="AN382" s="1030">
        <f>INDEX(G382:R382,1,MATCH(Parametres!$B$3,G$1:R$1,0))*IF(OR(F382="L",F382="S",F382="I"),-1,1)</f>
        <v>208422.31</v>
      </c>
      <c r="AO382" s="598" t="str">
        <f>+VLOOKUP($AJ382,Data_Validation!$A:$D,1,0)</f>
        <v>H14400</v>
      </c>
      <c r="AP382" s="598" t="str">
        <f>+VLOOKUP($AJ382,Data_Validation!$A:$D,3,0)</f>
        <v>Bilan</v>
      </c>
      <c r="AQ382" s="598" t="str">
        <f>+VLOOKUP($AJ382,Data_Validation!$A:$D,4,0)</f>
        <v>Inventaire Pièces, Pneus, Huile</v>
      </c>
      <c r="AR382" s="598" t="s">
        <v>299</v>
      </c>
      <c r="AS382" s="598">
        <f>+VLOOKUP($AJ382,Data_Validation!$A:$E,5,0)</f>
        <v>0</v>
      </c>
      <c r="AT382" s="1036" t="str">
        <f t="shared" si="33"/>
        <v>H14400</v>
      </c>
      <c r="AU382" s="599" t="str">
        <f t="shared" si="34"/>
        <v>PIECES &amp; ACCESS.-HYUNDAI</v>
      </c>
      <c r="AV382" s="1030" t="str">
        <f>IFERROR(INDEX(V382:AG382,1,MATCH(Parametres!$B$3,V$1:AG$1,0)-1)*IF(OR(C382="L",C382="S",C382="I"),-1,1),"")</f>
        <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2026</v>
      </c>
      <c r="C383" s="832" t="s">
        <v>1914</v>
      </c>
      <c r="D383" s="832" t="s">
        <v>1915</v>
      </c>
      <c r="E383" s="832" t="s">
        <v>333</v>
      </c>
      <c r="F383" s="832" t="s">
        <v>1792</v>
      </c>
      <c r="G383" s="832">
        <v>10739.73</v>
      </c>
      <c r="H383" s="832">
        <v>10922.33</v>
      </c>
      <c r="I383" s="832">
        <v>9721.82</v>
      </c>
      <c r="J383" s="832">
        <v>10180.81</v>
      </c>
      <c r="K383" s="832">
        <v>-7175.36</v>
      </c>
      <c r="L383" s="832">
        <v>-7367.28</v>
      </c>
      <c r="M383" s="832">
        <v>-7367.28</v>
      </c>
      <c r="N383" s="832">
        <v>-7367.28</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H14401</v>
      </c>
      <c r="AK383" s="1030" t="str">
        <f t="shared" si="31"/>
        <v>ACCESSOIRES HYUNDAI</v>
      </c>
      <c r="AL383" s="1030" t="str">
        <f>IFERROR(INDEX(G383:R383,1,MATCH(Parametres!$B$3,G$1:R$1,0)-1)*IF(OR(F383="L",F383="S",F383="I"),-1,1),"")</f>
        <v/>
      </c>
      <c r="AM383" s="1030">
        <f t="shared" si="32"/>
        <v>10739.73</v>
      </c>
      <c r="AN383" s="1030">
        <f>INDEX(G383:R383,1,MATCH(Parametres!$B$3,G$1:R$1,0))*IF(OR(F383="L",F383="S",F383="I"),-1,1)</f>
        <v>10739.73</v>
      </c>
      <c r="AO383" s="598" t="str">
        <f>+VLOOKUP($AJ383,Data_Validation!$A:$D,1,0)</f>
        <v>H14401</v>
      </c>
      <c r="AP383" s="598" t="str">
        <f>+VLOOKUP($AJ383,Data_Validation!$A:$D,3,0)</f>
        <v>Bilan</v>
      </c>
      <c r="AQ383" s="598" t="str">
        <f>+VLOOKUP($AJ383,Data_Validation!$A:$D,4,0)</f>
        <v>Inventaire Pièces, Pneus, Huile</v>
      </c>
      <c r="AR383" s="598" t="s">
        <v>299</v>
      </c>
      <c r="AS383" s="598">
        <f>+VLOOKUP($AJ383,Data_Validation!$A:$E,5,0)</f>
        <v>0</v>
      </c>
      <c r="AT383" s="1036" t="str">
        <f t="shared" si="33"/>
        <v>H14401</v>
      </c>
      <c r="AU383" s="599" t="str">
        <f t="shared" si="34"/>
        <v>ACCESSOIRES HYUNDAI</v>
      </c>
      <c r="AV383" s="1030" t="str">
        <f>IFERROR(INDEX(V383:AG383,1,MATCH(Parametres!$B$3,V$1:AG$1,0)-1)*IF(OR(C383="L",C383="S",C383="I"),-1,1),"")</f>
        <v/>
      </c>
      <c r="AW383" s="1030">
        <f t="shared" si="35"/>
        <v>0</v>
      </c>
      <c r="AX383" s="1030">
        <f>INDEX(V383:AG383,1,MATCH(Parametres!$B$3,V$1:AG$1,0))*IF(OR(C383="L",C383="S",C383="I"),-1,1)</f>
        <v>0</v>
      </c>
      <c r="AY383" s="598" t="s">
        <v>337</v>
      </c>
      <c r="AZ383" s="598">
        <f>+VLOOKUP($AJ383,Data_Validation!$A:$E,5,0)</f>
        <v>0</v>
      </c>
    </row>
    <row r="384" spans="1:52" ht="15.75" customHeight="1">
      <c r="A384" s="832" t="s">
        <v>1150</v>
      </c>
      <c r="B384" s="832">
        <v>2026</v>
      </c>
      <c r="C384" s="832" t="s">
        <v>1916</v>
      </c>
      <c r="D384" s="832" t="s">
        <v>1917</v>
      </c>
      <c r="E384" s="832" t="s">
        <v>336</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H14500</v>
      </c>
      <c r="AK384" s="1030" t="str">
        <f t="shared" si="31"/>
        <v>PIECES &amp; ACCESS.-F&amp;I</v>
      </c>
      <c r="AL384" s="1030" t="str">
        <f>IFERROR(INDEX(G384:R384,1,MATCH(Parametres!$B$3,G$1:R$1,0)-1)*IF(OR(F384="L",F384="S",F384="I"),-1,1),"")</f>
        <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H14500</v>
      </c>
      <c r="AU384" s="599" t="str">
        <f t="shared" si="34"/>
        <v>PIECES &amp; ACCESS.-F&amp;I</v>
      </c>
      <c r="AV384" s="1030" t="str">
        <f>IFERROR(INDEX(V384:AG384,1,MATCH(Parametres!$B$3,V$1:AG$1,0)-1)*IF(OR(C384="L",C384="S",C384="I"),-1,1),"")</f>
        <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2026</v>
      </c>
      <c r="C385" s="832" t="s">
        <v>1918</v>
      </c>
      <c r="D385" s="832" t="s">
        <v>1919</v>
      </c>
      <c r="E385" s="832" t="s">
        <v>333</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H14501</v>
      </c>
      <c r="AK385" s="1030" t="str">
        <f t="shared" si="31"/>
        <v>ACCESSOIRES AUTRES</v>
      </c>
      <c r="AL385" s="1030" t="str">
        <f>IFERROR(INDEX(G385:R385,1,MATCH(Parametres!$B$3,G$1:R$1,0)-1)*IF(OR(F385="L",F385="S",F385="I"),-1,1),"")</f>
        <v/>
      </c>
      <c r="AM385" s="1030">
        <f t="shared" si="32"/>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t="str">
        <f t="shared" si="33"/>
        <v>H14501</v>
      </c>
      <c r="AU385" s="599" t="str">
        <f t="shared" si="34"/>
        <v>ACCESSOIRES AUTRES</v>
      </c>
      <c r="AV385" s="1030" t="str">
        <f>IFERROR(INDEX(V385:AG385,1,MATCH(Parametres!$B$3,V$1:AG$1,0)-1)*IF(OR(C385="L",C385="S",C385="I"),-1,1),"")</f>
        <v/>
      </c>
      <c r="AW385" s="1030">
        <f t="shared" si="35"/>
        <v>0</v>
      </c>
      <c r="AX385" s="1030">
        <f>INDEX(V385:AG385,1,MATCH(Parametres!$B$3,V$1:AG$1,0))*IF(OR(C385="L",C385="S",C385="I"),-1,1)</f>
        <v>0</v>
      </c>
      <c r="AY385" s="598" t="s">
        <v>337</v>
      </c>
      <c r="AZ385" s="598" t="e">
        <f>+VLOOKUP($AJ385,Data_Validation!$A:$E,5,0)</f>
        <v>#N/A</v>
      </c>
    </row>
    <row r="386" spans="1:52" ht="15.75" customHeight="1">
      <c r="A386" s="832" t="s">
        <v>1150</v>
      </c>
      <c r="B386" s="832">
        <v>2026</v>
      </c>
      <c r="C386" s="832" t="s">
        <v>1920</v>
      </c>
      <c r="D386" s="832" t="s">
        <v>650</v>
      </c>
      <c r="E386" s="832" t="s">
        <v>333</v>
      </c>
      <c r="F386" s="832" t="s">
        <v>1792</v>
      </c>
      <c r="G386" s="832">
        <v>31936.17</v>
      </c>
      <c r="H386" s="832">
        <v>21557.200000000001</v>
      </c>
      <c r="I386" s="832">
        <v>13027.01</v>
      </c>
      <c r="J386" s="832">
        <v>13362.43</v>
      </c>
      <c r="K386" s="832">
        <v>-22360.44</v>
      </c>
      <c r="L386" s="832">
        <v>-23922.880000000001</v>
      </c>
      <c r="M386" s="832">
        <v>-23922.880000000001</v>
      </c>
      <c r="N386" s="832">
        <v>-23922.880000000001</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H14800</v>
      </c>
      <c r="AK386" s="1030" t="str">
        <f t="shared" si="31"/>
        <v>PNEUS</v>
      </c>
      <c r="AL386" s="1030" t="str">
        <f>IFERROR(INDEX(G386:R386,1,MATCH(Parametres!$B$3,G$1:R$1,0)-1)*IF(OR(F386="L",F386="S",F386="I"),-1,1),"")</f>
        <v/>
      </c>
      <c r="AM386" s="1030">
        <f t="shared" si="32"/>
        <v>31936.17</v>
      </c>
      <c r="AN386" s="1030">
        <f>INDEX(G386:R386,1,MATCH(Parametres!$B$3,G$1:R$1,0))*IF(OR(F386="L",F386="S",F386="I"),-1,1)</f>
        <v>31936.17</v>
      </c>
      <c r="AO386" s="598" t="str">
        <f>+VLOOKUP($AJ386,Data_Validation!$A:$D,1,0)</f>
        <v>H14800</v>
      </c>
      <c r="AP386" s="598" t="str">
        <f>+VLOOKUP($AJ386,Data_Validation!$A:$D,3,0)</f>
        <v>Bilan</v>
      </c>
      <c r="AQ386" s="598" t="str">
        <f>+VLOOKUP($AJ386,Data_Validation!$A:$D,4,0)</f>
        <v>Inventaire Pièces, Pneus, Huile</v>
      </c>
      <c r="AR386" s="598" t="s">
        <v>299</v>
      </c>
      <c r="AS386" s="598">
        <f>+VLOOKUP($AJ386,Data_Validation!$A:$E,5,0)</f>
        <v>0</v>
      </c>
      <c r="AT386" s="1036" t="str">
        <f t="shared" si="33"/>
        <v>H14800</v>
      </c>
      <c r="AU386" s="599" t="str">
        <f t="shared" si="34"/>
        <v>PNEUS</v>
      </c>
      <c r="AV386" s="1030" t="str">
        <f>IFERROR(INDEX(V386:AG386,1,MATCH(Parametres!$B$3,V$1:AG$1,0)-1)*IF(OR(C386="L",C386="S",C386="I"),-1,1),"")</f>
        <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2026</v>
      </c>
      <c r="C387" s="832" t="s">
        <v>1921</v>
      </c>
      <c r="D387" s="832" t="s">
        <v>1922</v>
      </c>
      <c r="E387" s="832" t="s">
        <v>1842</v>
      </c>
      <c r="F387" s="832" t="s">
        <v>1792</v>
      </c>
      <c r="G387" s="832">
        <v>-2385.98</v>
      </c>
      <c r="H387" s="832">
        <v>-3341.69</v>
      </c>
      <c r="I387" s="832">
        <v>-3706.02</v>
      </c>
      <c r="J387" s="832">
        <v>-4578.45</v>
      </c>
      <c r="K387" s="832">
        <v>-47974.85</v>
      </c>
      <c r="L387" s="832">
        <v>-50499.68</v>
      </c>
      <c r="M387" s="832">
        <v>-50499.68</v>
      </c>
      <c r="N387" s="832">
        <v>-50499.68</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H14900</v>
      </c>
      <c r="AK387" s="1030" t="str">
        <f t="shared" si="31"/>
        <v>REPARATION SOUSTRAITTANCE</v>
      </c>
      <c r="AL387" s="1030" t="str">
        <f>IFERROR(INDEX(G387:R387,1,MATCH(Parametres!$B$3,G$1:R$1,0)-1)*IF(OR(F387="L",F387="S",F387="I"),-1,1),"")</f>
        <v/>
      </c>
      <c r="AM387" s="1030">
        <f t="shared" si="32"/>
        <v>-2385.98</v>
      </c>
      <c r="AN387" s="1030">
        <f>INDEX(G387:R387,1,MATCH(Parametres!$B$3,G$1:R$1,0))*IF(OR(F387="L",F387="S",F387="I"),-1,1)</f>
        <v>-2385.98</v>
      </c>
      <c r="AO387" s="598" t="str">
        <f>+VLOOKUP($AJ387,Data_Validation!$A:$D,1,0)</f>
        <v>H14900</v>
      </c>
      <c r="AP387" s="598" t="str">
        <f>+VLOOKUP($AJ387,Data_Validation!$A:$D,3,0)</f>
        <v>Bilan</v>
      </c>
      <c r="AQ387" s="598" t="str">
        <f>+VLOOKUP($AJ387,Data_Validation!$A:$D,4,0)</f>
        <v>Sous-Traitance</v>
      </c>
      <c r="AR387" s="598" t="s">
        <v>299</v>
      </c>
      <c r="AS387" s="598">
        <f>+VLOOKUP($AJ387,Data_Validation!$A:$E,5,0)</f>
        <v>0</v>
      </c>
      <c r="AT387" s="1036" t="str">
        <f t="shared" si="33"/>
        <v>H14900</v>
      </c>
      <c r="AU387" s="599" t="str">
        <f t="shared" si="34"/>
        <v>REPARATION SOUSTRAITTANCE</v>
      </c>
      <c r="AV387" s="1030" t="str">
        <f>IFERROR(INDEX(V387:AG387,1,MATCH(Parametres!$B$3,V$1:AG$1,0)-1)*IF(OR(C387="L",C387="S",C387="I"),-1,1),"")</f>
        <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2026</v>
      </c>
      <c r="C388" s="832" t="s">
        <v>1923</v>
      </c>
      <c r="D388" s="832" t="s">
        <v>1924</v>
      </c>
      <c r="E388" s="832" t="s">
        <v>333</v>
      </c>
      <c r="F388" s="832" t="s">
        <v>1792</v>
      </c>
      <c r="G388" s="832">
        <v>9041.77</v>
      </c>
      <c r="H388" s="832">
        <v>8003.58</v>
      </c>
      <c r="I388" s="832">
        <v>15874.07</v>
      </c>
      <c r="J388" s="832">
        <v>21118.799999999999</v>
      </c>
      <c r="K388" s="832">
        <v>7773.77</v>
      </c>
      <c r="L388" s="832">
        <v>6230.85</v>
      </c>
      <c r="M388" s="832">
        <v>6230.85</v>
      </c>
      <c r="N388" s="832">
        <v>6230.85</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H15000</v>
      </c>
      <c r="AK388" s="1030" t="str">
        <f t="shared" ref="AK388:AK451" si="37">D388</f>
        <v>MAIN-D'OEUVRE - MECANO</v>
      </c>
      <c r="AL388" s="1030" t="str">
        <f>IFERROR(INDEX(G388:R388,1,MATCH(Parametres!$B$3,G$1:R$1,0)-1)*IF(OR(F388="L",F388="S",F388="I"),-1,1),"")</f>
        <v/>
      </c>
      <c r="AM388" s="1030">
        <f t="shared" ref="AM388:AM451" si="38">AN388-N(AL388)</f>
        <v>9041.77</v>
      </c>
      <c r="AN388" s="1030">
        <f>INDEX(G388:R388,1,MATCH(Parametres!$B$3,G$1:R$1,0))*IF(OR(F388="L",F388="S",F388="I"),-1,1)</f>
        <v>9041.77</v>
      </c>
      <c r="AO388" s="598" t="str">
        <f>+VLOOKUP($AJ388,Data_Validation!$A:$D,1,0)</f>
        <v>H15000</v>
      </c>
      <c r="AP388" s="598" t="str">
        <f>+VLOOKUP($AJ388,Data_Validation!$A:$D,3,0)</f>
        <v>Bilan</v>
      </c>
      <c r="AQ388" s="598" t="str">
        <f>+VLOOKUP($AJ388,Data_Validation!$A:$D,4,0)</f>
        <v>Travaux en Cours</v>
      </c>
      <c r="AR388" s="598" t="s">
        <v>299</v>
      </c>
      <c r="AS388" s="598">
        <f>+VLOOKUP($AJ388,Data_Validation!$A:$E,5,0)</f>
        <v>0</v>
      </c>
      <c r="AT388" s="1036" t="str">
        <f t="shared" ref="AT388:AT451" si="39">C388</f>
        <v>H15000</v>
      </c>
      <c r="AU388" s="599" t="str">
        <f t="shared" ref="AU388:AU451" si="40">D388</f>
        <v>MAIN-D'OEUVRE - MECANO</v>
      </c>
      <c r="AV388" s="1030" t="str">
        <f>IFERROR(INDEX(V388:AG388,1,MATCH(Parametres!$B$3,V$1:AG$1,0)-1)*IF(OR(C388="L",C388="S",C388="I"),-1,1),"")</f>
        <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2026</v>
      </c>
      <c r="C389" s="832" t="s">
        <v>1925</v>
      </c>
      <c r="D389" s="832" t="s">
        <v>1926</v>
      </c>
      <c r="E389" s="832" t="s">
        <v>333</v>
      </c>
      <c r="F389" s="832" t="s">
        <v>1792</v>
      </c>
      <c r="G389" s="832">
        <v>-29915.71</v>
      </c>
      <c r="H389" s="832">
        <v>-28988.400000000001</v>
      </c>
      <c r="I389" s="832">
        <v>-29681.69</v>
      </c>
      <c r="J389" s="832">
        <v>-34429.15</v>
      </c>
      <c r="K389" s="832">
        <v>-48973.79</v>
      </c>
      <c r="L389" s="832">
        <v>-49486.23</v>
      </c>
      <c r="M389" s="832">
        <v>-49486.23</v>
      </c>
      <c r="N389" s="832">
        <v>-49486.23</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H15100</v>
      </c>
      <c r="AK389" s="1030" t="str">
        <f t="shared" si="37"/>
        <v>ESSENCE-HUILE-GRAISSE</v>
      </c>
      <c r="AL389" s="1030" t="str">
        <f>IFERROR(INDEX(G389:R389,1,MATCH(Parametres!$B$3,G$1:R$1,0)-1)*IF(OR(F389="L",F389="S",F389="I"),-1,1),"")</f>
        <v/>
      </c>
      <c r="AM389" s="1030">
        <f t="shared" si="38"/>
        <v>-29915.71</v>
      </c>
      <c r="AN389" s="1030">
        <f>INDEX(G389:R389,1,MATCH(Parametres!$B$3,G$1:R$1,0))*IF(OR(F389="L",F389="S",F389="I"),-1,1)</f>
        <v>-29915.71</v>
      </c>
      <c r="AO389" s="598" t="str">
        <f>+VLOOKUP($AJ389,Data_Validation!$A:$D,1,0)</f>
        <v>H15100</v>
      </c>
      <c r="AP389" s="598" t="str">
        <f>+VLOOKUP($AJ389,Data_Validation!$A:$D,3,0)</f>
        <v>Bilan</v>
      </c>
      <c r="AQ389" s="598" t="str">
        <f>+VLOOKUP($AJ389,Data_Validation!$A:$D,4,0)</f>
        <v>Inventaire Pièces, Pneus, Huile</v>
      </c>
      <c r="AR389" s="598" t="s">
        <v>299</v>
      </c>
      <c r="AS389" s="598">
        <f>+VLOOKUP($AJ389,Data_Validation!$A:$E,5,0)</f>
        <v>0</v>
      </c>
      <c r="AT389" s="1036" t="str">
        <f t="shared" si="39"/>
        <v>H15100</v>
      </c>
      <c r="AU389" s="599" t="str">
        <f t="shared" si="40"/>
        <v>ESSENCE-HUILE-GRAISSE</v>
      </c>
      <c r="AV389" s="1030" t="str">
        <f>IFERROR(INDEX(V389:AG389,1,MATCH(Parametres!$B$3,V$1:AG$1,0)-1)*IF(OR(C389="L",C389="S",C389="I"),-1,1),"")</f>
        <v/>
      </c>
      <c r="AW389" s="1030">
        <f t="shared" si="41"/>
        <v>0</v>
      </c>
      <c r="AX389" s="1030">
        <f>INDEX(V389:AG389,1,MATCH(Parametres!$B$3,V$1:AG$1,0))*IF(OR(C389="L",C389="S",C389="I"),-1,1)</f>
        <v>0</v>
      </c>
      <c r="AY389" s="598" t="s">
        <v>337</v>
      </c>
      <c r="AZ389" s="598">
        <f>+VLOOKUP($AJ389,Data_Validation!$A:$E,5,0)</f>
        <v>0</v>
      </c>
    </row>
    <row r="390" spans="1:52" ht="15.75" customHeight="1">
      <c r="A390" s="832" t="s">
        <v>1150</v>
      </c>
      <c r="B390" s="832">
        <v>2026</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H15200</v>
      </c>
      <c r="AK390" s="1030" t="str">
        <f t="shared" si="37"/>
        <v>FOURN. ATELIER &amp; PEINTURE</v>
      </c>
      <c r="AL390" s="1030" t="str">
        <f>IFERROR(INDEX(G390:R390,1,MATCH(Parametres!$B$3,G$1:R$1,0)-1)*IF(OR(F390="L",F390="S",F390="I"),-1,1),"")</f>
        <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H15200</v>
      </c>
      <c r="AU390" s="599" t="str">
        <f t="shared" si="40"/>
        <v>FOURN. ATELIER &amp; PEINTURE</v>
      </c>
      <c r="AV390" s="1030" t="str">
        <f>IFERROR(INDEX(V390:AG390,1,MATCH(Parametres!$B$3,V$1:AG$1,0)-1)*IF(OR(C390="L",C390="S",C390="I"),-1,1),"")</f>
        <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2026</v>
      </c>
      <c r="C391" s="832" t="s">
        <v>1929</v>
      </c>
      <c r="D391" s="832" t="s">
        <v>1930</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H15400</v>
      </c>
      <c r="AK391" s="1030" t="str">
        <f t="shared" si="37"/>
        <v>LOYER PAYE D'AVANCE</v>
      </c>
      <c r="AL391" s="1030" t="str">
        <f>IFERROR(INDEX(G391:R391,1,MATCH(Parametres!$B$3,G$1:R$1,0)-1)*IF(OR(F391="L",F391="S",F391="I"),-1,1),"")</f>
        <v/>
      </c>
      <c r="AM391" s="1030">
        <f t="shared" si="38"/>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t="str">
        <f t="shared" si="39"/>
        <v>H15400</v>
      </c>
      <c r="AU391" s="599" t="str">
        <f t="shared" si="40"/>
        <v>LOYER PAYE D'AVANCE</v>
      </c>
      <c r="AV391" s="1030" t="str">
        <f>IFERROR(INDEX(V391:AG391,1,MATCH(Parametres!$B$3,V$1:AG$1,0)-1)*IF(OR(C391="L",C391="S",C391="I"),-1,1),"")</f>
        <v/>
      </c>
      <c r="AW391" s="1030">
        <f t="shared" si="41"/>
        <v>0</v>
      </c>
      <c r="AX391" s="1030">
        <f>INDEX(V391:AG391,1,MATCH(Parametres!$B$3,V$1:AG$1,0))*IF(OR(C391="L",C391="S",C391="I"),-1,1)</f>
        <v>0</v>
      </c>
      <c r="AY391" s="598" t="s">
        <v>337</v>
      </c>
      <c r="AZ391" s="598" t="e">
        <f>+VLOOKUP($AJ391,Data_Validation!$A:$E,5,0)</f>
        <v>#N/A</v>
      </c>
    </row>
    <row r="392" spans="1:52" ht="15.75" customHeight="1">
      <c r="A392" s="832" t="s">
        <v>1150</v>
      </c>
      <c r="B392" s="832">
        <v>2026</v>
      </c>
      <c r="C392" s="832" t="s">
        <v>1931</v>
      </c>
      <c r="D392" s="832" t="s">
        <v>1932</v>
      </c>
      <c r="E392" s="832" t="s">
        <v>333</v>
      </c>
      <c r="F392" s="832" t="s">
        <v>1792</v>
      </c>
      <c r="G392" s="832">
        <v>-95272.77</v>
      </c>
      <c r="H392" s="832">
        <v>-95272.77</v>
      </c>
      <c r="I392" s="832">
        <v>-95272.77</v>
      </c>
      <c r="J392" s="832">
        <v>-95272.77</v>
      </c>
      <c r="K392" s="832">
        <v>-95272.77</v>
      </c>
      <c r="L392" s="832">
        <v>-95272.77</v>
      </c>
      <c r="M392" s="832">
        <v>-95272.77</v>
      </c>
      <c r="N392" s="832">
        <v>-95272.77</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H15500</v>
      </c>
      <c r="AK392" s="1030" t="str">
        <f t="shared" si="37"/>
        <v>IMPOT PAYE D'AVANCE</v>
      </c>
      <c r="AL392" s="1030" t="str">
        <f>IFERROR(INDEX(G392:R392,1,MATCH(Parametres!$B$3,G$1:R$1,0)-1)*IF(OR(F392="L",F392="S",F392="I"),-1,1),"")</f>
        <v/>
      </c>
      <c r="AM392" s="1030">
        <f t="shared" si="38"/>
        <v>-95272.77</v>
      </c>
      <c r="AN392" s="1030">
        <f>INDEX(G392:R392,1,MATCH(Parametres!$B$3,G$1:R$1,0))*IF(OR(F392="L",F392="S",F392="I"),-1,1)</f>
        <v>-95272.77</v>
      </c>
      <c r="AO392" s="598" t="str">
        <f>+VLOOKUP($AJ392,Data_Validation!$A:$D,1,0)</f>
        <v>H15500</v>
      </c>
      <c r="AP392" s="598" t="str">
        <f>+VLOOKUP($AJ392,Data_Validation!$A:$D,3,0)</f>
        <v>Bilan</v>
      </c>
      <c r="AQ392" s="598" t="str">
        <f>+VLOOKUP($AJ392,Data_Validation!$A:$D,4,0)</f>
        <v>Frais Payés d'Avance</v>
      </c>
      <c r="AR392" s="598" t="s">
        <v>299</v>
      </c>
      <c r="AS392" s="598">
        <f>+VLOOKUP($AJ392,Data_Validation!$A:$E,5,0)</f>
        <v>0</v>
      </c>
      <c r="AT392" s="1036" t="str">
        <f t="shared" si="39"/>
        <v>H15500</v>
      </c>
      <c r="AU392" s="599" t="str">
        <f t="shared" si="40"/>
        <v>IMPOT PAYE D'AVANCE</v>
      </c>
      <c r="AV392" s="1030" t="str">
        <f>IFERROR(INDEX(V392:AG392,1,MATCH(Parametres!$B$3,V$1:AG$1,0)-1)*IF(OR(C392="L",C392="S",C392="I"),-1,1),"")</f>
        <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2026</v>
      </c>
      <c r="C393" s="832" t="s">
        <v>1933</v>
      </c>
      <c r="D393" s="832" t="s">
        <v>1934</v>
      </c>
      <c r="E393" s="832" t="s">
        <v>333</v>
      </c>
      <c r="F393" s="832" t="s">
        <v>1153</v>
      </c>
      <c r="G393" s="832">
        <v>-332569.05</v>
      </c>
      <c r="H393" s="832">
        <v>-308440.51</v>
      </c>
      <c r="I393" s="832">
        <v>-284933.67</v>
      </c>
      <c r="J393" s="832">
        <v>-260805.13</v>
      </c>
      <c r="K393" s="832">
        <v>-260805.13</v>
      </c>
      <c r="L393" s="832">
        <v>-260805.13</v>
      </c>
      <c r="M393" s="832">
        <v>-260805.13</v>
      </c>
      <c r="N393" s="832">
        <v>-260805.13</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H15510</v>
      </c>
      <c r="AK393" s="1030" t="str">
        <f t="shared" si="37"/>
        <v>TAXES PAYÉ D'AVANCE</v>
      </c>
      <c r="AL393" s="1030" t="str">
        <f>IFERROR(INDEX(G393:R393,1,MATCH(Parametres!$B$3,G$1:R$1,0)-1)*IF(OR(F393="L",F393="S",F393="I"),-1,1),"")</f>
        <v/>
      </c>
      <c r="AM393" s="1030">
        <f t="shared" si="38"/>
        <v>332569.05</v>
      </c>
      <c r="AN393" s="1030">
        <f>INDEX(G393:R393,1,MATCH(Parametres!$B$3,G$1:R$1,0))*IF(OR(F393="L",F393="S",F393="I"),-1,1)</f>
        <v>332569.05</v>
      </c>
      <c r="AO393" s="598" t="str">
        <f>+VLOOKUP($AJ393,Data_Validation!$A:$D,1,0)</f>
        <v>H15510</v>
      </c>
      <c r="AP393" s="598" t="str">
        <f>+VLOOKUP($AJ393,Data_Validation!$A:$D,3,0)</f>
        <v>Bilan</v>
      </c>
      <c r="AQ393" s="598" t="str">
        <f>+VLOOKUP($AJ393,Data_Validation!$A:$D,4,0)</f>
        <v>Frais Payés d'Avance</v>
      </c>
      <c r="AR393" s="598" t="s">
        <v>299</v>
      </c>
      <c r="AS393" s="598">
        <f>+VLOOKUP($AJ393,Data_Validation!$A:$E,5,0)</f>
        <v>0</v>
      </c>
      <c r="AT393" s="1036" t="str">
        <f t="shared" si="39"/>
        <v>H15510</v>
      </c>
      <c r="AU393" s="599" t="str">
        <f t="shared" si="40"/>
        <v>TAXES PAYÉ D'AVANCE</v>
      </c>
      <c r="AV393" s="1030" t="str">
        <f>IFERROR(INDEX(V393:AG393,1,MATCH(Parametres!$B$3,V$1:AG$1,0)-1)*IF(OR(C393="L",C393="S",C393="I"),-1,1),"")</f>
        <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2026</v>
      </c>
      <c r="C394" s="832" t="s">
        <v>1935</v>
      </c>
      <c r="D394" s="832" t="s">
        <v>1936</v>
      </c>
      <c r="E394" s="832" t="s">
        <v>333</v>
      </c>
      <c r="F394" s="832" t="s">
        <v>1792</v>
      </c>
      <c r="G394" s="832">
        <v>20033.810000000001</v>
      </c>
      <c r="H394" s="832">
        <v>16694.84</v>
      </c>
      <c r="I394" s="832">
        <v>13355.87</v>
      </c>
      <c r="J394" s="832">
        <v>10016.9</v>
      </c>
      <c r="K394" s="832">
        <v>10016.9</v>
      </c>
      <c r="L394" s="832">
        <v>10016.9</v>
      </c>
      <c r="M394" s="832">
        <v>10016.9</v>
      </c>
      <c r="N394" s="832">
        <v>10016.9</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H15600</v>
      </c>
      <c r="AK394" s="1030" t="str">
        <f t="shared" si="37"/>
        <v>ASSURANCE PAYÉ D'AVANCE</v>
      </c>
      <c r="AL394" s="1030" t="str">
        <f>IFERROR(INDEX(G394:R394,1,MATCH(Parametres!$B$3,G$1:R$1,0)-1)*IF(OR(F394="L",F394="S",F394="I"),-1,1),"")</f>
        <v/>
      </c>
      <c r="AM394" s="1030">
        <f t="shared" si="38"/>
        <v>20033.810000000001</v>
      </c>
      <c r="AN394" s="1030">
        <f>INDEX(G394:R394,1,MATCH(Parametres!$B$3,G$1:R$1,0))*IF(OR(F394="L",F394="S",F394="I"),-1,1)</f>
        <v>20033.810000000001</v>
      </c>
      <c r="AO394" s="598" t="str">
        <f>+VLOOKUP($AJ394,Data_Validation!$A:$D,1,0)</f>
        <v>H15600</v>
      </c>
      <c r="AP394" s="598" t="str">
        <f>+VLOOKUP($AJ394,Data_Validation!$A:$D,3,0)</f>
        <v>Bilan</v>
      </c>
      <c r="AQ394" s="598" t="str">
        <f>+VLOOKUP($AJ394,Data_Validation!$A:$D,4,0)</f>
        <v>Frais Payés d'Avance</v>
      </c>
      <c r="AR394" s="598" t="s">
        <v>299</v>
      </c>
      <c r="AS394" s="598">
        <f>+VLOOKUP($AJ394,Data_Validation!$A:$E,5,0)</f>
        <v>0</v>
      </c>
      <c r="AT394" s="1036" t="str">
        <f t="shared" si="39"/>
        <v>H15600</v>
      </c>
      <c r="AU394" s="599" t="str">
        <f t="shared" si="40"/>
        <v>ASSURANCE PAYÉ D'AVANCE</v>
      </c>
      <c r="AV394" s="1030" t="str">
        <f>IFERROR(INDEX(V394:AG394,1,MATCH(Parametres!$B$3,V$1:AG$1,0)-1)*IF(OR(C394="L",C394="S",C394="I"),-1,1),"")</f>
        <v/>
      </c>
      <c r="AW394" s="1030">
        <f t="shared" si="41"/>
        <v>0</v>
      </c>
      <c r="AX394" s="1030">
        <f>INDEX(V394:AG394,1,MATCH(Parametres!$B$3,V$1:AG$1,0))*IF(OR(C394="L",C394="S",C394="I"),-1,1)</f>
        <v>0</v>
      </c>
      <c r="AY394" s="598" t="s">
        <v>337</v>
      </c>
      <c r="AZ394" s="598">
        <f>+VLOOKUP($AJ394,Data_Validation!$A:$E,5,0)</f>
        <v>0</v>
      </c>
    </row>
    <row r="395" spans="1:52" ht="15.75" customHeight="1">
      <c r="A395" s="832" t="s">
        <v>1150</v>
      </c>
      <c r="B395" s="832">
        <v>2026</v>
      </c>
      <c r="C395" s="832" t="s">
        <v>1937</v>
      </c>
      <c r="D395" s="832" t="s">
        <v>1938</v>
      </c>
      <c r="E395" s="832" t="s">
        <v>333</v>
      </c>
      <c r="F395" s="832" t="s">
        <v>1153</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H15610</v>
      </c>
      <c r="AK395" s="1030" t="str">
        <f t="shared" si="37"/>
        <v>ASSURANCE</v>
      </c>
      <c r="AL395" s="1030" t="str">
        <f>IFERROR(INDEX(G395:R395,1,MATCH(Parametres!$B$3,G$1:R$1,0)-1)*IF(OR(F395="L",F395="S",F395="I"),-1,1),"")</f>
        <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H15610</v>
      </c>
      <c r="AU395" s="599" t="str">
        <f t="shared" si="40"/>
        <v>ASSURANCE</v>
      </c>
      <c r="AV395" s="1030" t="str">
        <f>IFERROR(INDEX(V395:AG395,1,MATCH(Parametres!$B$3,V$1:AG$1,0)-1)*IF(OR(C395="L",C395="S",C395="I"),-1,1),"")</f>
        <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2026</v>
      </c>
      <c r="C396" s="832" t="s">
        <v>1939</v>
      </c>
      <c r="D396" s="832" t="s">
        <v>1940</v>
      </c>
      <c r="E396" s="832" t="s">
        <v>333</v>
      </c>
      <c r="F396" s="832" t="s">
        <v>1792</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H15700</v>
      </c>
      <c r="AK396" s="1030" t="str">
        <f t="shared" si="37"/>
        <v>C.S.S.T.</v>
      </c>
      <c r="AL396" s="1030" t="str">
        <f>IFERROR(INDEX(G396:R396,1,MATCH(Parametres!$B$3,G$1:R$1,0)-1)*IF(OR(F396="L",F396="S",F396="I"),-1,1),"")</f>
        <v/>
      </c>
      <c r="AM396" s="1030">
        <f t="shared" si="38"/>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t="str">
        <f t="shared" si="39"/>
        <v>H15700</v>
      </c>
      <c r="AU396" s="599" t="str">
        <f t="shared" si="40"/>
        <v>C.S.S.T.</v>
      </c>
      <c r="AV396" s="1030" t="str">
        <f>IFERROR(INDEX(V396:AG396,1,MATCH(Parametres!$B$3,V$1:AG$1,0)-1)*IF(OR(C396="L",C396="S",C396="I"),-1,1),"")</f>
        <v/>
      </c>
      <c r="AW396" s="1030">
        <f t="shared" si="41"/>
        <v>0</v>
      </c>
      <c r="AX396" s="1030">
        <f>INDEX(V396:AG396,1,MATCH(Parametres!$B$3,V$1:AG$1,0))*IF(OR(C396="L",C396="S",C396="I"),-1,1)</f>
        <v>0</v>
      </c>
      <c r="AY396" s="598" t="s">
        <v>337</v>
      </c>
      <c r="AZ396" s="598" t="e">
        <f>+VLOOKUP($AJ396,Data_Validation!$A:$E,5,0)</f>
        <v>#N/A</v>
      </c>
    </row>
    <row r="397" spans="1:52" ht="15.75" customHeight="1">
      <c r="A397" s="832" t="s">
        <v>1150</v>
      </c>
      <c r="B397" s="832">
        <v>2026</v>
      </c>
      <c r="C397" s="832" t="s">
        <v>1941</v>
      </c>
      <c r="D397" s="832" t="s">
        <v>1942</v>
      </c>
      <c r="E397" s="832" t="s">
        <v>333</v>
      </c>
      <c r="F397" s="832" t="s">
        <v>1792</v>
      </c>
      <c r="G397" s="832">
        <v>61166.67</v>
      </c>
      <c r="H397" s="832">
        <v>58833.34</v>
      </c>
      <c r="I397" s="832">
        <v>63500.01</v>
      </c>
      <c r="J397" s="832">
        <v>61166.68</v>
      </c>
      <c r="K397" s="832">
        <v>61166.68</v>
      </c>
      <c r="L397" s="832">
        <v>61166.68</v>
      </c>
      <c r="M397" s="832">
        <v>61166.68</v>
      </c>
      <c r="N397" s="832">
        <v>61166.68</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H15800</v>
      </c>
      <c r="AK397" s="1030" t="str">
        <f t="shared" si="37"/>
        <v>DIVERS PAYÉ D'AVANCE</v>
      </c>
      <c r="AL397" s="1030" t="str">
        <f>IFERROR(INDEX(G397:R397,1,MATCH(Parametres!$B$3,G$1:R$1,0)-1)*IF(OR(F397="L",F397="S",F397="I"),-1,1),"")</f>
        <v/>
      </c>
      <c r="AM397" s="1030">
        <f t="shared" si="38"/>
        <v>61166.67</v>
      </c>
      <c r="AN397" s="1030">
        <f>INDEX(G397:R397,1,MATCH(Parametres!$B$3,G$1:R$1,0))*IF(OR(F397="L",F397="S",F397="I"),-1,1)</f>
        <v>61166.67</v>
      </c>
      <c r="AO397" s="598" t="str">
        <f>+VLOOKUP($AJ397,Data_Validation!$A:$D,1,0)</f>
        <v>H15800</v>
      </c>
      <c r="AP397" s="598" t="str">
        <f>+VLOOKUP($AJ397,Data_Validation!$A:$D,3,0)</f>
        <v>Bilan</v>
      </c>
      <c r="AQ397" s="598" t="str">
        <f>+VLOOKUP($AJ397,Data_Validation!$A:$D,4,0)</f>
        <v>Frais Payés d'Avance</v>
      </c>
      <c r="AR397" s="598" t="s">
        <v>299</v>
      </c>
      <c r="AS397" s="598">
        <f>+VLOOKUP($AJ397,Data_Validation!$A:$E,5,0)</f>
        <v>0</v>
      </c>
      <c r="AT397" s="1036" t="str">
        <f t="shared" si="39"/>
        <v>H15800</v>
      </c>
      <c r="AU397" s="599" t="str">
        <f t="shared" si="40"/>
        <v>DIVERS PAYÉ D'AVANCE</v>
      </c>
      <c r="AV397" s="1030" t="str">
        <f>IFERROR(INDEX(V397:AG397,1,MATCH(Parametres!$B$3,V$1:AG$1,0)-1)*IF(OR(C397="L",C397="S",C397="I"),-1,1),"")</f>
        <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2026</v>
      </c>
      <c r="C398" s="832" t="s">
        <v>1943</v>
      </c>
      <c r="D398" s="832" t="s">
        <v>1944</v>
      </c>
      <c r="E398" s="832" t="s">
        <v>1813</v>
      </c>
      <c r="F398" s="832" t="s">
        <v>1792</v>
      </c>
      <c r="G398" s="832">
        <v>1601.38</v>
      </c>
      <c r="H398" s="832">
        <v>800.14</v>
      </c>
      <c r="I398" s="832">
        <v>10313.549999999999</v>
      </c>
      <c r="J398" s="832">
        <v>9484.7900000000009</v>
      </c>
      <c r="K398" s="832">
        <v>9484.7900000000009</v>
      </c>
      <c r="L398" s="832">
        <v>9484.7900000000009</v>
      </c>
      <c r="M398" s="832">
        <v>9484.7900000000009</v>
      </c>
      <c r="N398" s="832">
        <v>9484.7900000000009</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H15801</v>
      </c>
      <c r="AK398" s="1030" t="str">
        <f t="shared" si="37"/>
        <v>PLAQUES PAYÉ D'AVANCE</v>
      </c>
      <c r="AL398" s="1030" t="str">
        <f>IFERROR(INDEX(G398:R398,1,MATCH(Parametres!$B$3,G$1:R$1,0)-1)*IF(OR(F398="L",F398="S",F398="I"),-1,1),"")</f>
        <v/>
      </c>
      <c r="AM398" s="1030">
        <f t="shared" si="38"/>
        <v>1601.38</v>
      </c>
      <c r="AN398" s="1030">
        <f>INDEX(G398:R398,1,MATCH(Parametres!$B$3,G$1:R$1,0))*IF(OR(F398="L",F398="S",F398="I"),-1,1)</f>
        <v>1601.38</v>
      </c>
      <c r="AO398" s="598" t="str">
        <f>+VLOOKUP($AJ398,Data_Validation!$A:$D,1,0)</f>
        <v>H15801</v>
      </c>
      <c r="AP398" s="598" t="str">
        <f>+VLOOKUP($AJ398,Data_Validation!$A:$D,3,0)</f>
        <v>Bilan</v>
      </c>
      <c r="AQ398" s="598" t="str">
        <f>+VLOOKUP($AJ398,Data_Validation!$A:$D,4,0)</f>
        <v>Frais Payés d'Avance</v>
      </c>
      <c r="AR398" s="598" t="s">
        <v>299</v>
      </c>
      <c r="AS398" s="598">
        <f>+VLOOKUP($AJ398,Data_Validation!$A:$E,5,0)</f>
        <v>0</v>
      </c>
      <c r="AT398" s="1036" t="str">
        <f t="shared" si="39"/>
        <v>H15801</v>
      </c>
      <c r="AU398" s="599" t="str">
        <f t="shared" si="40"/>
        <v>PLAQUES PAYÉ D'AVANCE</v>
      </c>
      <c r="AV398" s="1030" t="str">
        <f>IFERROR(INDEX(V398:AG398,1,MATCH(Parametres!$B$3,V$1:AG$1,0)-1)*IF(OR(C398="L",C398="S",C398="I"),-1,1),"")</f>
        <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2026</v>
      </c>
      <c r="C399" s="832" t="s">
        <v>1945</v>
      </c>
      <c r="D399" s="832" t="s">
        <v>1946</v>
      </c>
      <c r="E399" s="832" t="s">
        <v>333</v>
      </c>
      <c r="F399" s="832" t="s">
        <v>1792</v>
      </c>
      <c r="G399" s="832">
        <v>0</v>
      </c>
      <c r="H399" s="832">
        <v>0</v>
      </c>
      <c r="I399" s="832">
        <v>0</v>
      </c>
      <c r="J399" s="832">
        <v>0</v>
      </c>
      <c r="K399" s="832">
        <v>0</v>
      </c>
      <c r="L399" s="832">
        <v>0</v>
      </c>
      <c r="M399" s="832">
        <v>0</v>
      </c>
      <c r="N399" s="832">
        <v>0</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H15900</v>
      </c>
      <c r="AK399" s="1030" t="str">
        <f t="shared" si="37"/>
        <v>AVOCAT PAYÉ D'AVANCE</v>
      </c>
      <c r="AL399" s="1030" t="str">
        <f>IFERROR(INDEX(G399:R399,1,MATCH(Parametres!$B$3,G$1:R$1,0)-1)*IF(OR(F399="L",F399="S",F399="I"),-1,1),"")</f>
        <v/>
      </c>
      <c r="AM399" s="1030">
        <f t="shared" si="38"/>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t="str">
        <f t="shared" si="39"/>
        <v>H15900</v>
      </c>
      <c r="AU399" s="599" t="str">
        <f t="shared" si="40"/>
        <v>AVOCAT PAYÉ D'AVANCE</v>
      </c>
      <c r="AV399" s="1030" t="str">
        <f>IFERROR(INDEX(V399:AG399,1,MATCH(Parametres!$B$3,V$1:AG$1,0)-1)*IF(OR(C399="L",C399="S",C399="I"),-1,1),"")</f>
        <v/>
      </c>
      <c r="AW399" s="1030">
        <f t="shared" si="41"/>
        <v>0</v>
      </c>
      <c r="AX399" s="1030">
        <f>INDEX(V399:AG399,1,MATCH(Parametres!$B$3,V$1:AG$1,0))*IF(OR(C399="L",C399="S",C399="I"),-1,1)</f>
        <v>0</v>
      </c>
      <c r="AY399" s="598" t="s">
        <v>337</v>
      </c>
      <c r="AZ399" s="598" t="e">
        <f>+VLOOKUP($AJ399,Data_Validation!$A:$E,5,0)</f>
        <v>#N/A</v>
      </c>
    </row>
    <row r="400" spans="1:52" ht="15.75" customHeight="1">
      <c r="A400" s="832" t="s">
        <v>1150</v>
      </c>
      <c r="B400" s="832">
        <v>2026</v>
      </c>
      <c r="C400" s="832" t="s">
        <v>1947</v>
      </c>
      <c r="D400" s="832" t="s">
        <v>1948</v>
      </c>
      <c r="E400" s="832" t="s">
        <v>333</v>
      </c>
      <c r="F400" s="832" t="s">
        <v>1792</v>
      </c>
      <c r="G400" s="832">
        <v>-19000</v>
      </c>
      <c r="H400" s="832">
        <v>-20000</v>
      </c>
      <c r="I400" s="832">
        <v>-11000</v>
      </c>
      <c r="J400" s="832">
        <v>-12000</v>
      </c>
      <c r="K400" s="832">
        <v>-12000</v>
      </c>
      <c r="L400" s="832">
        <v>-12000</v>
      </c>
      <c r="M400" s="832">
        <v>-12000</v>
      </c>
      <c r="N400" s="832">
        <v>-12000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H16000</v>
      </c>
      <c r="AK400" s="1030" t="str">
        <f t="shared" si="37"/>
        <v>VÉRIF PAYÉ D'AVANCE</v>
      </c>
      <c r="AL400" s="1030" t="str">
        <f>IFERROR(INDEX(G400:R400,1,MATCH(Parametres!$B$3,G$1:R$1,0)-1)*IF(OR(F400="L",F400="S",F400="I"),-1,1),"")</f>
        <v/>
      </c>
      <c r="AM400" s="1030">
        <f t="shared" si="38"/>
        <v>-19000</v>
      </c>
      <c r="AN400" s="1030">
        <f>INDEX(G400:R400,1,MATCH(Parametres!$B$3,G$1:R$1,0))*IF(OR(F400="L",F400="S",F400="I"),-1,1)</f>
        <v>-19000</v>
      </c>
      <c r="AO400" s="598" t="str">
        <f>+VLOOKUP($AJ400,Data_Validation!$A:$D,1,0)</f>
        <v>H16000</v>
      </c>
      <c r="AP400" s="598" t="str">
        <f>+VLOOKUP($AJ400,Data_Validation!$A:$D,3,0)</f>
        <v>Bilan</v>
      </c>
      <c r="AQ400" s="598" t="str">
        <f>+VLOOKUP($AJ400,Data_Validation!$A:$D,4,0)</f>
        <v>Frais Payés d'Avance</v>
      </c>
      <c r="AR400" s="598" t="s">
        <v>299</v>
      </c>
      <c r="AS400" s="598">
        <f>+VLOOKUP($AJ400,Data_Validation!$A:$E,5,0)</f>
        <v>0</v>
      </c>
      <c r="AT400" s="1036" t="str">
        <f t="shared" si="39"/>
        <v>H16000</v>
      </c>
      <c r="AU400" s="599" t="str">
        <f t="shared" si="40"/>
        <v>VÉRIF PAYÉ D'AVANCE</v>
      </c>
      <c r="AV400" s="1030" t="str">
        <f>IFERROR(INDEX(V400:AG400,1,MATCH(Parametres!$B$3,V$1:AG$1,0)-1)*IF(OR(C400="L",C400="S",C400="I"),-1,1),"")</f>
        <v/>
      </c>
      <c r="AW400" s="1030">
        <f t="shared" si="41"/>
        <v>0</v>
      </c>
      <c r="AX400" s="1030">
        <f>INDEX(V400:AG400,1,MATCH(Parametres!$B$3,V$1:AG$1,0))*IF(OR(C400="L",C400="S",C400="I"),-1,1)</f>
        <v>0</v>
      </c>
      <c r="AY400" s="598" t="s">
        <v>337</v>
      </c>
      <c r="AZ400" s="598">
        <f>+VLOOKUP($AJ400,Data_Validation!$A:$E,5,0)</f>
        <v>0</v>
      </c>
    </row>
    <row r="401" spans="1:52" ht="15.75" customHeight="1">
      <c r="A401" s="832" t="s">
        <v>1150</v>
      </c>
      <c r="B401" s="832">
        <v>2026</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H16100</v>
      </c>
      <c r="AK401" s="1030" t="str">
        <f t="shared" si="37"/>
        <v>OTHER CURRENT ASSETS</v>
      </c>
      <c r="AL401" s="1030" t="str">
        <f>IFERROR(INDEX(G401:R401,1,MATCH(Parametres!$B$3,G$1:R$1,0)-1)*IF(OR(F401="L",F401="S",F401="I"),-1,1),"")</f>
        <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H16100</v>
      </c>
      <c r="AU401" s="599" t="str">
        <f t="shared" si="40"/>
        <v>OTHER CURRENT ASSETS</v>
      </c>
      <c r="AV401" s="1030" t="str">
        <f>IFERROR(INDEX(V401:AG401,1,MATCH(Parametres!$B$3,V$1:AG$1,0)-1)*IF(OR(C401="L",C401="S",C401="I"),-1,1),"")</f>
        <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2026</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H16500</v>
      </c>
      <c r="AK402" s="1030" t="str">
        <f t="shared" si="37"/>
        <v>TERRAIN</v>
      </c>
      <c r="AL402" s="1030" t="str">
        <f>IFERROR(INDEX(G402:R402,1,MATCH(Parametres!$B$3,G$1:R$1,0)-1)*IF(OR(F402="L",F402="S",F402="I"),-1,1),"")</f>
        <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H16500</v>
      </c>
      <c r="AU402" s="599" t="str">
        <f t="shared" si="40"/>
        <v>TERRAIN</v>
      </c>
      <c r="AV402" s="1030" t="str">
        <f>IFERROR(INDEX(V402:AG402,1,MATCH(Parametres!$B$3,V$1:AG$1,0)-1)*IF(OR(C402="L",C402="S",C402="I"),-1,1),"")</f>
        <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2026</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H16700</v>
      </c>
      <c r="AK403" s="1030" t="str">
        <f t="shared" si="37"/>
        <v>BATIMENTS</v>
      </c>
      <c r="AL403" s="1030" t="str">
        <f>IFERROR(INDEX(G403:R403,1,MATCH(Parametres!$B$3,G$1:R$1,0)-1)*IF(OR(F403="L",F403="S",F403="I"),-1,1),"")</f>
        <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H16700</v>
      </c>
      <c r="AU403" s="599" t="str">
        <f t="shared" si="40"/>
        <v>BATIMENTS</v>
      </c>
      <c r="AV403" s="1030" t="str">
        <f>IFERROR(INDEX(V403:AG403,1,MATCH(Parametres!$B$3,V$1:AG$1,0)-1)*IF(OR(C403="L",C403="S",C403="I"),-1,1),"")</f>
        <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2026</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H16800</v>
      </c>
      <c r="AK404" s="1030" t="str">
        <f t="shared" si="37"/>
        <v>AMORT-BATIMENTS</v>
      </c>
      <c r="AL404" s="1030" t="str">
        <f>IFERROR(INDEX(G404:R404,1,MATCH(Parametres!$B$3,G$1:R$1,0)-1)*IF(OR(F404="L",F404="S",F404="I"),-1,1),"")</f>
        <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H16800</v>
      </c>
      <c r="AU404" s="599" t="str">
        <f t="shared" si="40"/>
        <v>AMORT-BATIMENTS</v>
      </c>
      <c r="AV404" s="1030" t="str">
        <f>IFERROR(INDEX(V404:AG404,1,MATCH(Parametres!$B$3,V$1:AG$1,0)-1)*IF(OR(C404="L",C404="S",C404="I"),-1,1),"")</f>
        <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2026</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H17000</v>
      </c>
      <c r="AK405" s="1030" t="str">
        <f t="shared" si="37"/>
        <v>INSTALLATIONS FIXES</v>
      </c>
      <c r="AL405" s="1030" t="str">
        <f>IFERROR(INDEX(G405:R405,1,MATCH(Parametres!$B$3,G$1:R$1,0)-1)*IF(OR(F405="L",F405="S",F405="I"),-1,1),"")</f>
        <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H17000</v>
      </c>
      <c r="AU405" s="599" t="str">
        <f t="shared" si="40"/>
        <v>INSTALLATIONS FIXES</v>
      </c>
      <c r="AV405" s="1030" t="str">
        <f>IFERROR(INDEX(V405:AG405,1,MATCH(Parametres!$B$3,V$1:AG$1,0)-1)*IF(OR(C405="L",C405="S",C405="I"),-1,1),"")</f>
        <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2026</v>
      </c>
      <c r="C406" s="832" t="s">
        <v>1959</v>
      </c>
      <c r="D406" s="832" t="s">
        <v>1960</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H17100</v>
      </c>
      <c r="AK406" s="1030" t="str">
        <f t="shared" si="37"/>
        <v>AMORT-INSTALLATIONS FIXES</v>
      </c>
      <c r="AL406" s="1030" t="str">
        <f>IFERROR(INDEX(G406:R406,1,MATCH(Parametres!$B$3,G$1:R$1,0)-1)*IF(OR(F406="L",F406="S",F406="I"),-1,1),"")</f>
        <v/>
      </c>
      <c r="AM406" s="1030">
        <f t="shared" si="38"/>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t="str">
        <f t="shared" si="39"/>
        <v>H17100</v>
      </c>
      <c r="AU406" s="599" t="str">
        <f t="shared" si="40"/>
        <v>AMORT-INSTALLATIONS FIXES</v>
      </c>
      <c r="AV406" s="1030" t="str">
        <f>IFERROR(INDEX(V406:AG406,1,MATCH(Parametres!$B$3,V$1:AG$1,0)-1)*IF(OR(C406="L",C406="S",C406="I"),-1,1),"")</f>
        <v/>
      </c>
      <c r="AW406" s="1030">
        <f t="shared" si="41"/>
        <v>0</v>
      </c>
      <c r="AX406" s="1030">
        <f>INDEX(V406:AG406,1,MATCH(Parametres!$B$3,V$1:AG$1,0))*IF(OR(C406="L",C406="S",C406="I"),-1,1)</f>
        <v>0</v>
      </c>
      <c r="AY406" s="598" t="s">
        <v>337</v>
      </c>
      <c r="AZ406" s="598" t="e">
        <f>+VLOOKUP($AJ406,Data_Validation!$A:$E,5,0)</f>
        <v>#N/A</v>
      </c>
    </row>
    <row r="407" spans="1:52" ht="15.75" customHeight="1">
      <c r="A407" s="832" t="s">
        <v>1150</v>
      </c>
      <c r="B407" s="832">
        <v>2026</v>
      </c>
      <c r="C407" s="832" t="s">
        <v>1961</v>
      </c>
      <c r="D407" s="832" t="s">
        <v>1962</v>
      </c>
      <c r="E407" s="832" t="s">
        <v>333</v>
      </c>
      <c r="F407" s="832" t="s">
        <v>1792</v>
      </c>
      <c r="G407" s="832">
        <v>150909.49</v>
      </c>
      <c r="H407" s="832">
        <v>150909.49</v>
      </c>
      <c r="I407" s="832">
        <v>150909.49</v>
      </c>
      <c r="J407" s="832">
        <v>150909.49</v>
      </c>
      <c r="K407" s="832">
        <v>150909.49</v>
      </c>
      <c r="L407" s="832">
        <v>150909.49</v>
      </c>
      <c r="M407" s="832">
        <v>150909.49</v>
      </c>
      <c r="N407" s="832">
        <v>150909.49</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H17200</v>
      </c>
      <c r="AK407" s="1030" t="str">
        <f t="shared" si="37"/>
        <v>AMELIORATIONS LOCATIVES</v>
      </c>
      <c r="AL407" s="1030" t="str">
        <f>IFERROR(INDEX(G407:R407,1,MATCH(Parametres!$B$3,G$1:R$1,0)-1)*IF(OR(F407="L",F407="S",F407="I"),-1,1),"")</f>
        <v/>
      </c>
      <c r="AM407" s="1030">
        <f t="shared" si="38"/>
        <v>150909.49</v>
      </c>
      <c r="AN407" s="1030">
        <f>INDEX(G407:R407,1,MATCH(Parametres!$B$3,G$1:R$1,0))*IF(OR(F407="L",F407="S",F407="I"),-1,1)</f>
        <v>150909.49</v>
      </c>
      <c r="AO407" s="598" t="str">
        <f>+VLOOKUP($AJ407,Data_Validation!$A:$D,1,0)</f>
        <v>H17200</v>
      </c>
      <c r="AP407" s="598" t="str">
        <f>+VLOOKUP($AJ407,Data_Validation!$A:$D,3,0)</f>
        <v>Bilan</v>
      </c>
      <c r="AQ407" s="598" t="str">
        <f>+VLOOKUP($AJ407,Data_Validation!$A:$D,4,0)</f>
        <v>Améliorations Locatives</v>
      </c>
      <c r="AR407" s="598" t="s">
        <v>299</v>
      </c>
      <c r="AS407" s="598">
        <f>+VLOOKUP($AJ407,Data_Validation!$A:$E,5,0)</f>
        <v>0</v>
      </c>
      <c r="AT407" s="1036" t="str">
        <f t="shared" si="39"/>
        <v>H17200</v>
      </c>
      <c r="AU407" s="599" t="str">
        <f t="shared" si="40"/>
        <v>AMELIORATIONS LOCATIVES</v>
      </c>
      <c r="AV407" s="1030" t="str">
        <f>IFERROR(INDEX(V407:AG407,1,MATCH(Parametres!$B$3,V$1:AG$1,0)-1)*IF(OR(C407="L",C407="S",C407="I"),-1,1),"")</f>
        <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2026</v>
      </c>
      <c r="C408" s="832" t="s">
        <v>1963</v>
      </c>
      <c r="D408" s="832" t="s">
        <v>1964</v>
      </c>
      <c r="E408" s="832" t="s">
        <v>333</v>
      </c>
      <c r="F408" s="832" t="s">
        <v>1792</v>
      </c>
      <c r="G408" s="832">
        <v>-122382.1</v>
      </c>
      <c r="H408" s="832">
        <v>-122857.56</v>
      </c>
      <c r="I408" s="832">
        <v>-123325.09</v>
      </c>
      <c r="J408" s="832">
        <v>-123800.55</v>
      </c>
      <c r="K408" s="832">
        <v>-123800.55</v>
      </c>
      <c r="L408" s="832">
        <v>-123800.55</v>
      </c>
      <c r="M408" s="832">
        <v>-123800.55</v>
      </c>
      <c r="N408" s="832">
        <v>-123800.55</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H17300</v>
      </c>
      <c r="AK408" s="1030" t="str">
        <f t="shared" si="37"/>
        <v>AMORT-AMELIORATIONS LOC.</v>
      </c>
      <c r="AL408" s="1030" t="str">
        <f>IFERROR(INDEX(G408:R408,1,MATCH(Parametres!$B$3,G$1:R$1,0)-1)*IF(OR(F408="L",F408="S",F408="I"),-1,1),"")</f>
        <v/>
      </c>
      <c r="AM408" s="1030">
        <f t="shared" si="38"/>
        <v>-122382.1</v>
      </c>
      <c r="AN408" s="1030">
        <f>INDEX(G408:R408,1,MATCH(Parametres!$B$3,G$1:R$1,0))*IF(OR(F408="L",F408="S",F408="I"),-1,1)</f>
        <v>-122382.1</v>
      </c>
      <c r="AO408" s="598" t="str">
        <f>+VLOOKUP($AJ408,Data_Validation!$A:$D,1,0)</f>
        <v>H17300</v>
      </c>
      <c r="AP408" s="598" t="str">
        <f>+VLOOKUP($AJ408,Data_Validation!$A:$D,3,0)</f>
        <v>Bilan</v>
      </c>
      <c r="AQ408" s="598" t="str">
        <f>+VLOOKUP($AJ408,Data_Validation!$A:$D,4,0)</f>
        <v>Améliorations Locatives</v>
      </c>
      <c r="AR408" s="598" t="s">
        <v>299</v>
      </c>
      <c r="AS408" s="598">
        <f>+VLOOKUP($AJ408,Data_Validation!$A:$E,5,0)</f>
        <v>0</v>
      </c>
      <c r="AT408" s="1036" t="str">
        <f t="shared" si="39"/>
        <v>H17300</v>
      </c>
      <c r="AU408" s="599" t="str">
        <f t="shared" si="40"/>
        <v>AMORT-AMELIORATIONS LOC.</v>
      </c>
      <c r="AV408" s="1030" t="str">
        <f>IFERROR(INDEX(V408:AG408,1,MATCH(Parametres!$B$3,V$1:AG$1,0)-1)*IF(OR(C408="L",C408="S",C408="I"),-1,1),"")</f>
        <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2026</v>
      </c>
      <c r="C409" s="832" t="s">
        <v>1965</v>
      </c>
      <c r="D409" s="832" t="s">
        <v>1966</v>
      </c>
      <c r="E409" s="832" t="s">
        <v>333</v>
      </c>
      <c r="F409" s="832" t="s">
        <v>1792</v>
      </c>
      <c r="G409" s="832">
        <v>320310.05</v>
      </c>
      <c r="H409" s="832">
        <v>320310.05</v>
      </c>
      <c r="I409" s="832">
        <v>320310.05</v>
      </c>
      <c r="J409" s="832">
        <v>320310.05</v>
      </c>
      <c r="K409" s="832">
        <v>320310.05</v>
      </c>
      <c r="L409" s="832">
        <v>320310.05</v>
      </c>
      <c r="M409" s="832">
        <v>320310.05</v>
      </c>
      <c r="N409" s="832">
        <v>320310.05</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H17400</v>
      </c>
      <c r="AK409" s="1030" t="str">
        <f t="shared" si="37"/>
        <v>EQUIPEMENT DE BUREAU</v>
      </c>
      <c r="AL409" s="1030" t="str">
        <f>IFERROR(INDEX(G409:R409,1,MATCH(Parametres!$B$3,G$1:R$1,0)-1)*IF(OR(F409="L",F409="S",F409="I"),-1,1),"")</f>
        <v/>
      </c>
      <c r="AM409" s="1030">
        <f t="shared" si="38"/>
        <v>320310.05</v>
      </c>
      <c r="AN409" s="1030">
        <f>INDEX(G409:R409,1,MATCH(Parametres!$B$3,G$1:R$1,0))*IF(OR(F409="L",F409="S",F409="I"),-1,1)</f>
        <v>320310.05</v>
      </c>
      <c r="AO409" s="598" t="str">
        <f>+VLOOKUP($AJ409,Data_Validation!$A:$D,1,0)</f>
        <v>H17400</v>
      </c>
      <c r="AP409" s="598" t="str">
        <f>+VLOOKUP($AJ409,Data_Validation!$A:$D,3,0)</f>
        <v>Bilan</v>
      </c>
      <c r="AQ409" s="598" t="str">
        <f>+VLOOKUP($AJ409,Data_Validation!$A:$D,4,0)</f>
        <v>Mobilier</v>
      </c>
      <c r="AR409" s="598" t="s">
        <v>299</v>
      </c>
      <c r="AS409" s="598">
        <f>+VLOOKUP($AJ409,Data_Validation!$A:$E,5,0)</f>
        <v>0</v>
      </c>
      <c r="AT409" s="1036" t="str">
        <f t="shared" si="39"/>
        <v>H17400</v>
      </c>
      <c r="AU409" s="599" t="str">
        <f t="shared" si="40"/>
        <v>EQUIPEMENT DE BUREAU</v>
      </c>
      <c r="AV409" s="1030" t="str">
        <f>IFERROR(INDEX(V409:AG409,1,MATCH(Parametres!$B$3,V$1:AG$1,0)-1)*IF(OR(C409="L",C409="S",C409="I"),-1,1),"")</f>
        <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2026</v>
      </c>
      <c r="C410" s="832" t="s">
        <v>1967</v>
      </c>
      <c r="D410" s="832" t="s">
        <v>1968</v>
      </c>
      <c r="E410" s="832" t="s">
        <v>333</v>
      </c>
      <c r="F410" s="832" t="s">
        <v>1792</v>
      </c>
      <c r="G410" s="832">
        <v>-265045.59999999998</v>
      </c>
      <c r="H410" s="832">
        <v>-265910.21999999997</v>
      </c>
      <c r="I410" s="832">
        <v>-266760.43</v>
      </c>
      <c r="J410" s="832">
        <v>-267625.05</v>
      </c>
      <c r="K410" s="832">
        <v>-267625.05</v>
      </c>
      <c r="L410" s="832">
        <v>-267625.05</v>
      </c>
      <c r="M410" s="832">
        <v>-267625.05</v>
      </c>
      <c r="N410" s="832">
        <v>-267625.05</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H17500</v>
      </c>
      <c r="AK410" s="1030" t="str">
        <f t="shared" si="37"/>
        <v>AMORT-EQUIP DE BUREAU</v>
      </c>
      <c r="AL410" s="1030" t="str">
        <f>IFERROR(INDEX(G410:R410,1,MATCH(Parametres!$B$3,G$1:R$1,0)-1)*IF(OR(F410="L",F410="S",F410="I"),-1,1),"")</f>
        <v/>
      </c>
      <c r="AM410" s="1030">
        <f t="shared" si="38"/>
        <v>-265045.59999999998</v>
      </c>
      <c r="AN410" s="1030">
        <f>INDEX(G410:R410,1,MATCH(Parametres!$B$3,G$1:R$1,0))*IF(OR(F410="L",F410="S",F410="I"),-1,1)</f>
        <v>-265045.59999999998</v>
      </c>
      <c r="AO410" s="598" t="str">
        <f>+VLOOKUP($AJ410,Data_Validation!$A:$D,1,0)</f>
        <v>H17500</v>
      </c>
      <c r="AP410" s="598" t="str">
        <f>+VLOOKUP($AJ410,Data_Validation!$A:$D,3,0)</f>
        <v>Bilan</v>
      </c>
      <c r="AQ410" s="598" t="str">
        <f>+VLOOKUP($AJ410,Data_Validation!$A:$D,4,0)</f>
        <v>Mobilier</v>
      </c>
      <c r="AR410" s="598" t="s">
        <v>299</v>
      </c>
      <c r="AS410" s="598">
        <f>+VLOOKUP($AJ410,Data_Validation!$A:$E,5,0)</f>
        <v>0</v>
      </c>
      <c r="AT410" s="1036" t="str">
        <f t="shared" si="39"/>
        <v>H17500</v>
      </c>
      <c r="AU410" s="599" t="str">
        <f t="shared" si="40"/>
        <v>AMORT-EQUIP DE BUREAU</v>
      </c>
      <c r="AV410" s="1030" t="str">
        <f>IFERROR(INDEX(V410:AG410,1,MATCH(Parametres!$B$3,V$1:AG$1,0)-1)*IF(OR(C410="L",C410="S",C410="I"),-1,1),"")</f>
        <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2026</v>
      </c>
      <c r="C411" s="832" t="s">
        <v>1969</v>
      </c>
      <c r="D411" s="832" t="s">
        <v>1970</v>
      </c>
      <c r="E411" s="832" t="s">
        <v>333</v>
      </c>
      <c r="F411" s="832" t="s">
        <v>1792</v>
      </c>
      <c r="G411" s="832">
        <v>12656.55</v>
      </c>
      <c r="H411" s="832">
        <v>12656.55</v>
      </c>
      <c r="I411" s="832">
        <v>12656.55</v>
      </c>
      <c r="J411" s="832">
        <v>12656.55</v>
      </c>
      <c r="K411" s="832">
        <v>12656.55</v>
      </c>
      <c r="L411" s="832">
        <v>12656.55</v>
      </c>
      <c r="M411" s="832">
        <v>12656.55</v>
      </c>
      <c r="N411" s="832">
        <v>12656.55</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H17600</v>
      </c>
      <c r="AK411" s="1030" t="str">
        <f t="shared" si="37"/>
        <v>EQUIP DU SERVICE PIECES</v>
      </c>
      <c r="AL411" s="1030" t="str">
        <f>IFERROR(INDEX(G411:R411,1,MATCH(Parametres!$B$3,G$1:R$1,0)-1)*IF(OR(F411="L",F411="S",F411="I"),-1,1),"")</f>
        <v/>
      </c>
      <c r="AM411" s="1030">
        <f t="shared" si="38"/>
        <v>12656.55</v>
      </c>
      <c r="AN411" s="1030">
        <f>INDEX(G411:R411,1,MATCH(Parametres!$B$3,G$1:R$1,0))*IF(OR(F411="L",F411="S",F411="I"),-1,1)</f>
        <v>12656.55</v>
      </c>
      <c r="AO411" s="598" t="str">
        <f>+VLOOKUP($AJ411,Data_Validation!$A:$D,1,0)</f>
        <v>H17600</v>
      </c>
      <c r="AP411" s="598" t="str">
        <f>+VLOOKUP($AJ411,Data_Validation!$A:$D,3,0)</f>
        <v>Bilan</v>
      </c>
      <c r="AQ411" s="598" t="str">
        <f>+VLOOKUP($AJ411,Data_Validation!$A:$D,4,0)</f>
        <v>Équipements Service</v>
      </c>
      <c r="AR411" s="598" t="s">
        <v>299</v>
      </c>
      <c r="AS411" s="598">
        <f>+VLOOKUP($AJ411,Data_Validation!$A:$E,5,0)</f>
        <v>0</v>
      </c>
      <c r="AT411" s="1036" t="str">
        <f t="shared" si="39"/>
        <v>H17600</v>
      </c>
      <c r="AU411" s="599" t="str">
        <f t="shared" si="40"/>
        <v>EQUIP DU SERVICE PIECES</v>
      </c>
      <c r="AV411" s="1030" t="str">
        <f>IFERROR(INDEX(V411:AG411,1,MATCH(Parametres!$B$3,V$1:AG$1,0)-1)*IF(OR(C411="L",C411="S",C411="I"),-1,1),"")</f>
        <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2026</v>
      </c>
      <c r="C412" s="832" t="s">
        <v>1971</v>
      </c>
      <c r="D412" s="832" t="s">
        <v>1972</v>
      </c>
      <c r="E412" s="832" t="s">
        <v>333</v>
      </c>
      <c r="F412" s="832" t="s">
        <v>1792</v>
      </c>
      <c r="G412" s="832">
        <v>-12641.37</v>
      </c>
      <c r="H412" s="832">
        <v>-12641.62</v>
      </c>
      <c r="I412" s="832">
        <v>-12641.87</v>
      </c>
      <c r="J412" s="832">
        <v>-12642.12</v>
      </c>
      <c r="K412" s="832">
        <v>-12642.12</v>
      </c>
      <c r="L412" s="832">
        <v>-12642.12</v>
      </c>
      <c r="M412" s="832">
        <v>-12642.12</v>
      </c>
      <c r="N412" s="832">
        <v>-12642.12</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H17700</v>
      </c>
      <c r="AK412" s="1030" t="str">
        <f t="shared" si="37"/>
        <v>AMORT- EQUIP DES PIECES</v>
      </c>
      <c r="AL412" s="1030" t="str">
        <f>IFERROR(INDEX(G412:R412,1,MATCH(Parametres!$B$3,G$1:R$1,0)-1)*IF(OR(F412="L",F412="S",F412="I"),-1,1),"")</f>
        <v/>
      </c>
      <c r="AM412" s="1030">
        <f t="shared" si="38"/>
        <v>-12641.37</v>
      </c>
      <c r="AN412" s="1030">
        <f>INDEX(G412:R412,1,MATCH(Parametres!$B$3,G$1:R$1,0))*IF(OR(F412="L",F412="S",F412="I"),-1,1)</f>
        <v>-12641.37</v>
      </c>
      <c r="AO412" s="598" t="str">
        <f>+VLOOKUP($AJ412,Data_Validation!$A:$D,1,0)</f>
        <v>H17700</v>
      </c>
      <c r="AP412" s="598" t="str">
        <f>+VLOOKUP($AJ412,Data_Validation!$A:$D,3,0)</f>
        <v>Bilan</v>
      </c>
      <c r="AQ412" s="598" t="str">
        <f>+VLOOKUP($AJ412,Data_Validation!$A:$D,4,0)</f>
        <v>Équipements Service</v>
      </c>
      <c r="AR412" s="598" t="s">
        <v>299</v>
      </c>
      <c r="AS412" s="598">
        <f>+VLOOKUP($AJ412,Data_Validation!$A:$E,5,0)</f>
        <v>0</v>
      </c>
      <c r="AT412" s="1036" t="str">
        <f t="shared" si="39"/>
        <v>H17700</v>
      </c>
      <c r="AU412" s="599" t="str">
        <f t="shared" si="40"/>
        <v>AMORT- EQUIP DES PIECES</v>
      </c>
      <c r="AV412" s="1030" t="str">
        <f>IFERROR(INDEX(V412:AG412,1,MATCH(Parametres!$B$3,V$1:AG$1,0)-1)*IF(OR(C412="L",C412="S",C412="I"),-1,1),"")</f>
        <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2026</v>
      </c>
      <c r="C413" s="832" t="s">
        <v>1973</v>
      </c>
      <c r="D413" s="832" t="s">
        <v>1974</v>
      </c>
      <c r="E413" s="832" t="s">
        <v>333</v>
      </c>
      <c r="F413" s="832" t="s">
        <v>1792</v>
      </c>
      <c r="G413" s="832">
        <v>768463.33</v>
      </c>
      <c r="H413" s="832">
        <v>768463.33</v>
      </c>
      <c r="I413" s="832">
        <v>768463.33</v>
      </c>
      <c r="J413" s="832">
        <v>768463.33</v>
      </c>
      <c r="K413" s="832">
        <v>768463.33</v>
      </c>
      <c r="L413" s="832">
        <v>768463.33</v>
      </c>
      <c r="M413" s="832">
        <v>768463.33</v>
      </c>
      <c r="N413" s="832">
        <v>768463.33</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H17800</v>
      </c>
      <c r="AK413" s="1030" t="str">
        <f t="shared" si="37"/>
        <v>EQUIPEMENT DU SERVICE</v>
      </c>
      <c r="AL413" s="1030" t="str">
        <f>IFERROR(INDEX(G413:R413,1,MATCH(Parametres!$B$3,G$1:R$1,0)-1)*IF(OR(F413="L",F413="S",F413="I"),-1,1),"")</f>
        <v/>
      </c>
      <c r="AM413" s="1030">
        <f t="shared" si="38"/>
        <v>768463.33</v>
      </c>
      <c r="AN413" s="1030">
        <f>INDEX(G413:R413,1,MATCH(Parametres!$B$3,G$1:R$1,0))*IF(OR(F413="L",F413="S",F413="I"),-1,1)</f>
        <v>768463.33</v>
      </c>
      <c r="AO413" s="598" t="str">
        <f>+VLOOKUP($AJ413,Data_Validation!$A:$D,1,0)</f>
        <v>H17800</v>
      </c>
      <c r="AP413" s="598" t="str">
        <f>+VLOOKUP($AJ413,Data_Validation!$A:$D,3,0)</f>
        <v>Bilan</v>
      </c>
      <c r="AQ413" s="598" t="str">
        <f>+VLOOKUP($AJ413,Data_Validation!$A:$D,4,0)</f>
        <v>Équipements Service</v>
      </c>
      <c r="AR413" s="598" t="s">
        <v>299</v>
      </c>
      <c r="AS413" s="598">
        <f>+VLOOKUP($AJ413,Data_Validation!$A:$E,5,0)</f>
        <v>0</v>
      </c>
      <c r="AT413" s="1036" t="str">
        <f t="shared" si="39"/>
        <v>H17800</v>
      </c>
      <c r="AU413" s="599" t="str">
        <f t="shared" si="40"/>
        <v>EQUIPEMENT DU SERVICE</v>
      </c>
      <c r="AV413" s="1030" t="str">
        <f>IFERROR(INDEX(V413:AG413,1,MATCH(Parametres!$B$3,V$1:AG$1,0)-1)*IF(OR(C413="L",C413="S",C413="I"),-1,1),"")</f>
        <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2026</v>
      </c>
      <c r="C414" s="832" t="s">
        <v>1975</v>
      </c>
      <c r="D414" s="832" t="s">
        <v>1976</v>
      </c>
      <c r="E414" s="832" t="s">
        <v>333</v>
      </c>
      <c r="F414" s="832" t="s">
        <v>1792</v>
      </c>
      <c r="G414" s="832">
        <v>-652280.71</v>
      </c>
      <c r="H414" s="832">
        <v>-654217.09</v>
      </c>
      <c r="I414" s="832">
        <v>-656121.18999999994</v>
      </c>
      <c r="J414" s="832">
        <v>-658057.56999999995</v>
      </c>
      <c r="K414" s="832">
        <v>-658057.56999999995</v>
      </c>
      <c r="L414" s="832">
        <v>-658057.56999999995</v>
      </c>
      <c r="M414" s="832">
        <v>-658057.56999999995</v>
      </c>
      <c r="N414" s="832">
        <v>-658057.56999999995</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H17900</v>
      </c>
      <c r="AK414" s="1030" t="str">
        <f t="shared" si="37"/>
        <v>AMORT-EQUIPEMENT DU SERV</v>
      </c>
      <c r="AL414" s="1030" t="str">
        <f>IFERROR(INDEX(G414:R414,1,MATCH(Parametres!$B$3,G$1:R$1,0)-1)*IF(OR(F414="L",F414="S",F414="I"),-1,1),"")</f>
        <v/>
      </c>
      <c r="AM414" s="1030">
        <f t="shared" si="38"/>
        <v>-652280.71</v>
      </c>
      <c r="AN414" s="1030">
        <f>INDEX(G414:R414,1,MATCH(Parametres!$B$3,G$1:R$1,0))*IF(OR(F414="L",F414="S",F414="I"),-1,1)</f>
        <v>-652280.71</v>
      </c>
      <c r="AO414" s="598" t="str">
        <f>+VLOOKUP($AJ414,Data_Validation!$A:$D,1,0)</f>
        <v>H17900</v>
      </c>
      <c r="AP414" s="598" t="str">
        <f>+VLOOKUP($AJ414,Data_Validation!$A:$D,3,0)</f>
        <v>Bilan</v>
      </c>
      <c r="AQ414" s="598" t="str">
        <f>+VLOOKUP($AJ414,Data_Validation!$A:$D,4,0)</f>
        <v>Équipements Service</v>
      </c>
      <c r="AR414" s="598" t="s">
        <v>299</v>
      </c>
      <c r="AS414" s="598">
        <f>+VLOOKUP($AJ414,Data_Validation!$A:$E,5,0)</f>
        <v>0</v>
      </c>
      <c r="AT414" s="1036" t="str">
        <f t="shared" si="39"/>
        <v>H17900</v>
      </c>
      <c r="AU414" s="599" t="str">
        <f t="shared" si="40"/>
        <v>AMORT-EQUIPEMENT DU SERV</v>
      </c>
      <c r="AV414" s="1030" t="str">
        <f>IFERROR(INDEX(V414:AG414,1,MATCH(Parametres!$B$3,V$1:AG$1,0)-1)*IF(OR(C414="L",C414="S",C414="I"),-1,1),"")</f>
        <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2026</v>
      </c>
      <c r="C415" s="832" t="s">
        <v>1977</v>
      </c>
      <c r="D415" s="832" t="s">
        <v>652</v>
      </c>
      <c r="E415" s="832" t="s">
        <v>333</v>
      </c>
      <c r="F415" s="832" t="s">
        <v>1792</v>
      </c>
      <c r="G415" s="832">
        <v>77476.800000000003</v>
      </c>
      <c r="H415" s="832">
        <v>77476.800000000003</v>
      </c>
      <c r="I415" s="832">
        <v>77476.800000000003</v>
      </c>
      <c r="J415" s="832">
        <v>77476.800000000003</v>
      </c>
      <c r="K415" s="832">
        <v>77476.800000000003</v>
      </c>
      <c r="L415" s="832">
        <v>77476.800000000003</v>
      </c>
      <c r="M415" s="832">
        <v>77476.800000000003</v>
      </c>
      <c r="N415" s="832">
        <v>77476.800000000003</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H18100</v>
      </c>
      <c r="AK415" s="1030" t="str">
        <f t="shared" si="37"/>
        <v>ENSEIGNES</v>
      </c>
      <c r="AL415" s="1030" t="str">
        <f>IFERROR(INDEX(G415:R415,1,MATCH(Parametres!$B$3,G$1:R$1,0)-1)*IF(OR(F415="L",F415="S",F415="I"),-1,1),"")</f>
        <v/>
      </c>
      <c r="AM415" s="1030">
        <f t="shared" si="38"/>
        <v>77476.800000000003</v>
      </c>
      <c r="AN415" s="1030">
        <f>INDEX(G415:R415,1,MATCH(Parametres!$B$3,G$1:R$1,0))*IF(OR(F415="L",F415="S",F415="I"),-1,1)</f>
        <v>77476.800000000003</v>
      </c>
      <c r="AO415" s="598" t="str">
        <f>+VLOOKUP($AJ415,Data_Validation!$A:$D,1,0)</f>
        <v>H18100</v>
      </c>
      <c r="AP415" s="598" t="str">
        <f>+VLOOKUP($AJ415,Data_Validation!$A:$D,3,0)</f>
        <v>Bilan</v>
      </c>
      <c r="AQ415" s="598" t="str">
        <f>+VLOOKUP($AJ415,Data_Validation!$A:$D,4,0)</f>
        <v>Enseigne</v>
      </c>
      <c r="AR415" s="598" t="s">
        <v>299</v>
      </c>
      <c r="AS415" s="598">
        <f>+VLOOKUP($AJ415,Data_Validation!$A:$E,5,0)</f>
        <v>0</v>
      </c>
      <c r="AT415" s="1036" t="str">
        <f t="shared" si="39"/>
        <v>H18100</v>
      </c>
      <c r="AU415" s="599" t="str">
        <f t="shared" si="40"/>
        <v>ENSEIGNES</v>
      </c>
      <c r="AV415" s="1030" t="str">
        <f>IFERROR(INDEX(V415:AG415,1,MATCH(Parametres!$B$3,V$1:AG$1,0)-1)*IF(OR(C415="L",C415="S",C415="I"),-1,1),"")</f>
        <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2026</v>
      </c>
      <c r="C416" s="832" t="s">
        <v>1978</v>
      </c>
      <c r="D416" s="832" t="s">
        <v>1979</v>
      </c>
      <c r="E416" s="832" t="s">
        <v>333</v>
      </c>
      <c r="F416" s="832" t="s">
        <v>1792</v>
      </c>
      <c r="G416" s="832">
        <v>-68784.28</v>
      </c>
      <c r="H416" s="832">
        <v>-68929.16</v>
      </c>
      <c r="I416" s="832">
        <v>-69071.62</v>
      </c>
      <c r="J416" s="832">
        <v>-69216.5</v>
      </c>
      <c r="K416" s="832">
        <v>-69216.5</v>
      </c>
      <c r="L416" s="832">
        <v>-69216.5</v>
      </c>
      <c r="M416" s="832">
        <v>-69216.5</v>
      </c>
      <c r="N416" s="832">
        <v>-69216.5</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H18200</v>
      </c>
      <c r="AK416" s="1030" t="str">
        <f t="shared" si="37"/>
        <v>AMORT-ENSEIGNES</v>
      </c>
      <c r="AL416" s="1030" t="str">
        <f>IFERROR(INDEX(G416:R416,1,MATCH(Parametres!$B$3,G$1:R$1,0)-1)*IF(OR(F416="L",F416="S",F416="I"),-1,1),"")</f>
        <v/>
      </c>
      <c r="AM416" s="1030">
        <f t="shared" si="38"/>
        <v>-68784.28</v>
      </c>
      <c r="AN416" s="1030">
        <f>INDEX(G416:R416,1,MATCH(Parametres!$B$3,G$1:R$1,0))*IF(OR(F416="L",F416="S",F416="I"),-1,1)</f>
        <v>-68784.28</v>
      </c>
      <c r="AO416" s="598" t="str">
        <f>+VLOOKUP($AJ416,Data_Validation!$A:$D,1,0)</f>
        <v>H18200</v>
      </c>
      <c r="AP416" s="598" t="str">
        <f>+VLOOKUP($AJ416,Data_Validation!$A:$D,3,0)</f>
        <v>Bilan</v>
      </c>
      <c r="AQ416" s="598" t="str">
        <f>+VLOOKUP($AJ416,Data_Validation!$A:$D,4,0)</f>
        <v>Enseigne</v>
      </c>
      <c r="AR416" s="598" t="s">
        <v>299</v>
      </c>
      <c r="AS416" s="598">
        <f>+VLOOKUP($AJ416,Data_Validation!$A:$E,5,0)</f>
        <v>0</v>
      </c>
      <c r="AT416" s="1036" t="str">
        <f t="shared" si="39"/>
        <v>H18200</v>
      </c>
      <c r="AU416" s="599" t="str">
        <f t="shared" si="40"/>
        <v>AMORT-ENSEIGNES</v>
      </c>
      <c r="AV416" s="1030" t="str">
        <f>IFERROR(INDEX(V416:AG416,1,MATCH(Parametres!$B$3,V$1:AG$1,0)-1)*IF(OR(C416="L",C416="S",C416="I"),-1,1),"")</f>
        <v/>
      </c>
      <c r="AW416" s="1030">
        <f t="shared" si="41"/>
        <v>0</v>
      </c>
      <c r="AX416" s="1030">
        <f>INDEX(V416:AG416,1,MATCH(Parametres!$B$3,V$1:AG$1,0))*IF(OR(C416="L",C416="S",C416="I"),-1,1)</f>
        <v>0</v>
      </c>
      <c r="AY416" s="598" t="s">
        <v>337</v>
      </c>
      <c r="AZ416" s="598">
        <f>+VLOOKUP($AJ416,Data_Validation!$A:$E,5,0)</f>
        <v>0</v>
      </c>
    </row>
    <row r="417" spans="1:52" ht="15.75" customHeight="1">
      <c r="A417" s="832" t="s">
        <v>1150</v>
      </c>
      <c r="B417" s="832">
        <v>2026</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H18300</v>
      </c>
      <c r="AK417" s="1030" t="str">
        <f t="shared" si="37"/>
        <v>VEHICULES DE SERVITUDE</v>
      </c>
      <c r="AL417" s="1030" t="str">
        <f>IFERROR(INDEX(G417:R417,1,MATCH(Parametres!$B$3,G$1:R$1,0)-1)*IF(OR(F417="L",F417="S",F417="I"),-1,1),"")</f>
        <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H18300</v>
      </c>
      <c r="AU417" s="599" t="str">
        <f t="shared" si="40"/>
        <v>VEHICULES DE SERVITUDE</v>
      </c>
      <c r="AV417" s="1030" t="str">
        <f>IFERROR(INDEX(V417:AG417,1,MATCH(Parametres!$B$3,V$1:AG$1,0)-1)*IF(OR(C417="L",C417="S",C417="I"),-1,1),"")</f>
        <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2026</v>
      </c>
      <c r="C418" s="832" t="s">
        <v>1982</v>
      </c>
      <c r="D418" s="832" t="s">
        <v>1983</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H18400</v>
      </c>
      <c r="AK418" s="1030" t="str">
        <f t="shared" si="37"/>
        <v>AMORT- VEHICULES SERVICE</v>
      </c>
      <c r="AL418" s="1030" t="str">
        <f>IFERROR(INDEX(G418:R418,1,MATCH(Parametres!$B$3,G$1:R$1,0)-1)*IF(OR(F418="L",F418="S",F418="I"),-1,1),"")</f>
        <v/>
      </c>
      <c r="AM418" s="1030">
        <f t="shared" si="38"/>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t="str">
        <f t="shared" si="39"/>
        <v>H18400</v>
      </c>
      <c r="AU418" s="599" t="str">
        <f t="shared" si="40"/>
        <v>AMORT- VEHICULES SERVICE</v>
      </c>
      <c r="AV418" s="1030" t="str">
        <f>IFERROR(INDEX(V418:AG418,1,MATCH(Parametres!$B$3,V$1:AG$1,0)-1)*IF(OR(C418="L",C418="S",C418="I"),-1,1),"")</f>
        <v/>
      </c>
      <c r="AW418" s="1030">
        <f t="shared" si="41"/>
        <v>0</v>
      </c>
      <c r="AX418" s="1030">
        <f>INDEX(V418:AG418,1,MATCH(Parametres!$B$3,V$1:AG$1,0))*IF(OR(C418="L",C418="S",C418="I"),-1,1)</f>
        <v>0</v>
      </c>
      <c r="AY418" s="598" t="s">
        <v>337</v>
      </c>
      <c r="AZ418" s="598" t="e">
        <f>+VLOOKUP($AJ418,Data_Validation!$A:$E,5,0)</f>
        <v>#N/A</v>
      </c>
    </row>
    <row r="419" spans="1:52" ht="15.75" customHeight="1">
      <c r="A419" s="832" t="s">
        <v>1150</v>
      </c>
      <c r="B419" s="832">
        <v>2026</v>
      </c>
      <c r="C419" s="832" t="s">
        <v>1984</v>
      </c>
      <c r="D419" s="832" t="s">
        <v>651</v>
      </c>
      <c r="E419" s="832" t="s">
        <v>333</v>
      </c>
      <c r="F419" s="832" t="s">
        <v>1792</v>
      </c>
      <c r="G419" s="832">
        <v>209715.93</v>
      </c>
      <c r="H419" s="832">
        <v>209715.93</v>
      </c>
      <c r="I419" s="832">
        <v>209715.93</v>
      </c>
      <c r="J419" s="832">
        <v>218985.88</v>
      </c>
      <c r="K419" s="832">
        <v>218985.88</v>
      </c>
      <c r="L419" s="832">
        <v>218985.88</v>
      </c>
      <c r="M419" s="832">
        <v>218985.88</v>
      </c>
      <c r="N419" s="832">
        <v>218985.88</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H18500</v>
      </c>
      <c r="AK419" s="1030" t="str">
        <f t="shared" si="37"/>
        <v>EQUIPEMENT INFORMATIQUE</v>
      </c>
      <c r="AL419" s="1030" t="str">
        <f>IFERROR(INDEX(G419:R419,1,MATCH(Parametres!$B$3,G$1:R$1,0)-1)*IF(OR(F419="L",F419="S",F419="I"),-1,1),"")</f>
        <v/>
      </c>
      <c r="AM419" s="1030">
        <f t="shared" si="38"/>
        <v>209715.93</v>
      </c>
      <c r="AN419" s="1030">
        <f>INDEX(G419:R419,1,MATCH(Parametres!$B$3,G$1:R$1,0))*IF(OR(F419="L",F419="S",F419="I"),-1,1)</f>
        <v>209715.93</v>
      </c>
      <c r="AO419" s="598" t="str">
        <f>+VLOOKUP($AJ419,Data_Validation!$A:$D,1,0)</f>
        <v>H18500</v>
      </c>
      <c r="AP419" s="598" t="str">
        <f>+VLOOKUP($AJ419,Data_Validation!$A:$D,3,0)</f>
        <v>Bilan</v>
      </c>
      <c r="AQ419" s="598" t="str">
        <f>+VLOOKUP($AJ419,Data_Validation!$A:$D,4,0)</f>
        <v>Équipements Informatique</v>
      </c>
      <c r="AR419" s="598" t="s">
        <v>299</v>
      </c>
      <c r="AS419" s="598">
        <f>+VLOOKUP($AJ419,Data_Validation!$A:$E,5,0)</f>
        <v>0</v>
      </c>
      <c r="AT419" s="1036" t="str">
        <f t="shared" si="39"/>
        <v>H18500</v>
      </c>
      <c r="AU419" s="599" t="str">
        <f t="shared" si="40"/>
        <v>EQUIPEMENT INFORMATIQUE</v>
      </c>
      <c r="AV419" s="1030" t="str">
        <f>IFERROR(INDEX(V419:AG419,1,MATCH(Parametres!$B$3,V$1:AG$1,0)-1)*IF(OR(C419="L",C419="S",C419="I"),-1,1),"")</f>
        <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2026</v>
      </c>
      <c r="C420" s="832" t="s">
        <v>1985</v>
      </c>
      <c r="D420" s="832" t="s">
        <v>1986</v>
      </c>
      <c r="E420" s="832" t="s">
        <v>333</v>
      </c>
      <c r="F420" s="832" t="s">
        <v>1792</v>
      </c>
      <c r="G420" s="832">
        <v>-201364.28</v>
      </c>
      <c r="H420" s="832">
        <v>-201573.07</v>
      </c>
      <c r="I420" s="832">
        <v>-201776.64000000001</v>
      </c>
      <c r="J420" s="832">
        <v>-201985.43</v>
      </c>
      <c r="K420" s="832">
        <v>-201985.43</v>
      </c>
      <c r="L420" s="832">
        <v>-201985.43</v>
      </c>
      <c r="M420" s="832">
        <v>-201985.43</v>
      </c>
      <c r="N420" s="832">
        <v>-201985.43</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H18600</v>
      </c>
      <c r="AK420" s="1030" t="str">
        <f t="shared" si="37"/>
        <v>AMORT-EQUIPEMENT INFO.</v>
      </c>
      <c r="AL420" s="1030" t="str">
        <f>IFERROR(INDEX(G420:R420,1,MATCH(Parametres!$B$3,G$1:R$1,0)-1)*IF(OR(F420="L",F420="S",F420="I"),-1,1),"")</f>
        <v/>
      </c>
      <c r="AM420" s="1030">
        <f t="shared" si="38"/>
        <v>-201364.28</v>
      </c>
      <c r="AN420" s="1030">
        <f>INDEX(G420:R420,1,MATCH(Parametres!$B$3,G$1:R$1,0))*IF(OR(F420="L",F420="S",F420="I"),-1,1)</f>
        <v>-201364.28</v>
      </c>
      <c r="AO420" s="598" t="str">
        <f>+VLOOKUP($AJ420,Data_Validation!$A:$D,1,0)</f>
        <v>H18600</v>
      </c>
      <c r="AP420" s="598" t="str">
        <f>+VLOOKUP($AJ420,Data_Validation!$A:$D,3,0)</f>
        <v>Bilan</v>
      </c>
      <c r="AQ420" s="598" t="str">
        <f>+VLOOKUP($AJ420,Data_Validation!$A:$D,4,0)</f>
        <v>Équipements Informatique</v>
      </c>
      <c r="AR420" s="598" t="s">
        <v>299</v>
      </c>
      <c r="AS420" s="598">
        <f>+VLOOKUP($AJ420,Data_Validation!$A:$E,5,0)</f>
        <v>0</v>
      </c>
      <c r="AT420" s="1036" t="str">
        <f t="shared" si="39"/>
        <v>H18600</v>
      </c>
      <c r="AU420" s="599" t="str">
        <f t="shared" si="40"/>
        <v>AMORT-EQUIPEMENT INFO.</v>
      </c>
      <c r="AV420" s="1030" t="str">
        <f>IFERROR(INDEX(V420:AG420,1,MATCH(Parametres!$B$3,V$1:AG$1,0)-1)*IF(OR(C420="L",C420="S",C420="I"),-1,1),"")</f>
        <v/>
      </c>
      <c r="AW420" s="1030">
        <f t="shared" si="41"/>
        <v>0</v>
      </c>
      <c r="AX420" s="1030">
        <f>INDEX(V420:AG420,1,MATCH(Parametres!$B$3,V$1:AG$1,0))*IF(OR(C420="L",C420="S",C420="I"),-1,1)</f>
        <v>0</v>
      </c>
      <c r="AY420" s="598" t="s">
        <v>337</v>
      </c>
      <c r="AZ420" s="598">
        <f>+VLOOKUP($AJ420,Data_Validation!$A:$E,5,0)</f>
        <v>0</v>
      </c>
    </row>
    <row r="421" spans="1:52" ht="15.75" customHeight="1">
      <c r="A421" s="832" t="s">
        <v>1150</v>
      </c>
      <c r="B421" s="832">
        <v>2026</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H18700</v>
      </c>
      <c r="AK421" s="1030" t="str">
        <f t="shared" si="37"/>
        <v>PAVAGE</v>
      </c>
      <c r="AL421" s="1030" t="str">
        <f>IFERROR(INDEX(G421:R421,1,MATCH(Parametres!$B$3,G$1:R$1,0)-1)*IF(OR(F421="L",F421="S",F421="I"),-1,1),"")</f>
        <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H18700</v>
      </c>
      <c r="AU421" s="599" t="str">
        <f t="shared" si="40"/>
        <v>PAVAGE</v>
      </c>
      <c r="AV421" s="1030" t="str">
        <f>IFERROR(INDEX(V421:AG421,1,MATCH(Parametres!$B$3,V$1:AG$1,0)-1)*IF(OR(C421="L",C421="S",C421="I"),-1,1),"")</f>
        <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2026</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H18710</v>
      </c>
      <c r="AK422" s="1030" t="str">
        <f t="shared" si="37"/>
        <v>AMORT - PAVAGE</v>
      </c>
      <c r="AL422" s="1030" t="str">
        <f>IFERROR(INDEX(G422:R422,1,MATCH(Parametres!$B$3,G$1:R$1,0)-1)*IF(OR(F422="L",F422="S",F422="I"),-1,1),"")</f>
        <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H18710</v>
      </c>
      <c r="AU422" s="599" t="str">
        <f t="shared" si="40"/>
        <v>AMORT - PAVAGE</v>
      </c>
      <c r="AV422" s="1030" t="str">
        <f>IFERROR(INDEX(V422:AG422,1,MATCH(Parametres!$B$3,V$1:AG$1,0)-1)*IF(OR(C422="L",C422="S",C422="I"),-1,1),"")</f>
        <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2026</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H18800</v>
      </c>
      <c r="AK423" s="1030" t="str">
        <f t="shared" si="37"/>
        <v>CAUTIONNEMENT REMBOURS.</v>
      </c>
      <c r="AL423" s="1030" t="str">
        <f>IFERROR(INDEX(G423:R423,1,MATCH(Parametres!$B$3,G$1:R$1,0)-1)*IF(OR(F423="L",F423="S",F423="I"),-1,1),"")</f>
        <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H18800</v>
      </c>
      <c r="AU423" s="599" t="str">
        <f t="shared" si="40"/>
        <v>CAUTIONNEMENT REMBOURS.</v>
      </c>
      <c r="AV423" s="1030" t="str">
        <f>IFERROR(INDEX(V423:AG423,1,MATCH(Parametres!$B$3,V$1:AG$1,0)-1)*IF(OR(C423="L",C423="S",C423="I"),-1,1),"")</f>
        <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2026</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H18900</v>
      </c>
      <c r="AK424" s="1030" t="str">
        <f t="shared" si="37"/>
        <v>TITRES DE PLACEMENT</v>
      </c>
      <c r="AL424" s="1030" t="str">
        <f>IFERROR(INDEX(G424:R424,1,MATCH(Parametres!$B$3,G$1:R$1,0)-1)*IF(OR(F424="L",F424="S",F424="I"),-1,1),"")</f>
        <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H18900</v>
      </c>
      <c r="AU424" s="599" t="str">
        <f t="shared" si="40"/>
        <v>TITRES DE PLACEMENT</v>
      </c>
      <c r="AV424" s="1030" t="str">
        <f>IFERROR(INDEX(V424:AG424,1,MATCH(Parametres!$B$3,V$1:AG$1,0)-1)*IF(OR(C424="L",C424="S",C424="I"),-1,1),"")</f>
        <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2026</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H19000</v>
      </c>
      <c r="AK425" s="1030" t="str">
        <f t="shared" si="37"/>
        <v>FRAIS DE CONSTITUTION</v>
      </c>
      <c r="AL425" s="1030" t="str">
        <f>IFERROR(INDEX(G425:R425,1,MATCH(Parametres!$B$3,G$1:R$1,0)-1)*IF(OR(F425="L",F425="S",F425="I"),-1,1),"")</f>
        <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H19000</v>
      </c>
      <c r="AU425" s="599" t="str">
        <f t="shared" si="40"/>
        <v>FRAIS DE CONSTITUTION</v>
      </c>
      <c r="AV425" s="1030" t="str">
        <f>IFERROR(INDEX(V425:AG425,1,MATCH(Parametres!$B$3,V$1:AG$1,0)-1)*IF(OR(C425="L",C425="S",C425="I"),-1,1),"")</f>
        <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2026</v>
      </c>
      <c r="C426" s="832" t="s">
        <v>1997</v>
      </c>
      <c r="D426" s="832" t="s">
        <v>1998</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H19200</v>
      </c>
      <c r="AK426" s="1030" t="str">
        <f t="shared" si="37"/>
        <v>AVANCE AUX ADMINISTRATEUR</v>
      </c>
      <c r="AL426" s="1030" t="str">
        <f>IFERROR(INDEX(G426:R426,1,MATCH(Parametres!$B$3,G$1:R$1,0)-1)*IF(OR(F426="L",F426="S",F426="I"),-1,1),"")</f>
        <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H19200</v>
      </c>
      <c r="AU426" s="599" t="str">
        <f t="shared" si="40"/>
        <v>AVANCE AUX ADMINISTRATEUR</v>
      </c>
      <c r="AV426" s="1030" t="str">
        <f>IFERROR(INDEX(V426:AG426,1,MATCH(Parametres!$B$3,V$1:AG$1,0)-1)*IF(OR(C426="L",C426="S",C426="I"),-1,1),"")</f>
        <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2026</v>
      </c>
      <c r="C427" s="832" t="s">
        <v>1999</v>
      </c>
      <c r="D427" s="832" t="s">
        <v>1115</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H19500</v>
      </c>
      <c r="AK427" s="1030" t="str">
        <f t="shared" si="37"/>
        <v>ACHALANDAGE</v>
      </c>
      <c r="AL427" s="1030" t="str">
        <f>IFERROR(INDEX(G427:R427,1,MATCH(Parametres!$B$3,G$1:R$1,0)-1)*IF(OR(F427="L",F427="S",F427="I"),-1,1),"")</f>
        <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H19500</v>
      </c>
      <c r="AU427" s="599" t="str">
        <f t="shared" si="40"/>
        <v>ACHALANDAGE</v>
      </c>
      <c r="AV427" s="1030" t="str">
        <f>IFERROR(INDEX(V427:AG427,1,MATCH(Parametres!$B$3,V$1:AG$1,0)-1)*IF(OR(C427="L",C427="S",C427="I"),-1,1),"")</f>
        <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2026</v>
      </c>
      <c r="C428" s="832" t="s">
        <v>2000</v>
      </c>
      <c r="D428" s="832" t="s">
        <v>2001</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H19600</v>
      </c>
      <c r="AK428" s="1030" t="str">
        <f t="shared" si="37"/>
        <v>PARTICIPATION SOC. FIN.</v>
      </c>
      <c r="AL428" s="1030" t="str">
        <f>IFERROR(INDEX(G428:R428,1,MATCH(Parametres!$B$3,G$1:R$1,0)-1)*IF(OR(F428="L",F428="S",F428="I"),-1,1),"")</f>
        <v/>
      </c>
      <c r="AM428" s="1030">
        <f t="shared" si="38"/>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t="str">
        <f t="shared" si="39"/>
        <v>H19600</v>
      </c>
      <c r="AU428" s="599" t="str">
        <f t="shared" si="40"/>
        <v>PARTICIPATION SOC. FIN.</v>
      </c>
      <c r="AV428" s="1030" t="str">
        <f>IFERROR(INDEX(V428:AG428,1,MATCH(Parametres!$B$3,V$1:AG$1,0)-1)*IF(OR(C428="L",C428="S",C428="I"),-1,1),"")</f>
        <v/>
      </c>
      <c r="AW428" s="1030">
        <f t="shared" si="41"/>
        <v>0</v>
      </c>
      <c r="AX428" s="1030">
        <f>INDEX(V428:AG428,1,MATCH(Parametres!$B$3,V$1:AG$1,0))*IF(OR(C428="L",C428="S",C428="I"),-1,1)</f>
        <v>0</v>
      </c>
      <c r="AY428" s="598" t="s">
        <v>337</v>
      </c>
      <c r="AZ428" s="598" t="e">
        <f>+VLOOKUP($AJ428,Data_Validation!$A:$E,5,0)</f>
        <v>#N/A</v>
      </c>
    </row>
    <row r="429" spans="1:52" ht="15.75" customHeight="1">
      <c r="A429" s="832" t="s">
        <v>1150</v>
      </c>
      <c r="B429" s="832">
        <v>2026</v>
      </c>
      <c r="C429" s="832" t="s">
        <v>2002</v>
      </c>
      <c r="D429" s="832" t="s">
        <v>2003</v>
      </c>
      <c r="E429" s="832" t="s">
        <v>333</v>
      </c>
      <c r="F429" s="832" t="s">
        <v>1792</v>
      </c>
      <c r="G429" s="832">
        <v>6950932</v>
      </c>
      <c r="H429" s="832">
        <v>6950932</v>
      </c>
      <c r="I429" s="832">
        <v>6950932</v>
      </c>
      <c r="J429" s="832">
        <v>6950932</v>
      </c>
      <c r="K429" s="832">
        <v>6950932</v>
      </c>
      <c r="L429" s="832">
        <v>6950932</v>
      </c>
      <c r="M429" s="832">
        <v>6950932</v>
      </c>
      <c r="N429" s="832">
        <v>6950932</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H19900</v>
      </c>
      <c r="AK429" s="1030" t="str">
        <f t="shared" si="37"/>
        <v>AUTES ACTIF GESTION IMMO</v>
      </c>
      <c r="AL429" s="1030" t="str">
        <f>IFERROR(INDEX(G429:R429,1,MATCH(Parametres!$B$3,G$1:R$1,0)-1)*IF(OR(F429="L",F429="S",F429="I"),-1,1),"")</f>
        <v/>
      </c>
      <c r="AM429" s="1030">
        <f t="shared" si="38"/>
        <v>6950932</v>
      </c>
      <c r="AN429" s="1030">
        <f>INDEX(G429:R429,1,MATCH(Parametres!$B$3,G$1:R$1,0))*IF(OR(F429="L",F429="S",F429="I"),-1,1)</f>
        <v>6950932</v>
      </c>
      <c r="AO429" s="598" t="str">
        <f>+VLOOKUP($AJ429,Data_Validation!$A:$D,1,0)</f>
        <v>H19900</v>
      </c>
      <c r="AP429" s="598" t="str">
        <f>+VLOOKUP($AJ429,Data_Validation!$A:$D,3,0)</f>
        <v>Bilan</v>
      </c>
      <c r="AQ429" s="598" t="str">
        <f>+VLOOKUP($AJ429,Data_Validation!$A:$D,4,0)</f>
        <v>Achalandage</v>
      </c>
      <c r="AR429" s="598" t="s">
        <v>299</v>
      </c>
      <c r="AS429" s="598">
        <f>+VLOOKUP($AJ429,Data_Validation!$A:$E,5,0)</f>
        <v>0</v>
      </c>
      <c r="AT429" s="1036" t="str">
        <f t="shared" si="39"/>
        <v>H19900</v>
      </c>
      <c r="AU429" s="599" t="str">
        <f t="shared" si="40"/>
        <v>AUTES ACTIF GESTION IMMO</v>
      </c>
      <c r="AV429" s="1030" t="str">
        <f>IFERROR(INDEX(V429:AG429,1,MATCH(Parametres!$B$3,V$1:AG$1,0)-1)*IF(OR(C429="L",C429="S",C429="I"),-1,1),"")</f>
        <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2026</v>
      </c>
      <c r="C430" s="832" t="s">
        <v>2004</v>
      </c>
      <c r="D430" s="832" t="s">
        <v>2005</v>
      </c>
      <c r="E430" s="832" t="s">
        <v>333</v>
      </c>
      <c r="F430" s="832" t="s">
        <v>1792</v>
      </c>
      <c r="G430" s="832">
        <v>-232333</v>
      </c>
      <c r="H430" s="832">
        <v>-232333</v>
      </c>
      <c r="I430" s="832">
        <v>-232333</v>
      </c>
      <c r="J430" s="832">
        <v>-232333</v>
      </c>
      <c r="K430" s="832">
        <v>-232333</v>
      </c>
      <c r="L430" s="832">
        <v>-232333</v>
      </c>
      <c r="M430" s="832">
        <v>-232333</v>
      </c>
      <c r="N430" s="832">
        <v>-232333</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H19902</v>
      </c>
      <c r="AK430" s="1030" t="str">
        <f t="shared" si="37"/>
        <v>AMORT CUMULE-RELATION CLI</v>
      </c>
      <c r="AL430" s="1030" t="str">
        <f>IFERROR(INDEX(G430:R430,1,MATCH(Parametres!$B$3,G$1:R$1,0)-1)*IF(OR(F430="L",F430="S",F430="I"),-1,1),"")</f>
        <v/>
      </c>
      <c r="AM430" s="1030">
        <f t="shared" si="38"/>
        <v>-232333</v>
      </c>
      <c r="AN430" s="1030">
        <f>INDEX(G430:R430,1,MATCH(Parametres!$B$3,G$1:R$1,0))*IF(OR(F430="L",F430="S",F430="I"),-1,1)</f>
        <v>-232333</v>
      </c>
      <c r="AO430" s="598" t="str">
        <f>+VLOOKUP($AJ430,Data_Validation!$A:$D,1,0)</f>
        <v>H19902</v>
      </c>
      <c r="AP430" s="598" t="str">
        <f>+VLOOKUP($AJ430,Data_Validation!$A:$D,3,0)</f>
        <v>Bilan</v>
      </c>
      <c r="AQ430" s="598" t="str">
        <f>+VLOOKUP($AJ430,Data_Validation!$A:$D,4,0)</f>
        <v>Achalandage</v>
      </c>
      <c r="AR430" s="598" t="s">
        <v>299</v>
      </c>
      <c r="AS430" s="598">
        <f>+VLOOKUP($AJ430,Data_Validation!$A:$E,5,0)</f>
        <v>0</v>
      </c>
      <c r="AT430" s="1036" t="str">
        <f t="shared" si="39"/>
        <v>H19902</v>
      </c>
      <c r="AU430" s="599" t="str">
        <f t="shared" si="40"/>
        <v>AMORT CUMULE-RELATION CLI</v>
      </c>
      <c r="AV430" s="1030" t="str">
        <f>IFERROR(INDEX(V430:AG430,1,MATCH(Parametres!$B$3,V$1:AG$1,0)-1)*IF(OR(C430="L",C430="S",C430="I"),-1,1),"")</f>
        <v/>
      </c>
      <c r="AW430" s="1030">
        <f t="shared" si="41"/>
        <v>0</v>
      </c>
      <c r="AX430" s="1030">
        <f>INDEX(V430:AG430,1,MATCH(Parametres!$B$3,V$1:AG$1,0))*IF(OR(C430="L",C430="S",C430="I"),-1,1)</f>
        <v>0</v>
      </c>
      <c r="AY430" s="598" t="s">
        <v>337</v>
      </c>
      <c r="AZ430" s="598">
        <f>+VLOOKUP($AJ430,Data_Validation!$A:$E,5,0)</f>
        <v>0</v>
      </c>
    </row>
    <row r="431" spans="1:52" ht="15.75" customHeight="1">
      <c r="A431" s="832" t="s">
        <v>1150</v>
      </c>
      <c r="B431" s="832">
        <v>2026</v>
      </c>
      <c r="C431" s="832" t="s">
        <v>2006</v>
      </c>
      <c r="D431" s="832" t="s">
        <v>2007</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H20100</v>
      </c>
      <c r="AK431" s="1030" t="str">
        <f t="shared" si="37"/>
        <v>PRET BANCAIRE</v>
      </c>
      <c r="AL431" s="1030" t="str">
        <f>IFERROR(INDEX(G431:R431,1,MATCH(Parametres!$B$3,G$1:R$1,0)-1)*IF(OR(F431="L",F431="S",F431="I"),-1,1),"")</f>
        <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H20100</v>
      </c>
      <c r="AU431" s="599" t="str">
        <f t="shared" si="40"/>
        <v>PRET BANCAIRE</v>
      </c>
      <c r="AV431" s="1030" t="str">
        <f>IFERROR(INDEX(V431:AG431,1,MATCH(Parametres!$B$3,V$1:AG$1,0)-1)*IF(OR(C431="L",C431="S",C431="I"),-1,1),"")</f>
        <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2026</v>
      </c>
      <c r="C432" s="832" t="s">
        <v>2008</v>
      </c>
      <c r="D432" s="832" t="s">
        <v>1803</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H20200</v>
      </c>
      <c r="AK432" s="1030" t="str">
        <f t="shared" si="37"/>
        <v>BULK</v>
      </c>
      <c r="AL432" s="1030" t="str">
        <f>IFERROR(INDEX(G432:R432,1,MATCH(Parametres!$B$3,G$1:R$1,0)-1)*IF(OR(F432="L",F432="S",F432="I"),-1,1),"")</f>
        <v/>
      </c>
      <c r="AM432" s="1030">
        <f t="shared" si="38"/>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t="str">
        <f t="shared" si="39"/>
        <v>H20200</v>
      </c>
      <c r="AU432" s="599" t="str">
        <f t="shared" si="40"/>
        <v>BULK</v>
      </c>
      <c r="AV432" s="1030" t="str">
        <f>IFERROR(INDEX(V432:AG432,1,MATCH(Parametres!$B$3,V$1:AG$1,0)-1)*IF(OR(C432="L",C432="S",C432="I"),-1,1),"")</f>
        <v/>
      </c>
      <c r="AW432" s="1030">
        <f t="shared" si="41"/>
        <v>0</v>
      </c>
      <c r="AX432" s="1030">
        <f>INDEX(V432:AG432,1,MATCH(Parametres!$B$3,V$1:AG$1,0))*IF(OR(C432="L",C432="S",C432="I"),-1,1)</f>
        <v>0</v>
      </c>
      <c r="AY432" s="598" t="s">
        <v>337</v>
      </c>
      <c r="AZ432" s="598" t="e">
        <f>+VLOOKUP($AJ432,Data_Validation!$A:$E,5,0)</f>
        <v>#N/A</v>
      </c>
    </row>
    <row r="433" spans="1:52" ht="15.75" customHeight="1">
      <c r="A433" s="832" t="s">
        <v>1150</v>
      </c>
      <c r="B433" s="832">
        <v>2026</v>
      </c>
      <c r="C433" s="832" t="s">
        <v>2009</v>
      </c>
      <c r="D433" s="832" t="s">
        <v>2010</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H20300</v>
      </c>
      <c r="AK433" s="1030" t="str">
        <f t="shared" si="37"/>
        <v>MARGE DE CREDIT</v>
      </c>
      <c r="AL433" s="1030" t="str">
        <f>IFERROR(INDEX(G433:R433,1,MATCH(Parametres!$B$3,G$1:R$1,0)-1)*IF(OR(F433="L",F433="S",F433="I"),-1,1),"")</f>
        <v/>
      </c>
      <c r="AM433" s="1030">
        <f t="shared" si="38"/>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t="str">
        <f t="shared" si="39"/>
        <v>H20300</v>
      </c>
      <c r="AU433" s="599" t="str">
        <f t="shared" si="40"/>
        <v>MARGE DE CREDIT</v>
      </c>
      <c r="AV433" s="1030" t="str">
        <f>IFERROR(INDEX(V433:AG433,1,MATCH(Parametres!$B$3,V$1:AG$1,0)-1)*IF(OR(C433="L",C433="S",C433="I"),-1,1),"")</f>
        <v/>
      </c>
      <c r="AW433" s="1030">
        <f t="shared" si="41"/>
        <v>0</v>
      </c>
      <c r="AX433" s="1030">
        <f>INDEX(V433:AG433,1,MATCH(Parametres!$B$3,V$1:AG$1,0))*IF(OR(C433="L",C433="S",C433="I"),-1,1)</f>
        <v>0</v>
      </c>
      <c r="AY433" s="598" t="s">
        <v>337</v>
      </c>
      <c r="AZ433" s="598" t="e">
        <f>+VLOOKUP($AJ433,Data_Validation!$A:$E,5,0)</f>
        <v>#N/A</v>
      </c>
    </row>
    <row r="434" spans="1:52" ht="15.75" customHeight="1">
      <c r="A434" s="832" t="s">
        <v>1150</v>
      </c>
      <c r="B434" s="832">
        <v>2026</v>
      </c>
      <c r="C434" s="832" t="s">
        <v>2011</v>
      </c>
      <c r="D434" s="832" t="s">
        <v>2012</v>
      </c>
      <c r="E434" s="832" t="s">
        <v>2013</v>
      </c>
      <c r="F434" s="832" t="s">
        <v>1153</v>
      </c>
      <c r="G434" s="832">
        <v>8104123.2300000004</v>
      </c>
      <c r="H434" s="832">
        <v>9598931.9299999997</v>
      </c>
      <c r="I434" s="832">
        <v>10652588.35</v>
      </c>
      <c r="J434" s="832">
        <v>10418691.5</v>
      </c>
      <c r="K434" s="832">
        <v>11541423.800000001</v>
      </c>
      <c r="L434" s="832">
        <v>11541423.800000001</v>
      </c>
      <c r="M434" s="832">
        <v>11541423.800000001</v>
      </c>
      <c r="N434" s="832">
        <v>11541423.800000001</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H20500</v>
      </c>
      <c r="AK434" s="1030" t="str">
        <f t="shared" si="37"/>
        <v>FLOOR PLAN - NEUF</v>
      </c>
      <c r="AL434" s="1030" t="str">
        <f>IFERROR(INDEX(G434:R434,1,MATCH(Parametres!$B$3,G$1:R$1,0)-1)*IF(OR(F434="L",F434="S",F434="I"),-1,1),"")</f>
        <v/>
      </c>
      <c r="AM434" s="1030">
        <f t="shared" si="38"/>
        <v>-8104123.2300000004</v>
      </c>
      <c r="AN434" s="1030">
        <f>INDEX(G434:R434,1,MATCH(Parametres!$B$3,G$1:R$1,0))*IF(OR(F434="L",F434="S",F434="I"),-1,1)</f>
        <v>-8104123.2300000004</v>
      </c>
      <c r="AO434" s="598" t="str">
        <f>+VLOOKUP($AJ434,Data_Validation!$A:$D,1,0)</f>
        <v>H20500</v>
      </c>
      <c r="AP434" s="598" t="str">
        <f>+VLOOKUP($AJ434,Data_Validation!$A:$D,3,0)</f>
        <v>Bilan</v>
      </c>
      <c r="AQ434" s="598" t="str">
        <f>+VLOOKUP($AJ434,Data_Validation!$A:$D,4,0)</f>
        <v>Effet à Payer Véhicules Neufs</v>
      </c>
      <c r="AR434" s="598" t="s">
        <v>299</v>
      </c>
      <c r="AS434" s="598">
        <f>+VLOOKUP($AJ434,Data_Validation!$A:$E,5,0)</f>
        <v>0</v>
      </c>
      <c r="AT434" s="1036" t="str">
        <f t="shared" si="39"/>
        <v>H20500</v>
      </c>
      <c r="AU434" s="599" t="str">
        <f t="shared" si="40"/>
        <v>FLOOR PLAN - NEUF</v>
      </c>
      <c r="AV434" s="1030" t="str">
        <f>IFERROR(INDEX(V434:AG434,1,MATCH(Parametres!$B$3,V$1:AG$1,0)-1)*IF(OR(C434="L",C434="S",C434="I"),-1,1),"")</f>
        <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2026</v>
      </c>
      <c r="C435" s="832" t="s">
        <v>2014</v>
      </c>
      <c r="D435" s="832" t="s">
        <v>2015</v>
      </c>
      <c r="E435" s="832" t="s">
        <v>2013</v>
      </c>
      <c r="F435" s="832" t="s">
        <v>1153</v>
      </c>
      <c r="G435" s="832">
        <v>564098</v>
      </c>
      <c r="H435" s="832">
        <v>520326</v>
      </c>
      <c r="I435" s="832">
        <v>677080</v>
      </c>
      <c r="J435" s="832">
        <v>617696</v>
      </c>
      <c r="K435" s="832">
        <v>617696</v>
      </c>
      <c r="L435" s="832">
        <v>617696</v>
      </c>
      <c r="M435" s="832">
        <v>617696</v>
      </c>
      <c r="N435" s="832">
        <v>617696</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H20700</v>
      </c>
      <c r="AK435" s="1030" t="str">
        <f t="shared" si="37"/>
        <v>FLOOR PLAN - OCCASION</v>
      </c>
      <c r="AL435" s="1030" t="str">
        <f>IFERROR(INDEX(G435:R435,1,MATCH(Parametres!$B$3,G$1:R$1,0)-1)*IF(OR(F435="L",F435="S",F435="I"),-1,1),"")</f>
        <v/>
      </c>
      <c r="AM435" s="1030">
        <f t="shared" si="38"/>
        <v>-564098</v>
      </c>
      <c r="AN435" s="1030">
        <f>INDEX(G435:R435,1,MATCH(Parametres!$B$3,G$1:R$1,0))*IF(OR(F435="L",F435="S",F435="I"),-1,1)</f>
        <v>-564098</v>
      </c>
      <c r="AO435" s="598" t="str">
        <f>+VLOOKUP($AJ435,Data_Validation!$A:$D,1,0)</f>
        <v>H20700</v>
      </c>
      <c r="AP435" s="598" t="str">
        <f>+VLOOKUP($AJ435,Data_Validation!$A:$D,3,0)</f>
        <v>Bilan</v>
      </c>
      <c r="AQ435" s="598" t="str">
        <f>+VLOOKUP($AJ435,Data_Validation!$A:$D,4,0)</f>
        <v>Effet à Payer Véhicules Usagés</v>
      </c>
      <c r="AR435" s="598" t="s">
        <v>299</v>
      </c>
      <c r="AS435" s="598">
        <f>+VLOOKUP($AJ435,Data_Validation!$A:$E,5,0)</f>
        <v>0</v>
      </c>
      <c r="AT435" s="1036" t="str">
        <f t="shared" si="39"/>
        <v>H20700</v>
      </c>
      <c r="AU435" s="599" t="str">
        <f t="shared" si="40"/>
        <v>FLOOR PLAN - OCCASION</v>
      </c>
      <c r="AV435" s="1030" t="str">
        <f>IFERROR(INDEX(V435:AG435,1,MATCH(Parametres!$B$3,V$1:AG$1,0)-1)*IF(OR(C435="L",C435="S",C435="I"),-1,1),"")</f>
        <v/>
      </c>
      <c r="AW435" s="1030">
        <f t="shared" si="41"/>
        <v>0</v>
      </c>
      <c r="AX435" s="1030">
        <f>INDEX(V435:AG435,1,MATCH(Parametres!$B$3,V$1:AG$1,0))*IF(OR(C435="L",C435="S",C435="I"),-1,1)</f>
        <v>0</v>
      </c>
      <c r="AY435" s="598" t="s">
        <v>337</v>
      </c>
      <c r="AZ435" s="598">
        <f>+VLOOKUP($AJ435,Data_Validation!$A:$E,5,0)</f>
        <v>0</v>
      </c>
    </row>
    <row r="436" spans="1:52" ht="15.75" customHeight="1">
      <c r="A436" s="832" t="s">
        <v>1150</v>
      </c>
      <c r="B436" s="832">
        <v>2026</v>
      </c>
      <c r="C436" s="832" t="s">
        <v>2016</v>
      </c>
      <c r="D436" s="832" t="s">
        <v>2017</v>
      </c>
      <c r="E436" s="832" t="s">
        <v>2013</v>
      </c>
      <c r="F436" s="832" t="s">
        <v>1153</v>
      </c>
      <c r="G436" s="832">
        <v>792610.46</v>
      </c>
      <c r="H436" s="832">
        <v>709670.68</v>
      </c>
      <c r="I436" s="832">
        <v>655512.79</v>
      </c>
      <c r="J436" s="832">
        <v>600340.38</v>
      </c>
      <c r="K436" s="832">
        <v>600340.38</v>
      </c>
      <c r="L436" s="832">
        <v>600340.38</v>
      </c>
      <c r="M436" s="832">
        <v>600340.38</v>
      </c>
      <c r="N436" s="832">
        <v>600340.38</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H20800</v>
      </c>
      <c r="AK436" s="1030" t="str">
        <f t="shared" si="37"/>
        <v>FLOOR PLAN - DEMO &amp; COURT</v>
      </c>
      <c r="AL436" s="1030" t="str">
        <f>IFERROR(INDEX(G436:R436,1,MATCH(Parametres!$B$3,G$1:R$1,0)-1)*IF(OR(F436="L",F436="S",F436="I"),-1,1),"")</f>
        <v/>
      </c>
      <c r="AM436" s="1030">
        <f t="shared" si="38"/>
        <v>-792610.46</v>
      </c>
      <c r="AN436" s="1030">
        <f>INDEX(G436:R436,1,MATCH(Parametres!$B$3,G$1:R$1,0))*IF(OR(F436="L",F436="S",F436="I"),-1,1)</f>
        <v>-792610.46</v>
      </c>
      <c r="AO436" s="598" t="str">
        <f>+VLOOKUP($AJ436,Data_Validation!$A:$D,1,0)</f>
        <v>H20800</v>
      </c>
      <c r="AP436" s="598" t="str">
        <f>+VLOOKUP($AJ436,Data_Validation!$A:$D,3,0)</f>
        <v>Bilan</v>
      </c>
      <c r="AQ436" s="598" t="str">
        <f>+VLOOKUP($AJ436,Data_Validation!$A:$D,4,0)</f>
        <v>Effet à Payer Véhicules Neufs</v>
      </c>
      <c r="AR436" s="598" t="s">
        <v>299</v>
      </c>
      <c r="AS436" s="598">
        <f>+VLOOKUP($AJ436,Data_Validation!$A:$E,5,0)</f>
        <v>0</v>
      </c>
      <c r="AT436" s="1036" t="str">
        <f t="shared" si="39"/>
        <v>H20800</v>
      </c>
      <c r="AU436" s="599" t="str">
        <f t="shared" si="40"/>
        <v>FLOOR PLAN - DEMO &amp; COURT</v>
      </c>
      <c r="AV436" s="1030" t="str">
        <f>IFERROR(INDEX(V436:AG436,1,MATCH(Parametres!$B$3,V$1:AG$1,0)-1)*IF(OR(C436="L",C436="S",C436="I"),-1,1),"")</f>
        <v/>
      </c>
      <c r="AW436" s="1030">
        <f t="shared" si="41"/>
        <v>0</v>
      </c>
      <c r="AX436" s="1030">
        <f>INDEX(V436:AG436,1,MATCH(Parametres!$B$3,V$1:AG$1,0))*IF(OR(C436="L",C436="S",C436="I"),-1,1)</f>
        <v>0</v>
      </c>
      <c r="AY436" s="598" t="s">
        <v>337</v>
      </c>
      <c r="AZ436" s="598">
        <f>+VLOOKUP($AJ436,Data_Validation!$A:$E,5,0)</f>
        <v>0</v>
      </c>
    </row>
    <row r="437" spans="1:52" ht="15.75" customHeight="1">
      <c r="A437" s="832" t="s">
        <v>1150</v>
      </c>
      <c r="B437" s="832">
        <v>2026</v>
      </c>
      <c r="C437" s="832" t="s">
        <v>2018</v>
      </c>
      <c r="D437" s="832" t="s">
        <v>2019</v>
      </c>
      <c r="E437" s="832" t="s">
        <v>2013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H20900</v>
      </c>
      <c r="AK437" s="1030" t="str">
        <f t="shared" si="37"/>
        <v>FLOOR PLAN - AUTRES</v>
      </c>
      <c r="AL437" s="1030" t="str">
        <f>IFERROR(INDEX(G437:R437,1,MATCH(Parametres!$B$3,G$1:R$1,0)-1)*IF(OR(F437="L",F437="S",F437="I"),-1,1),"")</f>
        <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H20900</v>
      </c>
      <c r="AU437" s="599" t="str">
        <f t="shared" si="40"/>
        <v>FLOOR PLAN - AUTRES</v>
      </c>
      <c r="AV437" s="1030" t="str">
        <f>IFERROR(INDEX(V437:AG437,1,MATCH(Parametres!$B$3,V$1:AG$1,0)-1)*IF(OR(C437="L",C437="S",C437="I"),-1,1),"")</f>
        <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2026</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H21000</v>
      </c>
      <c r="AK438" s="1030" t="str">
        <f t="shared" si="37"/>
        <v>DROITS DE RETENTION VEH.</v>
      </c>
      <c r="AL438" s="1030" t="str">
        <f>IFERROR(INDEX(G438:R438,1,MATCH(Parametres!$B$3,G$1:R$1,0)-1)*IF(OR(F438="L",F438="S",F438="I"),-1,1),"")</f>
        <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H21000</v>
      </c>
      <c r="AU438" s="599" t="str">
        <f t="shared" si="40"/>
        <v>DROITS DE RETENTION VEH.</v>
      </c>
      <c r="AV438" s="1030" t="str">
        <f>IFERROR(INDEX(V438:AG438,1,MATCH(Parametres!$B$3,V$1:AG$1,0)-1)*IF(OR(C438="L",C438="S",C438="I"),-1,1),"")</f>
        <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2026</v>
      </c>
      <c r="C439" s="832" t="s">
        <v>2022</v>
      </c>
      <c r="D439" s="832" t="s">
        <v>2023</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H21100</v>
      </c>
      <c r="AK439" s="1030" t="str">
        <f t="shared" si="37"/>
        <v>AUTRES NOTES A PAYER</v>
      </c>
      <c r="AL439" s="1030" t="str">
        <f>IFERROR(INDEX(G439:R439,1,MATCH(Parametres!$B$3,G$1:R$1,0)-1)*IF(OR(F439="L",F439="S",F439="I"),-1,1),"")</f>
        <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H21100</v>
      </c>
      <c r="AU439" s="599" t="str">
        <f t="shared" si="40"/>
        <v>AUTRES NOTES A PAYER</v>
      </c>
      <c r="AV439" s="1030" t="str">
        <f>IFERROR(INDEX(V439:AG439,1,MATCH(Parametres!$B$3,V$1:AG$1,0)-1)*IF(OR(C439="L",C439="S",C439="I"),-1,1),"")</f>
        <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2026</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H21200</v>
      </c>
      <c r="AK440" s="1030" t="str">
        <f t="shared" si="37"/>
        <v>EXIGIBLE SUR LES REPOSS.</v>
      </c>
      <c r="AL440" s="1030" t="str">
        <f>IFERROR(INDEX(G440:R440,1,MATCH(Parametres!$B$3,G$1:R$1,0)-1)*IF(OR(F440="L",F440="S",F440="I"),-1,1),"")</f>
        <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H21200</v>
      </c>
      <c r="AU440" s="599" t="str">
        <f t="shared" si="40"/>
        <v>EXIGIBLE SUR LES REPOSS.</v>
      </c>
      <c r="AV440" s="1030" t="str">
        <f>IFERROR(INDEX(V440:AG440,1,MATCH(Parametres!$B$3,V$1:AG$1,0)-1)*IF(OR(C440="L",C440="S",C440="I"),-1,1),"")</f>
        <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2026</v>
      </c>
      <c r="C441" s="832" t="s">
        <v>2026</v>
      </c>
      <c r="D441" s="832" t="s">
        <v>2027</v>
      </c>
      <c r="E441" s="832" t="s">
        <v>1813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H21300</v>
      </c>
      <c r="AK441" s="1030" t="str">
        <f t="shared" si="37"/>
        <v>GAR. PROLONGEES A PAYER</v>
      </c>
      <c r="AL441" s="1030" t="str">
        <f>IFERROR(INDEX(G441:R441,1,MATCH(Parametres!$B$3,G$1:R$1,0)-1)*IF(OR(F441="L",F441="S",F441="I"),-1,1),"")</f>
        <v/>
      </c>
      <c r="AM441" s="1030">
        <f t="shared" si="38"/>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t="str">
        <f t="shared" si="39"/>
        <v>H21300</v>
      </c>
      <c r="AU441" s="599" t="str">
        <f t="shared" si="40"/>
        <v>GAR. PROLONGEES A PAYER</v>
      </c>
      <c r="AV441" s="1030" t="str">
        <f>IFERROR(INDEX(V441:AG441,1,MATCH(Parametres!$B$3,V$1:AG$1,0)-1)*IF(OR(C441="L",C441="S",C441="I"),-1,1),"")</f>
        <v/>
      </c>
      <c r="AW441" s="1030">
        <f t="shared" si="41"/>
        <v>0</v>
      </c>
      <c r="AX441" s="1030">
        <f>INDEX(V441:AG441,1,MATCH(Parametres!$B$3,V$1:AG$1,0))*IF(OR(C441="L",C441="S",C441="I"),-1,1)</f>
        <v>0</v>
      </c>
      <c r="AY441" s="598" t="s">
        <v>337</v>
      </c>
      <c r="AZ441" s="598" t="e">
        <f>+VLOOKUP($AJ441,Data_Validation!$A:$E,5,0)</f>
        <v>#N/A</v>
      </c>
    </row>
    <row r="442" spans="1:52" ht="15.75" customHeight="1">
      <c r="A442" s="832" t="s">
        <v>1150</v>
      </c>
      <c r="B442" s="832">
        <v>2026</v>
      </c>
      <c r="C442" s="832" t="s">
        <v>2028</v>
      </c>
      <c r="D442" s="832" t="s">
        <v>2029</v>
      </c>
      <c r="E442" s="832" t="s">
        <v>333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H21400</v>
      </c>
      <c r="AK442" s="1030" t="str">
        <f t="shared" si="37"/>
        <v>PAIEMENT EFF. PAR CLIENT</v>
      </c>
      <c r="AL442" s="1030" t="str">
        <f>IFERROR(INDEX(G442:R442,1,MATCH(Parametres!$B$3,G$1:R$1,0)-1)*IF(OR(F442="L",F442="S",F442="I"),-1,1),"")</f>
        <v/>
      </c>
      <c r="AM442" s="1030">
        <f t="shared" si="38"/>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t="str">
        <f t="shared" si="39"/>
        <v>H21400</v>
      </c>
      <c r="AU442" s="599" t="str">
        <f t="shared" si="40"/>
        <v>PAIEMENT EFF. PAR CLIENT</v>
      </c>
      <c r="AV442" s="1030" t="str">
        <f>IFERROR(INDEX(V442:AG442,1,MATCH(Parametres!$B$3,V$1:AG$1,0)-1)*IF(OR(C442="L",C442="S",C442="I"),-1,1),"")</f>
        <v/>
      </c>
      <c r="AW442" s="1030">
        <f t="shared" si="41"/>
        <v>0</v>
      </c>
      <c r="AX442" s="1030">
        <f>INDEX(V442:AG442,1,MATCH(Parametres!$B$3,V$1:AG$1,0))*IF(OR(C442="L",C442="S",C442="I"),-1,1)</f>
        <v>0</v>
      </c>
      <c r="AY442" s="598" t="s">
        <v>337</v>
      </c>
      <c r="AZ442" s="598" t="e">
        <f>+VLOOKUP($AJ442,Data_Validation!$A:$E,5,0)</f>
        <v>#N/A</v>
      </c>
    </row>
    <row r="443" spans="1:52" ht="15.75" customHeight="1">
      <c r="A443" s="832" t="s">
        <v>1150</v>
      </c>
      <c r="B443" s="832">
        <v>2026</v>
      </c>
      <c r="C443" s="832" t="s">
        <v>2030</v>
      </c>
      <c r="D443" s="832" t="s">
        <v>2031</v>
      </c>
      <c r="E443" s="832" t="s">
        <v>2032</v>
      </c>
      <c r="F443" s="832" t="s">
        <v>1153</v>
      </c>
      <c r="G443" s="832">
        <v>548356.47</v>
      </c>
      <c r="H443" s="832">
        <v>413160.01</v>
      </c>
      <c r="I443" s="832">
        <v>448857.51</v>
      </c>
      <c r="J443" s="832">
        <v>537529.23</v>
      </c>
      <c r="K443" s="832">
        <v>292014.44</v>
      </c>
      <c r="L443" s="832">
        <v>223450.86</v>
      </c>
      <c r="M443" s="832">
        <v>223450.86</v>
      </c>
      <c r="N443" s="832">
        <v>154887.28</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H21500</v>
      </c>
      <c r="AK443" s="1030" t="str">
        <f t="shared" si="37"/>
        <v>COMPTE FOURNISSEUR</v>
      </c>
      <c r="AL443" s="1030" t="str">
        <f>IFERROR(INDEX(G443:R443,1,MATCH(Parametres!$B$3,G$1:R$1,0)-1)*IF(OR(F443="L",F443="S",F443="I"),-1,1),"")</f>
        <v/>
      </c>
      <c r="AM443" s="1030">
        <f t="shared" si="38"/>
        <v>-548356.47</v>
      </c>
      <c r="AN443" s="1030">
        <f>INDEX(G443:R443,1,MATCH(Parametres!$B$3,G$1:R$1,0))*IF(OR(F443="L",F443="S",F443="I"),-1,1)</f>
        <v>-548356.47</v>
      </c>
      <c r="AO443" s="598" t="str">
        <f>+VLOOKUP($AJ443,Data_Validation!$A:$D,1,0)</f>
        <v>H21500</v>
      </c>
      <c r="AP443" s="598" t="str">
        <f>+VLOOKUP($AJ443,Data_Validation!$A:$D,3,0)</f>
        <v>Bilan</v>
      </c>
      <c r="AQ443" s="598" t="str">
        <f>+VLOOKUP($AJ443,Data_Validation!$A:$D,4,0)</f>
        <v>Comptes à Payer Fournisseurs</v>
      </c>
      <c r="AR443" s="598" t="s">
        <v>299</v>
      </c>
      <c r="AS443" s="598">
        <f>+VLOOKUP($AJ443,Data_Validation!$A:$E,5,0)</f>
        <v>0</v>
      </c>
      <c r="AT443" s="1036" t="str">
        <f t="shared" si="39"/>
        <v>H21500</v>
      </c>
      <c r="AU443" s="599" t="str">
        <f t="shared" si="40"/>
        <v>COMPTE FOURNISSEUR</v>
      </c>
      <c r="AV443" s="1030" t="str">
        <f>IFERROR(INDEX(V443:AG443,1,MATCH(Parametres!$B$3,V$1:AG$1,0)-1)*IF(OR(C443="L",C443="S",C443="I"),-1,1),"")</f>
        <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2026</v>
      </c>
      <c r="C444" s="832" t="s">
        <v>2033</v>
      </c>
      <c r="D444" s="832" t="s">
        <v>2034</v>
      </c>
      <c r="E444" s="832" t="s">
        <v>2032</v>
      </c>
      <c r="F444" s="832" t="s">
        <v>1153</v>
      </c>
      <c r="G444" s="832">
        <v>5792.48</v>
      </c>
      <c r="H444" s="832">
        <v>5792.48</v>
      </c>
      <c r="I444" s="832">
        <v>5792.48</v>
      </c>
      <c r="J444" s="832">
        <v>5792.48</v>
      </c>
      <c r="K444" s="832">
        <v>5792.48</v>
      </c>
      <c r="L444" s="832">
        <v>5792.48</v>
      </c>
      <c r="M444" s="832">
        <v>5792.48</v>
      </c>
      <c r="N444" s="832">
        <v>5792.48</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H21510</v>
      </c>
      <c r="AK444" s="1030" t="str">
        <f t="shared" si="37"/>
        <v>COMPTE FOURNISSEUR AUTRE</v>
      </c>
      <c r="AL444" s="1030" t="str">
        <f>IFERROR(INDEX(G444:R444,1,MATCH(Parametres!$B$3,G$1:R$1,0)-1)*IF(OR(F444="L",F444="S",F444="I"),-1,1),"")</f>
        <v/>
      </c>
      <c r="AM444" s="1030">
        <f t="shared" si="38"/>
        <v>-5792.48</v>
      </c>
      <c r="AN444" s="1030">
        <f>INDEX(G444:R444,1,MATCH(Parametres!$B$3,G$1:R$1,0))*IF(OR(F444="L",F444="S",F444="I"),-1,1)</f>
        <v>-5792.48</v>
      </c>
      <c r="AO444" s="598" t="str">
        <f>+VLOOKUP($AJ444,Data_Validation!$A:$D,1,0)</f>
        <v>H21510</v>
      </c>
      <c r="AP444" s="598" t="str">
        <f>+VLOOKUP($AJ444,Data_Validation!$A:$D,3,0)</f>
        <v>Bilan</v>
      </c>
      <c r="AQ444" s="598" t="str">
        <f>+VLOOKUP($AJ444,Data_Validation!$A:$D,4,0)</f>
        <v>Comptes à Payer Fournisseurs</v>
      </c>
      <c r="AR444" s="598" t="s">
        <v>299</v>
      </c>
      <c r="AS444" s="598">
        <f>+VLOOKUP($AJ444,Data_Validation!$A:$E,5,0)</f>
        <v>0</v>
      </c>
      <c r="AT444" s="1036" t="str">
        <f t="shared" si="39"/>
        <v>H21510</v>
      </c>
      <c r="AU444" s="599" t="str">
        <f t="shared" si="40"/>
        <v>COMPTE FOURNISSEUR AUTRE</v>
      </c>
      <c r="AV444" s="1030" t="str">
        <f>IFERROR(INDEX(V444:AG444,1,MATCH(Parametres!$B$3,V$1:AG$1,0)-1)*IF(OR(C444="L",C444="S",C444="I"),-1,1),"")</f>
        <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2026</v>
      </c>
      <c r="C445" s="832" t="s">
        <v>2035</v>
      </c>
      <c r="D445" s="832" t="s">
        <v>2036</v>
      </c>
      <c r="E445" s="832" t="s">
        <v>2032</v>
      </c>
      <c r="F445" s="832" t="s">
        <v>1153</v>
      </c>
      <c r="G445" s="832">
        <v>16904</v>
      </c>
      <c r="H445" s="832">
        <v>15491</v>
      </c>
      <c r="I445" s="832">
        <v>31924</v>
      </c>
      <c r="J445" s="832">
        <v>54021</v>
      </c>
      <c r="K445" s="832">
        <v>66061</v>
      </c>
      <c r="L445" s="832">
        <v>66061</v>
      </c>
      <c r="M445" s="832">
        <v>66061</v>
      </c>
      <c r="N445" s="832">
        <v>66061</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H21520</v>
      </c>
      <c r="AK445" s="1030" t="str">
        <f t="shared" si="37"/>
        <v>COMPTE A PAYER - IA</v>
      </c>
      <c r="AL445" s="1030" t="str">
        <f>IFERROR(INDEX(G445:R445,1,MATCH(Parametres!$B$3,G$1:R$1,0)-1)*IF(OR(F445="L",F445="S",F445="I"),-1,1),"")</f>
        <v/>
      </c>
      <c r="AM445" s="1030">
        <f t="shared" si="38"/>
        <v>-16904</v>
      </c>
      <c r="AN445" s="1030">
        <f>INDEX(G445:R445,1,MATCH(Parametres!$B$3,G$1:R$1,0))*IF(OR(F445="L",F445="S",F445="I"),-1,1)</f>
        <v>-16904</v>
      </c>
      <c r="AO445" s="598" t="str">
        <f>+VLOOKUP($AJ445,Data_Validation!$A:$D,1,0)</f>
        <v>H21520</v>
      </c>
      <c r="AP445" s="598" t="str">
        <f>+VLOOKUP($AJ445,Data_Validation!$A:$D,3,0)</f>
        <v>Bilan</v>
      </c>
      <c r="AQ445" s="598" t="str">
        <f>+VLOOKUP($AJ445,Data_Validation!$A:$D,4,0)</f>
        <v>Comptes à Payer Fournisseurs</v>
      </c>
      <c r="AR445" s="598" t="s">
        <v>299</v>
      </c>
      <c r="AS445" s="598">
        <f>+VLOOKUP($AJ445,Data_Validation!$A:$E,5,0)</f>
        <v>0</v>
      </c>
      <c r="AT445" s="1036" t="str">
        <f t="shared" si="39"/>
        <v>H21520</v>
      </c>
      <c r="AU445" s="599" t="str">
        <f t="shared" si="40"/>
        <v>COMPTE A PAYER - IA</v>
      </c>
      <c r="AV445" s="1030" t="str">
        <f>IFERROR(INDEX(V445:AG445,1,MATCH(Parametres!$B$3,V$1:AG$1,0)-1)*IF(OR(C445="L",C445="S",C445="I"),-1,1),"")</f>
        <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2026</v>
      </c>
      <c r="C446" s="832" t="s">
        <v>2037</v>
      </c>
      <c r="D446" s="832" t="s">
        <v>2038</v>
      </c>
      <c r="E446" s="832" t="s">
        <v>2032</v>
      </c>
      <c r="F446" s="832" t="s">
        <v>1153</v>
      </c>
      <c r="G446" s="832">
        <v>8923.73</v>
      </c>
      <c r="H446" s="832">
        <v>12283.8</v>
      </c>
      <c r="I446" s="832">
        <v>47419.66</v>
      </c>
      <c r="J446" s="832">
        <v>71109.33</v>
      </c>
      <c r="K446" s="832">
        <v>34415.26</v>
      </c>
      <c r="L446" s="832">
        <v>34415.26</v>
      </c>
      <c r="M446" s="832">
        <v>34415.26</v>
      </c>
      <c r="N446" s="832">
        <v>34415.26</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H21530</v>
      </c>
      <c r="AK446" s="1030" t="str">
        <f t="shared" si="37"/>
        <v>COMPTE A PAYER - SYM-TECH</v>
      </c>
      <c r="AL446" s="1030" t="str">
        <f>IFERROR(INDEX(G446:R446,1,MATCH(Parametres!$B$3,G$1:R$1,0)-1)*IF(OR(F446="L",F446="S",F446="I"),-1,1),"")</f>
        <v/>
      </c>
      <c r="AM446" s="1030">
        <f t="shared" si="38"/>
        <v>-8923.73</v>
      </c>
      <c r="AN446" s="1030">
        <f>INDEX(G446:R446,1,MATCH(Parametres!$B$3,G$1:R$1,0))*IF(OR(F446="L",F446="S",F446="I"),-1,1)</f>
        <v>-8923.73</v>
      </c>
      <c r="AO446" s="598" t="str">
        <f>+VLOOKUP($AJ446,Data_Validation!$A:$D,1,0)</f>
        <v>H21530</v>
      </c>
      <c r="AP446" s="598" t="str">
        <f>+VLOOKUP($AJ446,Data_Validation!$A:$D,3,0)</f>
        <v>Bilan</v>
      </c>
      <c r="AQ446" s="598" t="str">
        <f>+VLOOKUP($AJ446,Data_Validation!$A:$D,4,0)</f>
        <v>Comptes à Payer Fournisseurs</v>
      </c>
      <c r="AR446" s="598" t="s">
        <v>299</v>
      </c>
      <c r="AS446" s="598">
        <f>+VLOOKUP($AJ446,Data_Validation!$A:$E,5,0)</f>
        <v>0</v>
      </c>
      <c r="AT446" s="1036" t="str">
        <f t="shared" si="39"/>
        <v>H21530</v>
      </c>
      <c r="AU446" s="599" t="str">
        <f t="shared" si="40"/>
        <v>COMPTE A PAYER - SYM-TECH</v>
      </c>
      <c r="AV446" s="1030" t="str">
        <f>IFERROR(INDEX(V446:AG446,1,MATCH(Parametres!$B$3,V$1:AG$1,0)-1)*IF(OR(C446="L",C446="S",C446="I"),-1,1),"")</f>
        <v/>
      </c>
      <c r="AW446" s="1030">
        <f t="shared" si="41"/>
        <v>0</v>
      </c>
      <c r="AX446" s="1030">
        <f>INDEX(V446:AG446,1,MATCH(Parametres!$B$3,V$1:AG$1,0))*IF(OR(C446="L",C446="S",C446="I"),-1,1)</f>
        <v>0</v>
      </c>
      <c r="AY446" s="598" t="s">
        <v>337</v>
      </c>
      <c r="AZ446" s="598">
        <f>+VLOOKUP($AJ446,Data_Validation!$A:$E,5,0)</f>
        <v>0</v>
      </c>
    </row>
    <row r="447" spans="1:52" ht="15.75" customHeight="1">
      <c r="A447" s="832" t="s">
        <v>1150</v>
      </c>
      <c r="B447" s="832">
        <v>2026</v>
      </c>
      <c r="C447" s="832" t="s">
        <v>2039</v>
      </c>
      <c r="D447" s="832" t="s">
        <v>2040</v>
      </c>
      <c r="E447" s="832" t="s">
        <v>2032</v>
      </c>
      <c r="F447" s="832" t="s">
        <v>1153</v>
      </c>
      <c r="G447" s="832">
        <v>0</v>
      </c>
      <c r="H447" s="832">
        <v>96069.49</v>
      </c>
      <c r="I447" s="832">
        <v>110621.3</v>
      </c>
      <c r="J447" s="832">
        <v>567873.41</v>
      </c>
      <c r="K447" s="832">
        <v>567873.41</v>
      </c>
      <c r="L447" s="832">
        <v>567873.41</v>
      </c>
      <c r="M447" s="832">
        <v>567873.41</v>
      </c>
      <c r="N447" s="832">
        <v>567873.41</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H21600</v>
      </c>
      <c r="AK447" s="1030" t="str">
        <f t="shared" si="37"/>
        <v>COMPTE FOURN HYUNDAI CAN</v>
      </c>
      <c r="AL447" s="1030" t="str">
        <f>IFERROR(INDEX(G447:R447,1,MATCH(Parametres!$B$3,G$1:R$1,0)-1)*IF(OR(F447="L",F447="S",F447="I"),-1,1),"")</f>
        <v/>
      </c>
      <c r="AM447" s="1030">
        <f t="shared" si="38"/>
        <v>0</v>
      </c>
      <c r="AN447" s="1030">
        <f>INDEX(G447:R447,1,MATCH(Parametres!$B$3,G$1:R$1,0))*IF(OR(F447="L",F447="S",F447="I"),-1,1)</f>
        <v>0</v>
      </c>
      <c r="AO447" s="598" t="str">
        <f>+VLOOKUP($AJ447,Data_Validation!$A:$D,1,0)</f>
        <v>H21600</v>
      </c>
      <c r="AP447" s="598" t="str">
        <f>+VLOOKUP($AJ447,Data_Validation!$A:$D,3,0)</f>
        <v>Bilan</v>
      </c>
      <c r="AQ447" s="598" t="str">
        <f>+VLOOKUP($AJ447,Data_Validation!$A:$D,4,0)</f>
        <v>Comptes à Payer Fournisseurs</v>
      </c>
      <c r="AR447" s="598" t="s">
        <v>299</v>
      </c>
      <c r="AS447" s="598">
        <f>+VLOOKUP($AJ447,Data_Validation!$A:$E,5,0)</f>
        <v>0</v>
      </c>
      <c r="AT447" s="1036" t="str">
        <f t="shared" si="39"/>
        <v>H21600</v>
      </c>
      <c r="AU447" s="599" t="str">
        <f t="shared" si="40"/>
        <v>COMPTE FOURN HYUNDAI CAN</v>
      </c>
      <c r="AV447" s="1030" t="str">
        <f>IFERROR(INDEX(V447:AG447,1,MATCH(Parametres!$B$3,V$1:AG$1,0)-1)*IF(OR(C447="L",C447="S",C447="I"),-1,1),"")</f>
        <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2026</v>
      </c>
      <c r="C448" s="832" t="s">
        <v>2041</v>
      </c>
      <c r="D448" s="832" t="s">
        <v>2042</v>
      </c>
      <c r="E448" s="832" t="s">
        <v>2032</v>
      </c>
      <c r="F448" s="832" t="s">
        <v>1153</v>
      </c>
      <c r="G448" s="832">
        <v>0</v>
      </c>
      <c r="H448" s="832">
        <v>0</v>
      </c>
      <c r="I448" s="832">
        <v>0</v>
      </c>
      <c r="J448" s="832">
        <v>0</v>
      </c>
      <c r="K448" s="832">
        <v>0</v>
      </c>
      <c r="L448" s="832">
        <v>0</v>
      </c>
      <c r="M448" s="832">
        <v>0</v>
      </c>
      <c r="N448" s="832">
        <v>0</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H21601</v>
      </c>
      <c r="AK448" s="1030" t="str">
        <f t="shared" si="37"/>
        <v>COMPTE FOURN BAL FORWARD</v>
      </c>
      <c r="AL448" s="1030" t="str">
        <f>IFERROR(INDEX(G448:R448,1,MATCH(Parametres!$B$3,G$1:R$1,0)-1)*IF(OR(F448="L",F448="S",F448="I"),-1,1),"")</f>
        <v/>
      </c>
      <c r="AM448" s="1030">
        <f t="shared" si="38"/>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t="str">
        <f t="shared" si="39"/>
        <v>H21601</v>
      </c>
      <c r="AU448" s="599" t="str">
        <f t="shared" si="40"/>
        <v>COMPTE FOURN BAL FORWARD</v>
      </c>
      <c r="AV448" s="1030" t="str">
        <f>IFERROR(INDEX(V448:AG448,1,MATCH(Parametres!$B$3,V$1:AG$1,0)-1)*IF(OR(C448="L",C448="S",C448="I"),-1,1),"")</f>
        <v/>
      </c>
      <c r="AW448" s="1030">
        <f t="shared" si="41"/>
        <v>0</v>
      </c>
      <c r="AX448" s="1030">
        <f>INDEX(V448:AG448,1,MATCH(Parametres!$B$3,V$1:AG$1,0))*IF(OR(C448="L",C448="S",C448="I"),-1,1)</f>
        <v>0</v>
      </c>
      <c r="AY448" s="598" t="s">
        <v>337</v>
      </c>
      <c r="AZ448" s="598" t="e">
        <f>+VLOOKUP($AJ448,Data_Validation!$A:$E,5,0)</f>
        <v>#N/A</v>
      </c>
    </row>
    <row r="449" spans="1:52" ht="15.75" customHeight="1">
      <c r="A449" s="832" t="s">
        <v>1150</v>
      </c>
      <c r="B449" s="832">
        <v>2026</v>
      </c>
      <c r="C449" s="832" t="s">
        <v>2043</v>
      </c>
      <c r="D449" s="832" t="s">
        <v>2044</v>
      </c>
      <c r="E449" s="832" t="s">
        <v>333</v>
      </c>
      <c r="F449" s="832" t="s">
        <v>1153</v>
      </c>
      <c r="G449" s="832">
        <v>87099.67</v>
      </c>
      <c r="H449" s="832">
        <v>87099.67</v>
      </c>
      <c r="I449" s="832">
        <v>87099.67</v>
      </c>
      <c r="J449" s="832">
        <v>87099.67</v>
      </c>
      <c r="K449" s="832">
        <v>49520.69</v>
      </c>
      <c r="L449" s="832">
        <v>49520.69</v>
      </c>
      <c r="M449" s="832">
        <v>49520.69</v>
      </c>
      <c r="N449" s="832">
        <v>49520.69</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H21700</v>
      </c>
      <c r="AK449" s="1030" t="str">
        <f t="shared" si="37"/>
        <v>RETENUE FISCALES-EMPLOYES</v>
      </c>
      <c r="AL449" s="1030" t="str">
        <f>IFERROR(INDEX(G449:R449,1,MATCH(Parametres!$B$3,G$1:R$1,0)-1)*IF(OR(F449="L",F449="S",F449="I"),-1,1),"")</f>
        <v/>
      </c>
      <c r="AM449" s="1030">
        <f t="shared" si="38"/>
        <v>-87099.67</v>
      </c>
      <c r="AN449" s="1030">
        <f>INDEX(G449:R449,1,MATCH(Parametres!$B$3,G$1:R$1,0))*IF(OR(F449="L",F449="S",F449="I"),-1,1)</f>
        <v>-87099.67</v>
      </c>
      <c r="AO449" s="598" t="str">
        <f>+VLOOKUP($AJ449,Data_Validation!$A:$D,1,0)</f>
        <v>H21700</v>
      </c>
      <c r="AP449" s="598" t="str">
        <f>+VLOOKUP($AJ449,Data_Validation!$A:$D,3,0)</f>
        <v>Bilan</v>
      </c>
      <c r="AQ449" s="598" t="str">
        <f>+VLOOKUP($AJ449,Data_Validation!$A:$D,4,0)</f>
        <v>DAS à Payer</v>
      </c>
      <c r="AR449" s="598" t="s">
        <v>299</v>
      </c>
      <c r="AS449" s="598">
        <f>+VLOOKUP($AJ449,Data_Validation!$A:$E,5,0)</f>
        <v>0</v>
      </c>
      <c r="AT449" s="1036" t="str">
        <f t="shared" si="39"/>
        <v>H21700</v>
      </c>
      <c r="AU449" s="599" t="str">
        <f t="shared" si="40"/>
        <v>RETENUE FISCALES-EMPLOYES</v>
      </c>
      <c r="AV449" s="1030" t="str">
        <f>IFERROR(INDEX(V449:AG449,1,MATCH(Parametres!$B$3,V$1:AG$1,0)-1)*IF(OR(C449="L",C449="S",C449="I"),-1,1),"")</f>
        <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2026</v>
      </c>
      <c r="C450" s="832" t="s">
        <v>2045</v>
      </c>
      <c r="D450" s="832" t="s">
        <v>2046</v>
      </c>
      <c r="E450" s="832" t="s">
        <v>333</v>
      </c>
      <c r="F450" s="832" t="s">
        <v>1153</v>
      </c>
      <c r="G450" s="832">
        <v>-147.06</v>
      </c>
      <c r="H450" s="832">
        <v>-147.06</v>
      </c>
      <c r="I450" s="832">
        <v>-147.06</v>
      </c>
      <c r="J450" s="832">
        <v>-147.06</v>
      </c>
      <c r="K450" s="832">
        <v>-147.06</v>
      </c>
      <c r="L450" s="832">
        <v>-147.06</v>
      </c>
      <c r="M450" s="832">
        <v>-147.06</v>
      </c>
      <c r="N450" s="832">
        <v>-147.06</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H21710</v>
      </c>
      <c r="AK450" s="1030" t="str">
        <f t="shared" si="37"/>
        <v>PENSION ALIMENTAIRE PAYER</v>
      </c>
      <c r="AL450" s="1030" t="str">
        <f>IFERROR(INDEX(G450:R450,1,MATCH(Parametres!$B$3,G$1:R$1,0)-1)*IF(OR(F450="L",F450="S",F450="I"),-1,1),"")</f>
        <v/>
      </c>
      <c r="AM450" s="1030">
        <f t="shared" si="38"/>
        <v>147.06</v>
      </c>
      <c r="AN450" s="1030">
        <f>INDEX(G450:R450,1,MATCH(Parametres!$B$3,G$1:R$1,0))*IF(OR(F450="L",F450="S",F450="I"),-1,1)</f>
        <v>147.06</v>
      </c>
      <c r="AO450" s="598" t="str">
        <f>+VLOOKUP($AJ450,Data_Validation!$A:$D,1,0)</f>
        <v>H21710</v>
      </c>
      <c r="AP450" s="598" t="str">
        <f>+VLOOKUP($AJ450,Data_Validation!$A:$D,3,0)</f>
        <v>Bilan</v>
      </c>
      <c r="AQ450" s="598" t="str">
        <f>+VLOOKUP($AJ450,Data_Validation!$A:$D,4,0)</f>
        <v>DAS à Payer</v>
      </c>
      <c r="AR450" s="598" t="s">
        <v>299</v>
      </c>
      <c r="AS450" s="598">
        <f>+VLOOKUP($AJ450,Data_Validation!$A:$E,5,0)</f>
        <v>0</v>
      </c>
      <c r="AT450" s="1036" t="str">
        <f t="shared" si="39"/>
        <v>H21710</v>
      </c>
      <c r="AU450" s="599" t="str">
        <f t="shared" si="40"/>
        <v>PENSION ALIMENTAIRE PAYER</v>
      </c>
      <c r="AV450" s="1030" t="str">
        <f>IFERROR(INDEX(V450:AG450,1,MATCH(Parametres!$B$3,V$1:AG$1,0)-1)*IF(OR(C450="L",C450="S",C450="I"),-1,1),"")</f>
        <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2026</v>
      </c>
      <c r="C451" s="832" t="s">
        <v>2047</v>
      </c>
      <c r="D451" s="832" t="s">
        <v>2048</v>
      </c>
      <c r="E451" s="832" t="s">
        <v>333</v>
      </c>
      <c r="F451" s="832" t="s">
        <v>1153</v>
      </c>
      <c r="G451" s="832">
        <v>2846.42</v>
      </c>
      <c r="H451" s="832">
        <v>694.02</v>
      </c>
      <c r="I451" s="832">
        <v>694.02</v>
      </c>
      <c r="J451" s="832">
        <v>3922.62</v>
      </c>
      <c r="K451" s="832">
        <v>2893.82</v>
      </c>
      <c r="L451" s="832">
        <v>2893.82</v>
      </c>
      <c r="M451" s="832">
        <v>2893.82</v>
      </c>
      <c r="N451" s="832">
        <v>2893.82</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H21800</v>
      </c>
      <c r="AK451" s="1030" t="str">
        <f t="shared" si="37"/>
        <v>RPDB- REER COLLECTIF</v>
      </c>
      <c r="AL451" s="1030" t="str">
        <f>IFERROR(INDEX(G451:R451,1,MATCH(Parametres!$B$3,G$1:R$1,0)-1)*IF(OR(F451="L",F451="S",F451="I"),-1,1),"")</f>
        <v/>
      </c>
      <c r="AM451" s="1030">
        <f t="shared" si="38"/>
        <v>-2846.42</v>
      </c>
      <c r="AN451" s="1030">
        <f>INDEX(G451:R451,1,MATCH(Parametres!$B$3,G$1:R$1,0))*IF(OR(F451="L",F451="S",F451="I"),-1,1)</f>
        <v>-2846.42</v>
      </c>
      <c r="AO451" s="598" t="str">
        <f>+VLOOKUP($AJ451,Data_Validation!$A:$D,1,0)</f>
        <v>H21800</v>
      </c>
      <c r="AP451" s="598" t="str">
        <f>+VLOOKUP($AJ451,Data_Validation!$A:$D,3,0)</f>
        <v>Bilan</v>
      </c>
      <c r="AQ451" s="598" t="str">
        <f>+VLOOKUP($AJ451,Data_Validation!$A:$D,4,0)</f>
        <v>DAS à Payer</v>
      </c>
      <c r="AR451" s="598" t="s">
        <v>299</v>
      </c>
      <c r="AS451" s="598">
        <f>+VLOOKUP($AJ451,Data_Validation!$A:$E,5,0)</f>
        <v>0</v>
      </c>
      <c r="AT451" s="1036" t="str">
        <f t="shared" si="39"/>
        <v>H21800</v>
      </c>
      <c r="AU451" s="599" t="str">
        <f t="shared" si="40"/>
        <v>RPDB- REER COLLECTIF</v>
      </c>
      <c r="AV451" s="1030" t="str">
        <f>IFERROR(INDEX(V451:AG451,1,MATCH(Parametres!$B$3,V$1:AG$1,0)-1)*IF(OR(C451="L",C451="S",C451="I"),-1,1),"")</f>
        <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2026</v>
      </c>
      <c r="C452" s="832" t="s">
        <v>2049</v>
      </c>
      <c r="D452" s="832" t="s">
        <v>2050</v>
      </c>
      <c r="E452" s="832" t="s">
        <v>333</v>
      </c>
      <c r="F452" s="832" t="s">
        <v>1153</v>
      </c>
      <c r="G452" s="832">
        <v>2564.52</v>
      </c>
      <c r="H452" s="832">
        <v>3297.24</v>
      </c>
      <c r="I452" s="832">
        <v>4029.96</v>
      </c>
      <c r="J452" s="832">
        <v>5129.04</v>
      </c>
      <c r="K452" s="832">
        <v>5495.4</v>
      </c>
      <c r="L452" s="832">
        <v>5495.4</v>
      </c>
      <c r="M452" s="832">
        <v>5495.4</v>
      </c>
      <c r="N452" s="832">
        <v>5495.4</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H21810</v>
      </c>
      <c r="AK452" s="1030" t="str">
        <f t="shared" ref="AK452:AK466" si="43">D452</f>
        <v>DEDUCTIBLE DEMO</v>
      </c>
      <c r="AL452" s="1030" t="str">
        <f>IFERROR(INDEX(G452:R452,1,MATCH(Parametres!$B$3,G$1:R$1,0)-1)*IF(OR(F452="L",F452="S",F452="I"),-1,1),"")</f>
        <v/>
      </c>
      <c r="AM452" s="1030">
        <f t="shared" ref="AM452:AM515" si="44">AN452-N(AL452)</f>
        <v>-2564.52</v>
      </c>
      <c r="AN452" s="1030">
        <f>INDEX(G452:R452,1,MATCH(Parametres!$B$3,G$1:R$1,0))*IF(OR(F452="L",F452="S",F452="I"),-1,1)</f>
        <v>-2564.52</v>
      </c>
      <c r="AO452" s="598" t="str">
        <f>+VLOOKUP($AJ452,Data_Validation!$A:$D,1,0)</f>
        <v>H21810</v>
      </c>
      <c r="AP452" s="598" t="str">
        <f>+VLOOKUP($AJ452,Data_Validation!$A:$D,3,0)</f>
        <v>Bilan</v>
      </c>
      <c r="AQ452" s="598" t="str">
        <f>+VLOOKUP($AJ452,Data_Validation!$A:$D,4,0)</f>
        <v>DAS à Payer</v>
      </c>
      <c r="AR452" s="598" t="s">
        <v>299</v>
      </c>
      <c r="AS452" s="598">
        <f>+VLOOKUP($AJ452,Data_Validation!$A:$E,5,0)</f>
        <v>0</v>
      </c>
      <c r="AT452" s="1036" t="str">
        <f t="shared" ref="AT452:AT515" si="45">C452</f>
        <v>H21810</v>
      </c>
      <c r="AU452" s="599" t="str">
        <f t="shared" ref="AU452:AU515" si="46">D452</f>
        <v>DEDUCTIBLE DEMO</v>
      </c>
      <c r="AV452" s="1030" t="str">
        <f>IFERROR(INDEX(V452:AG452,1,MATCH(Parametres!$B$3,V$1:AG$1,0)-1)*IF(OR(C452="L",C452="S",C452="I"),-1,1),"")</f>
        <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2026</v>
      </c>
      <c r="C453" s="832" t="s">
        <v>2051</v>
      </c>
      <c r="D453" s="832" t="s">
        <v>2052</v>
      </c>
      <c r="E453" s="832" t="s">
        <v>333</v>
      </c>
      <c r="F453" s="832" t="s">
        <v>1153</v>
      </c>
      <c r="G453" s="832">
        <v>0.01</v>
      </c>
      <c r="H453" s="832">
        <v>212.86</v>
      </c>
      <c r="I453" s="832">
        <v>196.76</v>
      </c>
      <c r="J453" s="832">
        <v>103.92</v>
      </c>
      <c r="K453" s="832">
        <v>249.3</v>
      </c>
      <c r="L453" s="832">
        <v>249.3</v>
      </c>
      <c r="M453" s="832">
        <v>249.3</v>
      </c>
      <c r="N453" s="832">
        <v>249.3</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H21900</v>
      </c>
      <c r="AK453" s="1030" t="str">
        <f t="shared" si="43"/>
        <v>COMITE PARITAIRE IND AUTO</v>
      </c>
      <c r="AL453" s="1030" t="str">
        <f>IFERROR(INDEX(G453:R453,1,MATCH(Parametres!$B$3,G$1:R$1,0)-1)*IF(OR(F453="L",F453="S",F453="I"),-1,1),"")</f>
        <v/>
      </c>
      <c r="AM453" s="1030">
        <f t="shared" si="44"/>
        <v>-0.01</v>
      </c>
      <c r="AN453" s="1030">
        <f>INDEX(G453:R453,1,MATCH(Parametres!$B$3,G$1:R$1,0))*IF(OR(F453="L",F453="S",F453="I"),-1,1)</f>
        <v>-0.01</v>
      </c>
      <c r="AO453" s="598" t="str">
        <f>+VLOOKUP($AJ453,Data_Validation!$A:$D,1,0)</f>
        <v>H21900</v>
      </c>
      <c r="AP453" s="598" t="str">
        <f>+VLOOKUP($AJ453,Data_Validation!$A:$D,3,0)</f>
        <v>Bilan</v>
      </c>
      <c r="AQ453" s="598" t="str">
        <f>+VLOOKUP($AJ453,Data_Validation!$A:$D,4,0)</f>
        <v>DAS à Payer</v>
      </c>
      <c r="AR453" s="598" t="s">
        <v>299</v>
      </c>
      <c r="AS453" s="598">
        <f>+VLOOKUP($AJ453,Data_Validation!$A:$E,5,0)</f>
        <v>0</v>
      </c>
      <c r="AT453" s="1036" t="str">
        <f t="shared" si="45"/>
        <v>H21900</v>
      </c>
      <c r="AU453" s="599" t="str">
        <f t="shared" si="46"/>
        <v>COMITE PARITAIRE IND AUTO</v>
      </c>
      <c r="AV453" s="1030" t="str">
        <f>IFERROR(INDEX(V453:AG453,1,MATCH(Parametres!$B$3,V$1:AG$1,0)-1)*IF(OR(C453="L",C453="S",C453="I"),-1,1),"")</f>
        <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2026</v>
      </c>
      <c r="C454" s="832" t="s">
        <v>2053</v>
      </c>
      <c r="D454" s="832" t="s">
        <v>659</v>
      </c>
      <c r="E454" s="832" t="s">
        <v>333</v>
      </c>
      <c r="F454" s="832" t="s">
        <v>1153</v>
      </c>
      <c r="G454" s="832">
        <v>5282.25</v>
      </c>
      <c r="H454" s="832">
        <v>6629.97</v>
      </c>
      <c r="I454" s="832">
        <v>3560.99</v>
      </c>
      <c r="J454" s="832">
        <v>8126.07</v>
      </c>
      <c r="K454" s="832">
        <v>3556.35</v>
      </c>
      <c r="L454" s="832">
        <v>3556.35</v>
      </c>
      <c r="M454" s="832">
        <v>3556.35</v>
      </c>
      <c r="N454" s="832">
        <v>3556.35</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H21910</v>
      </c>
      <c r="AK454" s="1030" t="str">
        <f t="shared" si="43"/>
        <v>ASSURANCE GROUPE</v>
      </c>
      <c r="AL454" s="1030" t="str">
        <f>IFERROR(INDEX(G454:R454,1,MATCH(Parametres!$B$3,G$1:R$1,0)-1)*IF(OR(F454="L",F454="S",F454="I"),-1,1),"")</f>
        <v/>
      </c>
      <c r="AM454" s="1030">
        <f t="shared" si="44"/>
        <v>-5282.25</v>
      </c>
      <c r="AN454" s="1030">
        <f>INDEX(G454:R454,1,MATCH(Parametres!$B$3,G$1:R$1,0))*IF(OR(F454="L",F454="S",F454="I"),-1,1)</f>
        <v>-5282.25</v>
      </c>
      <c r="AO454" s="598" t="str">
        <f>+VLOOKUP($AJ454,Data_Validation!$A:$D,1,0)</f>
        <v>H21910</v>
      </c>
      <c r="AP454" s="598" t="str">
        <f>+VLOOKUP($AJ454,Data_Validation!$A:$D,3,0)</f>
        <v>Bilan</v>
      </c>
      <c r="AQ454" s="598" t="str">
        <f>+VLOOKUP($AJ454,Data_Validation!$A:$D,4,0)</f>
        <v>DAS à Payer</v>
      </c>
      <c r="AR454" s="598" t="s">
        <v>299</v>
      </c>
      <c r="AS454" s="598">
        <f>+VLOOKUP($AJ454,Data_Validation!$A:$E,5,0)</f>
        <v>0</v>
      </c>
      <c r="AT454" s="1036" t="str">
        <f t="shared" si="45"/>
        <v>H21910</v>
      </c>
      <c r="AU454" s="599" t="str">
        <f t="shared" si="46"/>
        <v>ASSURANCE GROUPE</v>
      </c>
      <c r="AV454" s="1030" t="str">
        <f>IFERROR(INDEX(V454:AG454,1,MATCH(Parametres!$B$3,V$1:AG$1,0)-1)*IF(OR(C454="L",C454="S",C454="I"),-1,1),"")</f>
        <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2026</v>
      </c>
      <c r="C455" s="832" t="s">
        <v>2054</v>
      </c>
      <c r="D455" s="832" t="s">
        <v>655</v>
      </c>
      <c r="E455" s="832" t="s">
        <v>333</v>
      </c>
      <c r="F455" s="832" t="s">
        <v>1153</v>
      </c>
      <c r="G455" s="832">
        <v>0</v>
      </c>
      <c r="H455" s="832">
        <v>80907.61</v>
      </c>
      <c r="I455" s="832">
        <v>90163.46</v>
      </c>
      <c r="J455" s="832">
        <v>183952.77</v>
      </c>
      <c r="K455" s="832">
        <v>255679.71</v>
      </c>
      <c r="L455" s="832">
        <v>258668.26</v>
      </c>
      <c r="M455" s="832">
        <v>258668.26</v>
      </c>
      <c r="N455" s="832">
        <v>258668.26</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H22000</v>
      </c>
      <c r="AK455" s="1030" t="str">
        <f t="shared" si="43"/>
        <v>TVQ A PAYER</v>
      </c>
      <c r="AL455" s="1030" t="str">
        <f>IFERROR(INDEX(G455:R455,1,MATCH(Parametres!$B$3,G$1:R$1,0)-1)*IF(OR(F455="L",F455="S",F455="I"),-1,1),"")</f>
        <v/>
      </c>
      <c r="AM455" s="1030">
        <f t="shared" si="44"/>
        <v>0</v>
      </c>
      <c r="AN455" s="1030">
        <f>INDEX(G455:R455,1,MATCH(Parametres!$B$3,G$1:R$1,0))*IF(OR(F455="L",F455="S",F455="I"),-1,1)</f>
        <v>0</v>
      </c>
      <c r="AO455" s="598" t="str">
        <f>+VLOOKUP($AJ455,Data_Validation!$A:$D,1,0)</f>
        <v>H22000</v>
      </c>
      <c r="AP455" s="598" t="str">
        <f>+VLOOKUP($AJ455,Data_Validation!$A:$D,3,0)</f>
        <v>Bilan</v>
      </c>
      <c r="AQ455" s="598" t="str">
        <f>+VLOOKUP($AJ455,Data_Validation!$A:$D,4,0)</f>
        <v>Taxes de Vente à Payer</v>
      </c>
      <c r="AR455" s="598" t="s">
        <v>299</v>
      </c>
      <c r="AS455" s="598">
        <f>+VLOOKUP($AJ455,Data_Validation!$A:$E,5,0)</f>
        <v>0</v>
      </c>
      <c r="AT455" s="1036" t="str">
        <f t="shared" si="45"/>
        <v>H22000</v>
      </c>
      <c r="AU455" s="599" t="str">
        <f t="shared" si="46"/>
        <v>TVQ A PAYER</v>
      </c>
      <c r="AV455" s="1030" t="str">
        <f>IFERROR(INDEX(V455:AG455,1,MATCH(Parametres!$B$3,V$1:AG$1,0)-1)*IF(OR(C455="L",C455="S",C455="I"),-1,1),"")</f>
        <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2026</v>
      </c>
      <c r="C456" s="832" t="s">
        <v>2055</v>
      </c>
      <c r="D456" s="832" t="s">
        <v>2056</v>
      </c>
      <c r="E456" s="832" t="s">
        <v>333</v>
      </c>
      <c r="F456" s="832" t="s">
        <v>1153</v>
      </c>
      <c r="G456" s="832">
        <v>7602.68</v>
      </c>
      <c r="H456" s="832">
        <v>-48865.23</v>
      </c>
      <c r="I456" s="832">
        <v>-67230.16</v>
      </c>
      <c r="J456" s="832">
        <v>-151570.53</v>
      </c>
      <c r="K456" s="832">
        <v>-158000.31</v>
      </c>
      <c r="L456" s="832">
        <v>-158000.31</v>
      </c>
      <c r="M456" s="832">
        <v>-158000.31</v>
      </c>
      <c r="N456" s="832">
        <v>-158000.31</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H22010</v>
      </c>
      <c r="AK456" s="1030" t="str">
        <f t="shared" si="43"/>
        <v>RTI(TVQ) A RECEVOIR</v>
      </c>
      <c r="AL456" s="1030" t="str">
        <f>IFERROR(INDEX(G456:R456,1,MATCH(Parametres!$B$3,G$1:R$1,0)-1)*IF(OR(F456="L",F456="S",F456="I"),-1,1),"")</f>
        <v/>
      </c>
      <c r="AM456" s="1030">
        <f t="shared" si="44"/>
        <v>-7602.68</v>
      </c>
      <c r="AN456" s="1030">
        <f>INDEX(G456:R456,1,MATCH(Parametres!$B$3,G$1:R$1,0))*IF(OR(F456="L",F456="S",F456="I"),-1,1)</f>
        <v>-7602.68</v>
      </c>
      <c r="AO456" s="598" t="str">
        <f>+VLOOKUP($AJ456,Data_Validation!$A:$D,1,0)</f>
        <v>H22010</v>
      </c>
      <c r="AP456" s="598" t="str">
        <f>+VLOOKUP($AJ456,Data_Validation!$A:$D,3,0)</f>
        <v>Bilan</v>
      </c>
      <c r="AQ456" s="598" t="str">
        <f>+VLOOKUP($AJ456,Data_Validation!$A:$D,4,0)</f>
        <v>Taxes de Vente à Payer</v>
      </c>
      <c r="AR456" s="598" t="s">
        <v>299</v>
      </c>
      <c r="AS456" s="598">
        <f>+VLOOKUP($AJ456,Data_Validation!$A:$E,5,0)</f>
        <v>0</v>
      </c>
      <c r="AT456" s="1036" t="str">
        <f t="shared" si="45"/>
        <v>H22010</v>
      </c>
      <c r="AU456" s="599" t="str">
        <f t="shared" si="46"/>
        <v>RTI(TVQ) A RECEVOIR</v>
      </c>
      <c r="AV456" s="1030" t="str">
        <f>IFERROR(INDEX(V456:AG456,1,MATCH(Parametres!$B$3,V$1:AG$1,0)-1)*IF(OR(C456="L",C456="S",C456="I"),-1,1),"")</f>
        <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2026</v>
      </c>
      <c r="C457" s="832" t="s">
        <v>2057</v>
      </c>
      <c r="D457" s="832" t="s">
        <v>2058</v>
      </c>
      <c r="E457" s="832" t="s">
        <v>333</v>
      </c>
      <c r="F457" s="832" t="s">
        <v>1153</v>
      </c>
      <c r="G457" s="832">
        <v>0</v>
      </c>
      <c r="H457" s="832">
        <v>1521</v>
      </c>
      <c r="I457" s="832">
        <v>2448</v>
      </c>
      <c r="J457" s="832">
        <v>5125.5</v>
      </c>
      <c r="K457" s="832">
        <v>6655.5</v>
      </c>
      <c r="L457" s="832">
        <v>6673.5</v>
      </c>
      <c r="M457" s="832">
        <v>6673.5</v>
      </c>
      <c r="N457" s="832">
        <v>6673.5</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H22020</v>
      </c>
      <c r="AK457" s="1030" t="str">
        <f t="shared" si="43"/>
        <v>TAXES DE PNEUS</v>
      </c>
      <c r="AL457" s="1030" t="str">
        <f>IFERROR(INDEX(G457:R457,1,MATCH(Parametres!$B$3,G$1:R$1,0)-1)*IF(OR(F457="L",F457="S",F457="I"),-1,1),"")</f>
        <v/>
      </c>
      <c r="AM457" s="1030">
        <f t="shared" si="44"/>
        <v>0</v>
      </c>
      <c r="AN457" s="1030">
        <f>INDEX(G457:R457,1,MATCH(Parametres!$B$3,G$1:R$1,0))*IF(OR(F457="L",F457="S",F457="I"),-1,1)</f>
        <v>0</v>
      </c>
      <c r="AO457" s="598" t="str">
        <f>+VLOOKUP($AJ457,Data_Validation!$A:$D,1,0)</f>
        <v>H22020</v>
      </c>
      <c r="AP457" s="598" t="str">
        <f>+VLOOKUP($AJ457,Data_Validation!$A:$D,3,0)</f>
        <v>Bilan</v>
      </c>
      <c r="AQ457" s="598" t="str">
        <f>+VLOOKUP($AJ457,Data_Validation!$A:$D,4,0)</f>
        <v>Taxes de Vente à Payer</v>
      </c>
      <c r="AR457" s="598" t="s">
        <v>299</v>
      </c>
      <c r="AS457" s="598">
        <f>+VLOOKUP($AJ457,Data_Validation!$A:$E,5,0)</f>
        <v>0</v>
      </c>
      <c r="AT457" s="1036" t="str">
        <f t="shared" si="45"/>
        <v>H22020</v>
      </c>
      <c r="AU457" s="599" t="str">
        <f t="shared" si="46"/>
        <v>TAXES DE PNEUS</v>
      </c>
      <c r="AV457" s="1030" t="str">
        <f>IFERROR(INDEX(V457:AG457,1,MATCH(Parametres!$B$3,V$1:AG$1,0)-1)*IF(OR(C457="L",C457="S",C457="I"),-1,1),"")</f>
        <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2026</v>
      </c>
      <c r="C458" s="832" t="s">
        <v>2059</v>
      </c>
      <c r="D458" s="832" t="s">
        <v>2060</v>
      </c>
      <c r="E458" s="832" t="s">
        <v>333</v>
      </c>
      <c r="F458" s="832" t="s">
        <v>1153</v>
      </c>
      <c r="G458" s="832">
        <v>77995.08</v>
      </c>
      <c r="H458" s="832">
        <v>53537.15</v>
      </c>
      <c r="I458" s="832">
        <v>42511.98</v>
      </c>
      <c r="J458" s="832">
        <v>37358.01</v>
      </c>
      <c r="K458" s="832">
        <v>53534.15</v>
      </c>
      <c r="L458" s="832">
        <v>53534.15</v>
      </c>
      <c r="M458" s="832">
        <v>53534.15</v>
      </c>
      <c r="N458" s="832">
        <v>53534.15</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H22050</v>
      </c>
      <c r="AK458" s="1030" t="str">
        <f t="shared" si="43"/>
        <v>TPS &amp; TVQ A RECEVOIR</v>
      </c>
      <c r="AL458" s="1030" t="str">
        <f>IFERROR(INDEX(G458:R458,1,MATCH(Parametres!$B$3,G$1:R$1,0)-1)*IF(OR(F458="L",F458="S",F458="I"),-1,1),"")</f>
        <v/>
      </c>
      <c r="AM458" s="1030">
        <f t="shared" si="44"/>
        <v>-77995.08</v>
      </c>
      <c r="AN458" s="1030">
        <f>INDEX(G458:R458,1,MATCH(Parametres!$B$3,G$1:R$1,0))*IF(OR(F458="L",F458="S",F458="I"),-1,1)</f>
        <v>-77995.08</v>
      </c>
      <c r="AO458" s="598" t="str">
        <f>+VLOOKUP($AJ458,Data_Validation!$A:$D,1,0)</f>
        <v>H22050</v>
      </c>
      <c r="AP458" s="598" t="str">
        <f>+VLOOKUP($AJ458,Data_Validation!$A:$D,3,0)</f>
        <v>Bilan</v>
      </c>
      <c r="AQ458" s="598" t="str">
        <f>+VLOOKUP($AJ458,Data_Validation!$A:$D,4,0)</f>
        <v>Taxes de Vente à Payer</v>
      </c>
      <c r="AR458" s="598" t="s">
        <v>299</v>
      </c>
      <c r="AS458" s="598">
        <f>+VLOOKUP($AJ458,Data_Validation!$A:$E,5,0)</f>
        <v>0</v>
      </c>
      <c r="AT458" s="1036" t="str">
        <f t="shared" si="45"/>
        <v>H22050</v>
      </c>
      <c r="AU458" s="599" t="str">
        <f t="shared" si="46"/>
        <v>TPS &amp; TVQ A RECEVOIR</v>
      </c>
      <c r="AV458" s="1030" t="str">
        <f>IFERROR(INDEX(V458:AG458,1,MATCH(Parametres!$B$3,V$1:AG$1,0)-1)*IF(OR(C458="L",C458="S",C458="I"),-1,1),"")</f>
        <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2026</v>
      </c>
      <c r="C459" s="832" t="s">
        <v>2061</v>
      </c>
      <c r="D459" s="832" t="s">
        <v>2062</v>
      </c>
      <c r="E459" s="832" t="s">
        <v>333</v>
      </c>
      <c r="F459" s="832" t="s">
        <v>1153</v>
      </c>
      <c r="G459" s="832">
        <v>0</v>
      </c>
      <c r="H459" s="832">
        <v>0</v>
      </c>
      <c r="I459" s="832">
        <v>0</v>
      </c>
      <c r="J459" s="832">
        <v>26.45</v>
      </c>
      <c r="K459" s="832">
        <v>26.45</v>
      </c>
      <c r="L459" s="832">
        <v>26.45</v>
      </c>
      <c r="M459" s="832">
        <v>26.45</v>
      </c>
      <c r="N459" s="832">
        <v>26.45</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H22060</v>
      </c>
      <c r="AK459" s="1030" t="str">
        <f t="shared" si="43"/>
        <v>TPS &amp; TVQ A PAYER</v>
      </c>
      <c r="AL459" s="1030" t="str">
        <f>IFERROR(INDEX(G459:R459,1,MATCH(Parametres!$B$3,G$1:R$1,0)-1)*IF(OR(F459="L",F459="S",F459="I"),-1,1),"")</f>
        <v/>
      </c>
      <c r="AM459" s="1030">
        <f t="shared" si="44"/>
        <v>0</v>
      </c>
      <c r="AN459" s="1030">
        <f>INDEX(G459:R459,1,MATCH(Parametres!$B$3,G$1:R$1,0))*IF(OR(F459="L",F459="S",F459="I"),-1,1)</f>
        <v>0</v>
      </c>
      <c r="AO459" s="598" t="str">
        <f>+VLOOKUP($AJ459,Data_Validation!$A:$D,1,0)</f>
        <v>H22060</v>
      </c>
      <c r="AP459" s="598" t="str">
        <f>+VLOOKUP($AJ459,Data_Validation!$A:$D,3,0)</f>
        <v>Bilan</v>
      </c>
      <c r="AQ459" s="598" t="str">
        <f>+VLOOKUP($AJ459,Data_Validation!$A:$D,4,0)</f>
        <v>Taxes de Vente à Payer</v>
      </c>
      <c r="AR459" s="598" t="s">
        <v>299</v>
      </c>
      <c r="AS459" s="598">
        <f>+VLOOKUP($AJ459,Data_Validation!$A:$E,5,0)</f>
        <v>0</v>
      </c>
      <c r="AT459" s="1036" t="str">
        <f t="shared" si="45"/>
        <v>H22060</v>
      </c>
      <c r="AU459" s="599" t="str">
        <f t="shared" si="46"/>
        <v>TPS &amp; TVQ A PAYER</v>
      </c>
      <c r="AV459" s="1030" t="str">
        <f>IFERROR(INDEX(V459:AG459,1,MATCH(Parametres!$B$3,V$1:AG$1,0)-1)*IF(OR(C459="L",C459="S",C459="I"),-1,1),"")</f>
        <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2026</v>
      </c>
      <c r="C460" s="832" t="s">
        <v>2063</v>
      </c>
      <c r="D460" s="832" t="s">
        <v>2064</v>
      </c>
      <c r="E460" s="832" t="s">
        <v>333</v>
      </c>
      <c r="F460" s="832" t="s">
        <v>1153</v>
      </c>
      <c r="G460" s="832">
        <v>0</v>
      </c>
      <c r="H460" s="832">
        <v>1842.57</v>
      </c>
      <c r="I460" s="832">
        <v>4028.31</v>
      </c>
      <c r="J460" s="832">
        <v>7184.79</v>
      </c>
      <c r="K460" s="832">
        <v>8329.14</v>
      </c>
      <c r="L460" s="832">
        <v>8329.14</v>
      </c>
      <c r="M460" s="832">
        <v>8329.14</v>
      </c>
      <c r="N460" s="832">
        <v>8329.14</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H22070</v>
      </c>
      <c r="AK460" s="1030" t="str">
        <f t="shared" si="43"/>
        <v>TPA - ASS REMPLACEMENT</v>
      </c>
      <c r="AL460" s="1030" t="str">
        <f>IFERROR(INDEX(G460:R460,1,MATCH(Parametres!$B$3,G$1:R$1,0)-1)*IF(OR(F460="L",F460="S",F460="I"),-1,1),"")</f>
        <v/>
      </c>
      <c r="AM460" s="1030">
        <f t="shared" si="44"/>
        <v>0</v>
      </c>
      <c r="AN460" s="1030">
        <f>INDEX(G460:R460,1,MATCH(Parametres!$B$3,G$1:R$1,0))*IF(OR(F460="L",F460="S",F460="I"),-1,1)</f>
        <v>0</v>
      </c>
      <c r="AO460" s="598" t="str">
        <f>+VLOOKUP($AJ460,Data_Validation!$A:$D,1,0)</f>
        <v>H22070</v>
      </c>
      <c r="AP460" s="598" t="str">
        <f>+VLOOKUP($AJ460,Data_Validation!$A:$D,3,0)</f>
        <v>Bilan</v>
      </c>
      <c r="AQ460" s="598" t="str">
        <f>+VLOOKUP($AJ460,Data_Validation!$A:$D,4,0)</f>
        <v>Taxes de Vente à Payer</v>
      </c>
      <c r="AR460" s="598" t="s">
        <v>299</v>
      </c>
      <c r="AS460" s="598">
        <f>+VLOOKUP($AJ460,Data_Validation!$A:$E,5,0)</f>
        <v>0</v>
      </c>
      <c r="AT460" s="1036" t="str">
        <f t="shared" si="45"/>
        <v>H22070</v>
      </c>
      <c r="AU460" s="599" t="str">
        <f t="shared" si="46"/>
        <v>TPA - ASS REMPLACEMENT</v>
      </c>
      <c r="AV460" s="1030" t="str">
        <f>IFERROR(INDEX(V460:AG460,1,MATCH(Parametres!$B$3,V$1:AG$1,0)-1)*IF(OR(C460="L",C460="S",C460="I"),-1,1),"")</f>
        <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2026</v>
      </c>
      <c r="C461" s="832" t="s">
        <v>2065</v>
      </c>
      <c r="D461" s="832" t="s">
        <v>2066</v>
      </c>
      <c r="E461" s="832" t="s">
        <v>336</v>
      </c>
      <c r="F461" s="832" t="s">
        <v>1153</v>
      </c>
      <c r="G461" s="832">
        <v>-1506.23</v>
      </c>
      <c r="H461" s="832">
        <v>0</v>
      </c>
      <c r="I461" s="832">
        <v>-8423.4699999999993</v>
      </c>
      <c r="J461" s="832">
        <v>-31898.73</v>
      </c>
      <c r="K461" s="832">
        <v>75441.34</v>
      </c>
      <c r="L461" s="832">
        <v>75441.34</v>
      </c>
      <c r="M461" s="832">
        <v>75441.34</v>
      </c>
      <c r="N461" s="832">
        <v>75441.34</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H22080</v>
      </c>
      <c r="AK461" s="1030" t="str">
        <f t="shared" si="43"/>
        <v>TVQ SAAQ</v>
      </c>
      <c r="AL461" s="1030" t="str">
        <f>IFERROR(INDEX(G461:R461,1,MATCH(Parametres!$B$3,G$1:R$1,0)-1)*IF(OR(F461="L",F461="S",F461="I"),-1,1),"")</f>
        <v/>
      </c>
      <c r="AM461" s="1030">
        <f t="shared" si="44"/>
        <v>1506.23</v>
      </c>
      <c r="AN461" s="1030">
        <f>INDEX(G461:R461,1,MATCH(Parametres!$B$3,G$1:R$1,0))*IF(OR(F461="L",F461="S",F461="I"),-1,1)</f>
        <v>1506.23</v>
      </c>
      <c r="AO461" s="598" t="str">
        <f>+VLOOKUP($AJ461,Data_Validation!$A:$D,1,0)</f>
        <v>H22080</v>
      </c>
      <c r="AP461" s="598" t="str">
        <f>+VLOOKUP($AJ461,Data_Validation!$A:$D,3,0)</f>
        <v>Bilan</v>
      </c>
      <c r="AQ461" s="598" t="str">
        <f>+VLOOKUP($AJ461,Data_Validation!$A:$D,4,0)</f>
        <v>Taxes de Vente à Payer</v>
      </c>
      <c r="AR461" s="598" t="s">
        <v>299</v>
      </c>
      <c r="AS461" s="598">
        <f>+VLOOKUP($AJ461,Data_Validation!$A:$E,5,0)</f>
        <v>0</v>
      </c>
      <c r="AT461" s="1036" t="str">
        <f t="shared" si="45"/>
        <v>H22080</v>
      </c>
      <c r="AU461" s="599" t="str">
        <f t="shared" si="46"/>
        <v>TVQ SAAQ</v>
      </c>
      <c r="AV461" s="1030" t="str">
        <f>IFERROR(INDEX(V461:AG461,1,MATCH(Parametres!$B$3,V$1:AG$1,0)-1)*IF(OR(C461="L",C461="S",C461="I"),-1,1),"")</f>
        <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2026</v>
      </c>
      <c r="C462" s="832" t="s">
        <v>2067</v>
      </c>
      <c r="D462" s="832" t="s">
        <v>2068</v>
      </c>
      <c r="E462" s="832" t="s">
        <v>2032</v>
      </c>
      <c r="F462" s="832" t="s">
        <v>1153</v>
      </c>
      <c r="G462" s="832">
        <v>18452.36</v>
      </c>
      <c r="H462" s="832">
        <v>11321.69</v>
      </c>
      <c r="I462" s="832">
        <v>28237.8</v>
      </c>
      <c r="J462" s="832">
        <v>15213.12</v>
      </c>
      <c r="K462" s="832">
        <v>8001.2</v>
      </c>
      <c r="L462" s="832">
        <v>8001.2</v>
      </c>
      <c r="M462" s="832">
        <v>8001.2</v>
      </c>
      <c r="N462" s="832">
        <v>8001.2</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H22100</v>
      </c>
      <c r="AK462" s="1030" t="str">
        <f t="shared" si="43"/>
        <v>COMMISSIONS VENDEURS</v>
      </c>
      <c r="AL462" s="1030" t="str">
        <f>IFERROR(INDEX(G462:R462,1,MATCH(Parametres!$B$3,G$1:R$1,0)-1)*IF(OR(F462="L",F462="S",F462="I"),-1,1),"")</f>
        <v/>
      </c>
      <c r="AM462" s="1030">
        <f t="shared" si="44"/>
        <v>-18452.36</v>
      </c>
      <c r="AN462" s="1030">
        <f>INDEX(G462:R462,1,MATCH(Parametres!$B$3,G$1:R$1,0))*IF(OR(F462="L",F462="S",F462="I"),-1,1)</f>
        <v>-18452.36</v>
      </c>
      <c r="AO462" s="598" t="str">
        <f>+VLOOKUP($AJ462,Data_Validation!$A:$D,1,0)</f>
        <v>H22100</v>
      </c>
      <c r="AP462" s="598" t="str">
        <f>+VLOOKUP($AJ462,Data_Validation!$A:$D,3,0)</f>
        <v>Bilan</v>
      </c>
      <c r="AQ462" s="598" t="str">
        <f>+VLOOKUP($AJ462,Data_Validation!$A:$D,4,0)</f>
        <v>Salaires à Payer</v>
      </c>
      <c r="AR462" s="598" t="s">
        <v>299</v>
      </c>
      <c r="AS462" s="598">
        <f>+VLOOKUP($AJ462,Data_Validation!$A:$E,5,0)</f>
        <v>0</v>
      </c>
      <c r="AT462" s="1036" t="str">
        <f t="shared" si="45"/>
        <v>H22100</v>
      </c>
      <c r="AU462" s="599" t="str">
        <f t="shared" si="46"/>
        <v>COMMISSIONS VENDEURS</v>
      </c>
      <c r="AV462" s="1030" t="str">
        <f>IFERROR(INDEX(V462:AG462,1,MATCH(Parametres!$B$3,V$1:AG$1,0)-1)*IF(OR(C462="L",C462="S",C462="I"),-1,1),"")</f>
        <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2026</v>
      </c>
      <c r="C463" s="832" t="s">
        <v>2069</v>
      </c>
      <c r="D463" s="832" t="s">
        <v>2070</v>
      </c>
      <c r="E463" s="832" t="s">
        <v>2032</v>
      </c>
      <c r="F463" s="832" t="s">
        <v>1153</v>
      </c>
      <c r="G463" s="832">
        <v>94966.43</v>
      </c>
      <c r="H463" s="832">
        <v>96414.73</v>
      </c>
      <c r="I463" s="832">
        <v>98244.11</v>
      </c>
      <c r="J463" s="832">
        <v>70337.899999999994</v>
      </c>
      <c r="K463" s="832">
        <v>14396.63</v>
      </c>
      <c r="L463" s="832">
        <v>14396.63</v>
      </c>
      <c r="M463" s="832">
        <v>14396.63</v>
      </c>
      <c r="N463" s="832">
        <v>14396.63</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H22101</v>
      </c>
      <c r="AK463" s="1030" t="str">
        <f t="shared" si="43"/>
        <v>BONI A PAYER</v>
      </c>
      <c r="AL463" s="1030" t="str">
        <f>IFERROR(INDEX(G463:R463,1,MATCH(Parametres!$B$3,G$1:R$1,0)-1)*IF(OR(F463="L",F463="S",F463="I"),-1,1),"")</f>
        <v/>
      </c>
      <c r="AM463" s="1030">
        <f t="shared" si="44"/>
        <v>-94966.43</v>
      </c>
      <c r="AN463" s="1030">
        <f>INDEX(G463:R463,1,MATCH(Parametres!$B$3,G$1:R$1,0))*IF(OR(F463="L",F463="S",F463="I"),-1,1)</f>
        <v>-94966.43</v>
      </c>
      <c r="AO463" s="598" t="str">
        <f>+VLOOKUP($AJ463,Data_Validation!$A:$D,1,0)</f>
        <v>H22101</v>
      </c>
      <c r="AP463" s="598" t="str">
        <f>+VLOOKUP($AJ463,Data_Validation!$A:$D,3,0)</f>
        <v>Bilan</v>
      </c>
      <c r="AQ463" s="598" t="str">
        <f>+VLOOKUP($AJ463,Data_Validation!$A:$D,4,0)</f>
        <v>Salaires à Payer</v>
      </c>
      <c r="AR463" s="598" t="s">
        <v>299</v>
      </c>
      <c r="AS463" s="598">
        <f>+VLOOKUP($AJ463,Data_Validation!$A:$E,5,0)</f>
        <v>0</v>
      </c>
      <c r="AT463" s="1036" t="str">
        <f t="shared" si="45"/>
        <v>H22101</v>
      </c>
      <c r="AU463" s="599" t="str">
        <f t="shared" si="46"/>
        <v>BONI A PAYER</v>
      </c>
      <c r="AV463" s="1030" t="str">
        <f>IFERROR(INDEX(V463:AG463,1,MATCH(Parametres!$B$3,V$1:AG$1,0)-1)*IF(OR(C463="L",C463="S",C463="I"),-1,1),"")</f>
        <v/>
      </c>
      <c r="AW463" s="1030">
        <f t="shared" si="47"/>
        <v>0</v>
      </c>
      <c r="AX463" s="1030">
        <f>INDEX(V463:AG463,1,MATCH(Parametres!$B$3,V$1:AG$1,0))*IF(OR(C463="L",C463="S",C463="I"),-1,1)</f>
        <v>0</v>
      </c>
      <c r="AY463" s="598" t="s">
        <v>337</v>
      </c>
      <c r="AZ463" s="598">
        <f>+VLOOKUP($AJ463,Data_Validation!$A:$E,5,0)</f>
        <v>0</v>
      </c>
    </row>
    <row r="464" spans="1:52" ht="15" customHeight="1">
      <c r="A464" s="832" t="s">
        <v>1150</v>
      </c>
      <c r="B464" s="832">
        <v>2026</v>
      </c>
      <c r="C464" s="832" t="s">
        <v>2071</v>
      </c>
      <c r="D464" s="832" t="s">
        <v>2072</v>
      </c>
      <c r="E464" s="832" t="s">
        <v>2032</v>
      </c>
      <c r="F464" s="832" t="s">
        <v>1153</v>
      </c>
      <c r="G464" s="832">
        <v>12849.5</v>
      </c>
      <c r="H464" s="832">
        <v>11658.01</v>
      </c>
      <c r="I464" s="832">
        <v>17186.37</v>
      </c>
      <c r="J464" s="832">
        <v>9236.64</v>
      </c>
      <c r="K464" s="832">
        <v>6745.47</v>
      </c>
      <c r="L464" s="832">
        <v>6745.47</v>
      </c>
      <c r="M464" s="832">
        <v>6745.47</v>
      </c>
      <c r="N464" s="832">
        <v>6745.47</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H22110</v>
      </c>
      <c r="AK464" s="1030" t="str">
        <f t="shared" si="43"/>
        <v>COMMISSIONS F&amp;I</v>
      </c>
      <c r="AL464" s="1030" t="str">
        <f>IFERROR(INDEX(G464:R464,1,MATCH(Parametres!$B$3,G$1:R$1,0)-1)*IF(OR(F464="L",F464="S",F464="I"),-1,1),"")</f>
        <v/>
      </c>
      <c r="AM464" s="1030">
        <f t="shared" si="44"/>
        <v>-12849.5</v>
      </c>
      <c r="AN464" s="1030">
        <f>INDEX(G464:R464,1,MATCH(Parametres!$B$3,G$1:R$1,0))*IF(OR(F464="L",F464="S",F464="I"),-1,1)</f>
        <v>-12849.5</v>
      </c>
      <c r="AO464" s="598" t="str">
        <f>+VLOOKUP($AJ464,Data_Validation!$A:$D,1,0)</f>
        <v>H22110</v>
      </c>
      <c r="AP464" s="598" t="str">
        <f>+VLOOKUP($AJ464,Data_Validation!$A:$D,3,0)</f>
        <v>Bilan</v>
      </c>
      <c r="AQ464" s="598" t="str">
        <f>+VLOOKUP($AJ464,Data_Validation!$A:$D,4,0)</f>
        <v>Salaires à Payer</v>
      </c>
      <c r="AR464" s="598" t="s">
        <v>299</v>
      </c>
      <c r="AS464" s="598">
        <f>+VLOOKUP($AJ464,Data_Validation!$A:$E,5,0)</f>
        <v>0</v>
      </c>
      <c r="AT464" s="1036" t="str">
        <f t="shared" si="45"/>
        <v>H22110</v>
      </c>
      <c r="AU464" s="599" t="str">
        <f t="shared" si="46"/>
        <v>COMMISSIONS F&amp;I</v>
      </c>
      <c r="AV464" s="1030" t="str">
        <f>IFERROR(INDEX(V464:AG464,1,MATCH(Parametres!$B$3,V$1:AG$1,0)-1)*IF(OR(C464="L",C464="S",C464="I"),-1,1),"")</f>
        <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2026</v>
      </c>
      <c r="C465" s="832" t="s">
        <v>2073</v>
      </c>
      <c r="D465" s="832" t="s">
        <v>2074</v>
      </c>
      <c r="E465" s="832" t="s">
        <v>2032</v>
      </c>
      <c r="F465" s="832" t="s">
        <v>1153</v>
      </c>
      <c r="G465" s="832">
        <v>0</v>
      </c>
      <c r="H465" s="832">
        <v>0</v>
      </c>
      <c r="I465" s="832">
        <v>0</v>
      </c>
      <c r="J465" s="832">
        <v>0</v>
      </c>
      <c r="K465" s="832">
        <v>0</v>
      </c>
      <c r="L465" s="832">
        <v>0</v>
      </c>
      <c r="M465" s="832">
        <v>0</v>
      </c>
      <c r="N465" s="832">
        <v>0</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H22120</v>
      </c>
      <c r="AK465" s="1030" t="str">
        <f t="shared" si="43"/>
        <v>COMM. A PAYER FORTUNE</v>
      </c>
      <c r="AL465" s="1030" t="str">
        <f>IFERROR(INDEX(G465:R465,1,MATCH(Parametres!$B$3,G$1:R$1,0)-1)*IF(OR(F465="L",F465="S",F465="I"),-1,1),"")</f>
        <v/>
      </c>
      <c r="AM465" s="1030">
        <f t="shared" si="44"/>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t="str">
        <f t="shared" si="45"/>
        <v>H22120</v>
      </c>
      <c r="AU465" s="599" t="str">
        <f t="shared" si="46"/>
        <v>COMM. A PAYER FORTUNE</v>
      </c>
      <c r="AV465" s="1030" t="str">
        <f>IFERROR(INDEX(V465:AG465,1,MATCH(Parametres!$B$3,V$1:AG$1,0)-1)*IF(OR(C465="L",C465="S",C465="I"),-1,1),"")</f>
        <v/>
      </c>
      <c r="AW465" s="1030">
        <f t="shared" si="47"/>
        <v>0</v>
      </c>
      <c r="AX465" s="1030">
        <f>INDEX(V465:AG465,1,MATCH(Parametres!$B$3,V$1:AG$1,0))*IF(OR(C465="L",C465="S",C465="I"),-1,1)</f>
        <v>0</v>
      </c>
      <c r="AY465" s="598" t="s">
        <v>337</v>
      </c>
      <c r="AZ465" s="598" t="e">
        <f>+VLOOKUP($AJ465,Data_Validation!$A:$E,5,0)</f>
        <v>#N/A</v>
      </c>
    </row>
    <row r="466" spans="1:52" ht="15" customHeight="1">
      <c r="A466" s="832" t="s">
        <v>1150</v>
      </c>
      <c r="B466" s="832">
        <v>2026</v>
      </c>
      <c r="C466" s="832" t="s">
        <v>2075</v>
      </c>
      <c r="D466" s="832" t="s">
        <v>2076</v>
      </c>
      <c r="E466" s="832" t="s">
        <v>1854</v>
      </c>
      <c r="F466" s="832" t="s">
        <v>1153</v>
      </c>
      <c r="G466" s="832">
        <v>2718.8</v>
      </c>
      <c r="H466" s="832">
        <v>-11055.33</v>
      </c>
      <c r="I466" s="832">
        <v>6411.17</v>
      </c>
      <c r="J466" s="832">
        <v>9910.0400000000009</v>
      </c>
      <c r="K466" s="832">
        <v>2904.42</v>
      </c>
      <c r="L466" s="832">
        <v>2904.42</v>
      </c>
      <c r="M466" s="832">
        <v>2904.42</v>
      </c>
      <c r="N466" s="832">
        <v>2904.42</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H22200</v>
      </c>
      <c r="AK466" s="1030" t="str">
        <f t="shared" si="43"/>
        <v>DEPOTS CLIENTS</v>
      </c>
      <c r="AL466" s="1030" t="str">
        <f>IFERROR(INDEX(G466:R466,1,MATCH(Parametres!$B$3,G$1:R$1,0)-1)*IF(OR(F466="L",F466="S",F466="I"),-1,1),"")</f>
        <v/>
      </c>
      <c r="AM466" s="1030">
        <f t="shared" si="44"/>
        <v>-2718.8</v>
      </c>
      <c r="AN466" s="1030">
        <f>INDEX(G466:R466,1,MATCH(Parametres!$B$3,G$1:R$1,0))*IF(OR(F466="L",F466="S",F466="I"),-1,1)</f>
        <v>-2718.8</v>
      </c>
      <c r="AO466" s="598" t="str">
        <f>+VLOOKUP($AJ466,Data_Validation!$A:$D,1,0)</f>
        <v>H22200</v>
      </c>
      <c r="AP466" s="598" t="str">
        <f>+VLOOKUP($AJ466,Data_Validation!$A:$D,3,0)</f>
        <v>Bilan</v>
      </c>
      <c r="AQ466" s="598" t="str">
        <f>+VLOOKUP($AJ466,Data_Validation!$A:$D,4,0)</f>
        <v>Dépôts de Client</v>
      </c>
      <c r="AR466" s="598" t="s">
        <v>299</v>
      </c>
      <c r="AS466" s="598">
        <f>+VLOOKUP($AJ466,Data_Validation!$A:$E,5,0)</f>
        <v>0</v>
      </c>
      <c r="AT466" s="1036" t="str">
        <f t="shared" si="45"/>
        <v>H22200</v>
      </c>
      <c r="AU466" s="599" t="str">
        <f t="shared" si="46"/>
        <v>DEPOTS CLIENTS</v>
      </c>
      <c r="AV466" s="1030" t="str">
        <f>IFERROR(INDEX(V466:AG466,1,MATCH(Parametres!$B$3,V$1:AG$1,0)-1)*IF(OR(C466="L",C466="S",C466="I"),-1,1),"")</f>
        <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2026</v>
      </c>
      <c r="C467" s="832" t="s">
        <v>2077</v>
      </c>
      <c r="D467" s="832" t="s">
        <v>656</v>
      </c>
      <c r="E467" s="832" t="s">
        <v>333</v>
      </c>
      <c r="F467" s="832" t="s">
        <v>1153</v>
      </c>
      <c r="G467" s="832">
        <v>0</v>
      </c>
      <c r="H467" s="832">
        <v>180375.88</v>
      </c>
      <c r="I467" s="832">
        <v>267957.53000000003</v>
      </c>
      <c r="J467" s="832">
        <v>526810.24</v>
      </c>
      <c r="K467" s="832">
        <v>660520.99</v>
      </c>
      <c r="L467" s="832">
        <v>662019.07999999996</v>
      </c>
      <c r="M467" s="832">
        <v>662019.07999999996</v>
      </c>
      <c r="N467" s="832">
        <v>662019.07999999996</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H22300</v>
      </c>
      <c r="AK467" s="1030" t="str">
        <f t="shared" ref="AK467:AK530" si="49">D467</f>
        <v>TPS A PAYER</v>
      </c>
      <c r="AL467" s="1030" t="str">
        <f>IFERROR(INDEX(G467:R467,1,MATCH(Parametres!$B$3,G$1:R$1,0)-1)*IF(OR(F467="L",F467="S",F467="I"),-1,1),"")</f>
        <v/>
      </c>
      <c r="AM467" s="1030">
        <f t="shared" si="44"/>
        <v>0</v>
      </c>
      <c r="AN467" s="1030">
        <f>INDEX(G467:R467,1,MATCH(Parametres!$B$3,G$1:R$1,0))*IF(OR(F467="L",F467="S",F467="I"),-1,1)</f>
        <v>0</v>
      </c>
      <c r="AO467" s="598" t="str">
        <f>+VLOOKUP($AJ467,Data_Validation!$A:$D,1,0)</f>
        <v>H22300</v>
      </c>
      <c r="AP467" s="598" t="str">
        <f>+VLOOKUP($AJ467,Data_Validation!$A:$D,3,0)</f>
        <v>Bilan</v>
      </c>
      <c r="AQ467" s="598" t="str">
        <f>+VLOOKUP($AJ467,Data_Validation!$A:$D,4,0)</f>
        <v>Taxes de Vente à Payer</v>
      </c>
      <c r="AR467" s="598" t="s">
        <v>299</v>
      </c>
      <c r="AS467" s="598">
        <f>+VLOOKUP($AJ467,Data_Validation!$A:$E,5,0)</f>
        <v>0</v>
      </c>
      <c r="AT467" s="1036" t="str">
        <f t="shared" si="45"/>
        <v>H22300</v>
      </c>
      <c r="AU467" s="599" t="str">
        <f t="shared" si="46"/>
        <v>TPS A PAYER</v>
      </c>
      <c r="AV467" s="1030" t="str">
        <f>IFERROR(INDEX(V467:AG467,1,MATCH(Parametres!$B$3,V$1:AG$1,0)-1)*IF(OR(C467="L",C467="S",C467="I"),-1,1),"")</f>
        <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2026</v>
      </c>
      <c r="C468" s="832" t="s">
        <v>2078</v>
      </c>
      <c r="D468" s="832" t="s">
        <v>2079</v>
      </c>
      <c r="E468" s="832" t="s">
        <v>333</v>
      </c>
      <c r="F468" s="832" t="s">
        <v>1153</v>
      </c>
      <c r="G468" s="832">
        <v>0</v>
      </c>
      <c r="H468" s="832">
        <v>-223443.43</v>
      </c>
      <c r="I468" s="832">
        <v>-293130.7</v>
      </c>
      <c r="J468" s="832">
        <v>-490897.52</v>
      </c>
      <c r="K468" s="832">
        <v>-574182.84</v>
      </c>
      <c r="L468" s="832">
        <v>-574182.84</v>
      </c>
      <c r="M468" s="832">
        <v>-574182.84</v>
      </c>
      <c r="N468" s="832">
        <v>-574182.84</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H22310</v>
      </c>
      <c r="AK468" s="1030" t="str">
        <f t="shared" si="49"/>
        <v>CTI(TPS) A RECEVOIR</v>
      </c>
      <c r="AL468" s="1030" t="str">
        <f>IFERROR(INDEX(G468:R468,1,MATCH(Parametres!$B$3,G$1:R$1,0)-1)*IF(OR(F468="L",F468="S",F468="I"),-1,1),"")</f>
        <v/>
      </c>
      <c r="AM468" s="1030">
        <f t="shared" si="44"/>
        <v>0</v>
      </c>
      <c r="AN468" s="1030">
        <f>INDEX(G468:R468,1,MATCH(Parametres!$B$3,G$1:R$1,0))*IF(OR(F468="L",F468="S",F468="I"),-1,1)</f>
        <v>0</v>
      </c>
      <c r="AO468" s="598" t="str">
        <f>+VLOOKUP($AJ468,Data_Validation!$A:$D,1,0)</f>
        <v>H22310</v>
      </c>
      <c r="AP468" s="598" t="str">
        <f>+VLOOKUP($AJ468,Data_Validation!$A:$D,3,0)</f>
        <v>Bilan</v>
      </c>
      <c r="AQ468" s="598" t="str">
        <f>+VLOOKUP($AJ468,Data_Validation!$A:$D,4,0)</f>
        <v>Taxes de Vente à Payer</v>
      </c>
      <c r="AR468" s="598" t="s">
        <v>299</v>
      </c>
      <c r="AS468" s="598">
        <f>+VLOOKUP($AJ468,Data_Validation!$A:$E,5,0)</f>
        <v>0</v>
      </c>
      <c r="AT468" s="1036" t="str">
        <f t="shared" si="45"/>
        <v>H22310</v>
      </c>
      <c r="AU468" s="599" t="str">
        <f t="shared" si="46"/>
        <v>CTI(TPS) A RECEVOIR</v>
      </c>
      <c r="AV468" s="1030" t="str">
        <f>IFERROR(INDEX(V468:AG468,1,MATCH(Parametres!$B$3,V$1:AG$1,0)-1)*IF(OR(C468="L",C468="S",C468="I"),-1,1),"")</f>
        <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2026</v>
      </c>
      <c r="C469" s="832" t="s">
        <v>2080</v>
      </c>
      <c r="D469" s="832" t="s">
        <v>2081</v>
      </c>
      <c r="E469" s="832" t="s">
        <v>333</v>
      </c>
      <c r="F469" s="832" t="s">
        <v>1153</v>
      </c>
      <c r="G469" s="832">
        <v>1845.31</v>
      </c>
      <c r="H469" s="832">
        <v>1845.31</v>
      </c>
      <c r="I469" s="832">
        <v>1845.31</v>
      </c>
      <c r="J469" s="832">
        <v>1845.31</v>
      </c>
      <c r="K469" s="832">
        <v>1845.31</v>
      </c>
      <c r="L469" s="832">
        <v>1845.31</v>
      </c>
      <c r="M469" s="832">
        <v>1845.31</v>
      </c>
      <c r="N469" s="832">
        <v>1845.31</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H22330</v>
      </c>
      <c r="AK469" s="1030" t="str">
        <f t="shared" si="49"/>
        <v>TAXE DE LUXE</v>
      </c>
      <c r="AL469" s="1030" t="str">
        <f>IFERROR(INDEX(G469:R469,1,MATCH(Parametres!$B$3,G$1:R$1,0)-1)*IF(OR(F469="L",F469="S",F469="I"),-1,1),"")</f>
        <v/>
      </c>
      <c r="AM469" s="1030">
        <f t="shared" si="44"/>
        <v>-1845.31</v>
      </c>
      <c r="AN469" s="1030">
        <f>INDEX(G469:R469,1,MATCH(Parametres!$B$3,G$1:R$1,0))*IF(OR(F469="L",F469="S",F469="I"),-1,1)</f>
        <v>-1845.31</v>
      </c>
      <c r="AO469" s="598" t="str">
        <f>+VLOOKUP($AJ469,Data_Validation!$A:$D,1,0)</f>
        <v>H22330</v>
      </c>
      <c r="AP469" s="598" t="str">
        <f>+VLOOKUP($AJ469,Data_Validation!$A:$D,3,0)</f>
        <v>Bilan</v>
      </c>
      <c r="AQ469" s="598" t="str">
        <f>+VLOOKUP($AJ469,Data_Validation!$A:$D,4,0)</f>
        <v>Taxes de Vente à Payer</v>
      </c>
      <c r="AR469" s="598" t="s">
        <v>299</v>
      </c>
      <c r="AS469" s="598">
        <f>+VLOOKUP($AJ469,Data_Validation!$A:$E,5,0)</f>
        <v>0</v>
      </c>
      <c r="AT469" s="1036" t="str">
        <f t="shared" si="45"/>
        <v>H22330</v>
      </c>
      <c r="AU469" s="599" t="str">
        <f t="shared" si="46"/>
        <v>TAXE DE LUXE</v>
      </c>
      <c r="AV469" s="1030" t="str">
        <f>IFERROR(INDEX(V469:AG469,1,MATCH(Parametres!$B$3,V$1:AG$1,0)-1)*IF(OR(C469="L",C469="S",C469="I"),-1,1),"")</f>
        <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2026</v>
      </c>
      <c r="C470" s="832" t="s">
        <v>2082</v>
      </c>
      <c r="D470" s="832" t="s">
        <v>657</v>
      </c>
      <c r="E470" s="832" t="s">
        <v>333</v>
      </c>
      <c r="F470" s="832" t="s">
        <v>1153</v>
      </c>
      <c r="G470" s="832">
        <v>0</v>
      </c>
      <c r="H470" s="832">
        <v>0</v>
      </c>
      <c r="I470" s="832">
        <v>0</v>
      </c>
      <c r="J470" s="832">
        <v>0</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H22350</v>
      </c>
      <c r="AK470" s="1030" t="str">
        <f t="shared" si="49"/>
        <v>TPS A RECEVOIR</v>
      </c>
      <c r="AL470" s="1030" t="str">
        <f>IFERROR(INDEX(G470:R470,1,MATCH(Parametres!$B$3,G$1:R$1,0)-1)*IF(OR(F470="L",F470="S",F470="I"),-1,1),"")</f>
        <v/>
      </c>
      <c r="AM470" s="1030">
        <f t="shared" si="44"/>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t="str">
        <f t="shared" si="45"/>
        <v>H22350</v>
      </c>
      <c r="AU470" s="599" t="str">
        <f t="shared" si="46"/>
        <v>TPS A RECEVOIR</v>
      </c>
      <c r="AV470" s="1030" t="str">
        <f>IFERROR(INDEX(V470:AG470,1,MATCH(Parametres!$B$3,V$1:AG$1,0)-1)*IF(OR(C470="L",C470="S",C470="I"),-1,1),"")</f>
        <v/>
      </c>
      <c r="AW470" s="1030">
        <f t="shared" si="47"/>
        <v>0</v>
      </c>
      <c r="AX470" s="1030">
        <f>INDEX(V470:AG470,1,MATCH(Parametres!$B$3,V$1:AG$1,0))*IF(OR(C470="L",C470="S",C470="I"),-1,1)</f>
        <v>0</v>
      </c>
      <c r="AY470" s="598" t="s">
        <v>337</v>
      </c>
      <c r="AZ470" s="598" t="e">
        <f>+VLOOKUP($AJ470,Data_Validation!$A:$E,5,0)</f>
        <v>#N/A</v>
      </c>
    </row>
    <row r="471" spans="1:52" ht="15" customHeight="1">
      <c r="A471" s="832" t="s">
        <v>1150</v>
      </c>
      <c r="B471" s="832">
        <v>2026</v>
      </c>
      <c r="C471" s="832" t="s">
        <v>2083</v>
      </c>
      <c r="D471" s="832" t="s">
        <v>656</v>
      </c>
      <c r="E471" s="832" t="s">
        <v>333</v>
      </c>
      <c r="F471" s="832" t="s">
        <v>1153</v>
      </c>
      <c r="G471" s="832">
        <v>0</v>
      </c>
      <c r="H471" s="832">
        <v>0</v>
      </c>
      <c r="I471" s="832">
        <v>0</v>
      </c>
      <c r="J471" s="832">
        <v>0</v>
      </c>
      <c r="K471" s="832">
        <v>0</v>
      </c>
      <c r="L471" s="832">
        <v>0</v>
      </c>
      <c r="M471" s="832">
        <v>0</v>
      </c>
      <c r="N471" s="832">
        <v>0</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H22360</v>
      </c>
      <c r="AK471" s="1030" t="str">
        <f t="shared" si="49"/>
        <v>TPS A PAYER</v>
      </c>
      <c r="AL471" s="1030" t="str">
        <f>IFERROR(INDEX(G471:R471,1,MATCH(Parametres!$B$3,G$1:R$1,0)-1)*IF(OR(F471="L",F471="S",F471="I"),-1,1),"")</f>
        <v/>
      </c>
      <c r="AM471" s="1030">
        <f t="shared" si="44"/>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t="str">
        <f t="shared" si="45"/>
        <v>H22360</v>
      </c>
      <c r="AU471" s="599" t="str">
        <f t="shared" si="46"/>
        <v>TPS A PAYER</v>
      </c>
      <c r="AV471" s="1030" t="str">
        <f>IFERROR(INDEX(V471:AG471,1,MATCH(Parametres!$B$3,V$1:AG$1,0)-1)*IF(OR(C471="L",C471="S",C471="I"),-1,1),"")</f>
        <v/>
      </c>
      <c r="AW471" s="1030">
        <f t="shared" si="47"/>
        <v>0</v>
      </c>
      <c r="AX471" s="1030">
        <f>INDEX(V471:AG471,1,MATCH(Parametres!$B$3,V$1:AG$1,0))*IF(OR(C471="L",C471="S",C471="I"),-1,1)</f>
        <v>0</v>
      </c>
      <c r="AY471" s="598" t="s">
        <v>337</v>
      </c>
      <c r="AZ471" s="598" t="e">
        <f>+VLOOKUP($AJ471,Data_Validation!$A:$E,5,0)</f>
        <v>#N/A</v>
      </c>
    </row>
    <row r="472" spans="1:52" ht="15" customHeight="1">
      <c r="A472" s="832" t="s">
        <v>1150</v>
      </c>
      <c r="B472" s="832">
        <v>2026</v>
      </c>
      <c r="C472" s="832" t="s">
        <v>2084</v>
      </c>
      <c r="D472" s="832" t="s">
        <v>2085</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H22370</v>
      </c>
      <c r="AK472" s="1030" t="str">
        <f t="shared" si="49"/>
        <v>TVH ONTARIO 13%</v>
      </c>
      <c r="AL472" s="1030" t="str">
        <f>IFERROR(INDEX(G472:R472,1,MATCH(Parametres!$B$3,G$1:R$1,0)-1)*IF(OR(F472="L",F472="S",F472="I"),-1,1),"")</f>
        <v/>
      </c>
      <c r="AM472" s="1030">
        <f t="shared" si="44"/>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t="str">
        <f t="shared" si="45"/>
        <v>H22370</v>
      </c>
      <c r="AU472" s="599" t="str">
        <f t="shared" si="46"/>
        <v>TVH ONTARIO 13%</v>
      </c>
      <c r="AV472" s="1030" t="str">
        <f>IFERROR(INDEX(V472:AG472,1,MATCH(Parametres!$B$3,V$1:AG$1,0)-1)*IF(OR(C472="L",C472="S",C472="I"),-1,1),"")</f>
        <v/>
      </c>
      <c r="AW472" s="1030">
        <f t="shared" si="47"/>
        <v>0</v>
      </c>
      <c r="AX472" s="1030">
        <f>INDEX(V472:AG472,1,MATCH(Parametres!$B$3,V$1:AG$1,0))*IF(OR(C472="L",C472="S",C472="I"),-1,1)</f>
        <v>0</v>
      </c>
      <c r="AY472" s="598" t="s">
        <v>337</v>
      </c>
      <c r="AZ472" s="598" t="e">
        <f>+VLOOKUP($AJ472,Data_Validation!$A:$E,5,0)</f>
        <v>#N/A</v>
      </c>
    </row>
    <row r="473" spans="1:52" ht="15" customHeight="1">
      <c r="A473" s="832" t="s">
        <v>1150</v>
      </c>
      <c r="B473" s="832">
        <v>2026</v>
      </c>
      <c r="C473" s="832" t="s">
        <v>2086</v>
      </c>
      <c r="D473" s="832" t="s">
        <v>2087</v>
      </c>
      <c r="E473" s="832" t="s">
        <v>1813</v>
      </c>
      <c r="F473" s="832" t="s">
        <v>1153</v>
      </c>
      <c r="G473" s="832">
        <v>-12764.38</v>
      </c>
      <c r="H473" s="832">
        <v>-14289.38</v>
      </c>
      <c r="I473" s="832">
        <v>-18125.38</v>
      </c>
      <c r="J473" s="832">
        <v>20854.62</v>
      </c>
      <c r="K473" s="832">
        <v>42460.62</v>
      </c>
      <c r="L473" s="832">
        <v>42460.62</v>
      </c>
      <c r="M473" s="832">
        <v>42460.62</v>
      </c>
      <c r="N473" s="832">
        <v>42460.62</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H22400</v>
      </c>
      <c r="AK473" s="1030" t="str">
        <f t="shared" si="49"/>
        <v>PPH A PAYER</v>
      </c>
      <c r="AL473" s="1030" t="str">
        <f>IFERROR(INDEX(G473:R473,1,MATCH(Parametres!$B$3,G$1:R$1,0)-1)*IF(OR(F473="L",F473="S",F473="I"),-1,1),"")</f>
        <v/>
      </c>
      <c r="AM473" s="1030">
        <f t="shared" si="44"/>
        <v>12764.38</v>
      </c>
      <c r="AN473" s="1030">
        <f>INDEX(G473:R473,1,MATCH(Parametres!$B$3,G$1:R$1,0))*IF(OR(F473="L",F473="S",F473="I"),-1,1)</f>
        <v>12764.38</v>
      </c>
      <c r="AO473" s="598" t="str">
        <f>+VLOOKUP($AJ473,Data_Validation!$A:$D,1,0)</f>
        <v>H22400</v>
      </c>
      <c r="AP473" s="598" t="str">
        <f>+VLOOKUP($AJ473,Data_Validation!$A:$D,3,0)</f>
        <v>Bilan</v>
      </c>
      <c r="AQ473" s="598" t="str">
        <f>+VLOOKUP($AJ473,Data_Validation!$A:$D,4,0)</f>
        <v>Autres Comptes à Payer</v>
      </c>
      <c r="AR473" s="598" t="s">
        <v>299</v>
      </c>
      <c r="AS473" s="598">
        <f>+VLOOKUP($AJ473,Data_Validation!$A:$E,5,0)</f>
        <v>0</v>
      </c>
      <c r="AT473" s="1036" t="str">
        <f t="shared" si="45"/>
        <v>H22400</v>
      </c>
      <c r="AU473" s="599" t="str">
        <f t="shared" si="46"/>
        <v>PPH A PAYER</v>
      </c>
      <c r="AV473" s="1030" t="str">
        <f>IFERROR(INDEX(V473:AG473,1,MATCH(Parametres!$B$3,V$1:AG$1,0)-1)*IF(OR(C473="L",C473="S",C473="I"),-1,1),"")</f>
        <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2026</v>
      </c>
      <c r="C474" s="832" t="s">
        <v>2088</v>
      </c>
      <c r="D474" s="832" t="s">
        <v>2089</v>
      </c>
      <c r="E474" s="832" t="s">
        <v>1813</v>
      </c>
      <c r="F474" s="832" t="s">
        <v>1153</v>
      </c>
      <c r="G474" s="832">
        <v>5403.17</v>
      </c>
      <c r="H474" s="832">
        <v>6943.17</v>
      </c>
      <c r="I474" s="832">
        <v>3992.67</v>
      </c>
      <c r="J474" s="832">
        <v>-1653.76</v>
      </c>
      <c r="K474" s="832">
        <v>-253.76</v>
      </c>
      <c r="L474" s="832">
        <v>-253.76</v>
      </c>
      <c r="M474" s="832">
        <v>-253.76</v>
      </c>
      <c r="N474" s="832">
        <v>-253.76</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H22410</v>
      </c>
      <c r="AK474" s="1030" t="str">
        <f t="shared" si="49"/>
        <v>RESERVE DOMMAGE VEH NEUF</v>
      </c>
      <c r="AL474" s="1030" t="str">
        <f>IFERROR(INDEX(G474:R474,1,MATCH(Parametres!$B$3,G$1:R$1,0)-1)*IF(OR(F474="L",F474="S",F474="I"),-1,1),"")</f>
        <v/>
      </c>
      <c r="AM474" s="1030">
        <f t="shared" si="44"/>
        <v>-5403.17</v>
      </c>
      <c r="AN474" s="1030">
        <f>INDEX(G474:R474,1,MATCH(Parametres!$B$3,G$1:R$1,0))*IF(OR(F474="L",F474="S",F474="I"),-1,1)</f>
        <v>-5403.17</v>
      </c>
      <c r="AO474" s="598" t="str">
        <f>+VLOOKUP($AJ474,Data_Validation!$A:$D,1,0)</f>
        <v>H22410</v>
      </c>
      <c r="AP474" s="598" t="str">
        <f>+VLOOKUP($AJ474,Data_Validation!$A:$D,3,0)</f>
        <v>Bilan</v>
      </c>
      <c r="AQ474" s="598" t="str">
        <f>+VLOOKUP($AJ474,Data_Validation!$A:$D,4,0)</f>
        <v>Autres Courus</v>
      </c>
      <c r="AR474" s="598" t="s">
        <v>299</v>
      </c>
      <c r="AS474" s="598">
        <f>+VLOOKUP($AJ474,Data_Validation!$A:$E,5,0)</f>
        <v>0</v>
      </c>
      <c r="AT474" s="1036" t="str">
        <f t="shared" si="45"/>
        <v>H22410</v>
      </c>
      <c r="AU474" s="599" t="str">
        <f t="shared" si="46"/>
        <v>RESERVE DOMMAGE VEH NEUF</v>
      </c>
      <c r="AV474" s="1030" t="str">
        <f>IFERROR(INDEX(V474:AG474,1,MATCH(Parametres!$B$3,V$1:AG$1,0)-1)*IF(OR(C474="L",C474="S",C474="I"),-1,1),"")</f>
        <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2026</v>
      </c>
      <c r="C475" s="832" t="s">
        <v>2090</v>
      </c>
      <c r="D475" s="832" t="s">
        <v>2091</v>
      </c>
      <c r="E475" s="832" t="s">
        <v>1813</v>
      </c>
      <c r="F475" s="832" t="s">
        <v>1153</v>
      </c>
      <c r="G475" s="832">
        <v>18338.34</v>
      </c>
      <c r="H475" s="832">
        <v>19283.34</v>
      </c>
      <c r="I475" s="832">
        <v>17625.580000000002</v>
      </c>
      <c r="J475" s="832">
        <v>18108.46</v>
      </c>
      <c r="K475" s="832">
        <v>18108.46</v>
      </c>
      <c r="L475" s="832">
        <v>18108.46</v>
      </c>
      <c r="M475" s="832">
        <v>18108.46</v>
      </c>
      <c r="N475" s="832">
        <v>18108.46</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H22415</v>
      </c>
      <c r="AK475" s="1030" t="str">
        <f t="shared" si="49"/>
        <v>RESERVE F&amp;I NEUF + USED</v>
      </c>
      <c r="AL475" s="1030" t="str">
        <f>IFERROR(INDEX(G475:R475,1,MATCH(Parametres!$B$3,G$1:R$1,0)-1)*IF(OR(F475="L",F475="S",F475="I"),-1,1),"")</f>
        <v/>
      </c>
      <c r="AM475" s="1030">
        <f t="shared" si="44"/>
        <v>-18338.34</v>
      </c>
      <c r="AN475" s="1030">
        <f>INDEX(G475:R475,1,MATCH(Parametres!$B$3,G$1:R$1,0))*IF(OR(F475="L",F475="S",F475="I"),-1,1)</f>
        <v>-18338.34</v>
      </c>
      <c r="AO475" s="598" t="str">
        <f>+VLOOKUP($AJ475,Data_Validation!$A:$D,1,0)</f>
        <v>H22415</v>
      </c>
      <c r="AP475" s="598" t="str">
        <f>+VLOOKUP($AJ475,Data_Validation!$A:$D,3,0)</f>
        <v>Bilan</v>
      </c>
      <c r="AQ475" s="598" t="str">
        <f>+VLOOKUP($AJ475,Data_Validation!$A:$D,4,0)</f>
        <v>Autres Courus</v>
      </c>
      <c r="AR475" s="598" t="s">
        <v>299</v>
      </c>
      <c r="AS475" s="598">
        <f>+VLOOKUP($AJ475,Data_Validation!$A:$E,5,0)</f>
        <v>0</v>
      </c>
      <c r="AT475" s="1036" t="str">
        <f t="shared" si="45"/>
        <v>H22415</v>
      </c>
      <c r="AU475" s="599" t="str">
        <f t="shared" si="46"/>
        <v>RESERVE F&amp;I NEUF + USED</v>
      </c>
      <c r="AV475" s="1030" t="str">
        <f>IFERROR(INDEX(V475:AG475,1,MATCH(Parametres!$B$3,V$1:AG$1,0)-1)*IF(OR(C475="L",C475="S",C475="I"),-1,1),"")</f>
        <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2026</v>
      </c>
      <c r="C476" s="832" t="s">
        <v>2092</v>
      </c>
      <c r="D476" s="832" t="s">
        <v>2093</v>
      </c>
      <c r="E476" s="832" t="s">
        <v>1813</v>
      </c>
      <c r="F476" s="832" t="s">
        <v>1153</v>
      </c>
      <c r="G476" s="832">
        <v>2900.94</v>
      </c>
      <c r="H476" s="832">
        <v>2113.85</v>
      </c>
      <c r="I476" s="832">
        <v>2539.4699999999998</v>
      </c>
      <c r="J476" s="832">
        <v>3039.47</v>
      </c>
      <c r="K476" s="832">
        <v>3039.47</v>
      </c>
      <c r="L476" s="832">
        <v>3039.47</v>
      </c>
      <c r="M476" s="832">
        <v>3039.47</v>
      </c>
      <c r="N476" s="832">
        <v>3039.47</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H22416</v>
      </c>
      <c r="AK476" s="1030" t="str">
        <f t="shared" si="49"/>
        <v>RESERVE DOMMAGE SERVICE</v>
      </c>
      <c r="AL476" s="1030" t="str">
        <f>IFERROR(INDEX(G476:R476,1,MATCH(Parametres!$B$3,G$1:R$1,0)-1)*IF(OR(F476="L",F476="S",F476="I"),-1,1),"")</f>
        <v/>
      </c>
      <c r="AM476" s="1030">
        <f t="shared" si="44"/>
        <v>-2900.94</v>
      </c>
      <c r="AN476" s="1030">
        <f>INDEX(G476:R476,1,MATCH(Parametres!$B$3,G$1:R$1,0))*IF(OR(F476="L",F476="S",F476="I"),-1,1)</f>
        <v>-2900.94</v>
      </c>
      <c r="AO476" s="598" t="str">
        <f>+VLOOKUP($AJ476,Data_Validation!$A:$D,1,0)</f>
        <v>H22416</v>
      </c>
      <c r="AP476" s="598" t="str">
        <f>+VLOOKUP($AJ476,Data_Validation!$A:$D,3,0)</f>
        <v>Bilan</v>
      </c>
      <c r="AQ476" s="598" t="str">
        <f>+VLOOKUP($AJ476,Data_Validation!$A:$D,4,0)</f>
        <v>Autres Courus</v>
      </c>
      <c r="AR476" s="598" t="s">
        <v>299</v>
      </c>
      <c r="AS476" s="598">
        <f>+VLOOKUP($AJ476,Data_Validation!$A:$E,5,0)</f>
        <v>0</v>
      </c>
      <c r="AT476" s="1036" t="str">
        <f t="shared" si="45"/>
        <v>H22416</v>
      </c>
      <c r="AU476" s="599" t="str">
        <f t="shared" si="46"/>
        <v>RESERVE DOMMAGE SERVICE</v>
      </c>
      <c r="AV476" s="1030" t="str">
        <f>IFERROR(INDEX(V476:AG476,1,MATCH(Parametres!$B$3,V$1:AG$1,0)-1)*IF(OR(C476="L",C476="S",C476="I"),-1,1),"")</f>
        <v/>
      </c>
      <c r="AW476" s="1030">
        <f t="shared" si="47"/>
        <v>0</v>
      </c>
      <c r="AX476" s="1030">
        <f>INDEX(V476:AG476,1,MATCH(Parametres!$B$3,V$1:AG$1,0))*IF(OR(C476="L",C476="S",C476="I"),-1,1)</f>
        <v>0</v>
      </c>
      <c r="AY476" s="598" t="s">
        <v>337</v>
      </c>
      <c r="AZ476" s="598">
        <f>+VLOOKUP($AJ476,Data_Validation!$A:$E,5,0)</f>
        <v>0</v>
      </c>
    </row>
    <row r="477" spans="1:52" ht="15" customHeight="1">
      <c r="A477" s="832" t="s">
        <v>1150</v>
      </c>
      <c r="B477" s="832">
        <v>2026</v>
      </c>
      <c r="C477" s="832" t="s">
        <v>2094</v>
      </c>
      <c r="D477" s="832" t="s">
        <v>2095</v>
      </c>
      <c r="E477" s="832" t="s">
        <v>333</v>
      </c>
      <c r="F477" s="832" t="s">
        <v>1153</v>
      </c>
      <c r="G477" s="832">
        <v>16500</v>
      </c>
      <c r="H477" s="832">
        <v>18000</v>
      </c>
      <c r="I477" s="832">
        <v>19500</v>
      </c>
      <c r="J477" s="832">
        <v>21000</v>
      </c>
      <c r="K477" s="832">
        <v>21000</v>
      </c>
      <c r="L477" s="832">
        <v>21000</v>
      </c>
      <c r="M477" s="832">
        <v>21000</v>
      </c>
      <c r="N477" s="832">
        <v>21000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H22417</v>
      </c>
      <c r="AK477" s="1030" t="str">
        <f t="shared" si="49"/>
        <v>RESERVE PARTY-EMPLOYES</v>
      </c>
      <c r="AL477" s="1030" t="str">
        <f>IFERROR(INDEX(G477:R477,1,MATCH(Parametres!$B$3,G$1:R$1,0)-1)*IF(OR(F477="L",F477="S",F477="I"),-1,1),"")</f>
        <v/>
      </c>
      <c r="AM477" s="1030">
        <f t="shared" si="44"/>
        <v>-16500</v>
      </c>
      <c r="AN477" s="1030">
        <f>INDEX(G477:R477,1,MATCH(Parametres!$B$3,G$1:R$1,0))*IF(OR(F477="L",F477="S",F477="I"),-1,1)</f>
        <v>-16500</v>
      </c>
      <c r="AO477" s="598" t="str">
        <f>+VLOOKUP($AJ477,Data_Validation!$A:$D,1,0)</f>
        <v>H22417</v>
      </c>
      <c r="AP477" s="598" t="str">
        <f>+VLOOKUP($AJ477,Data_Validation!$A:$D,3,0)</f>
        <v>Bilan</v>
      </c>
      <c r="AQ477" s="598" t="str">
        <f>+VLOOKUP($AJ477,Data_Validation!$A:$D,4,0)</f>
        <v>Autres Courus</v>
      </c>
      <c r="AR477" s="598" t="s">
        <v>299</v>
      </c>
      <c r="AS477" s="598">
        <f>+VLOOKUP($AJ477,Data_Validation!$A:$E,5,0)</f>
        <v>0</v>
      </c>
      <c r="AT477" s="1036" t="str">
        <f t="shared" si="45"/>
        <v>H22417</v>
      </c>
      <c r="AU477" s="599" t="str">
        <f t="shared" si="46"/>
        <v>RESERVE PARTY-EMPLOYES</v>
      </c>
      <c r="AV477" s="1030" t="str">
        <f>IFERROR(INDEX(V477:AG477,1,MATCH(Parametres!$B$3,V$1:AG$1,0)-1)*IF(OR(C477="L",C477="S",C477="I"),-1,1),"")</f>
        <v/>
      </c>
      <c r="AW477" s="1030">
        <f t="shared" si="47"/>
        <v>0</v>
      </c>
      <c r="AX477" s="1030">
        <f>INDEX(V477:AG477,1,MATCH(Parametres!$B$3,V$1:AG$1,0))*IF(OR(C477="L",C477="S",C477="I"),-1,1)</f>
        <v>0</v>
      </c>
      <c r="AY477" s="598" t="s">
        <v>337</v>
      </c>
      <c r="AZ477" s="598">
        <f>+VLOOKUP($AJ477,Data_Validation!$A:$E,5,0)</f>
        <v>0</v>
      </c>
    </row>
    <row r="478" spans="1:52" ht="15" customHeight="1">
      <c r="A478" s="832" t="s">
        <v>1150</v>
      </c>
      <c r="B478" s="832">
        <v>2026</v>
      </c>
      <c r="C478" s="832" t="s">
        <v>2096</v>
      </c>
      <c r="D478" s="832" t="s">
        <v>2097</v>
      </c>
      <c r="E478" s="832" t="s">
        <v>1813</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H22420</v>
      </c>
      <c r="AK478" s="1030" t="str">
        <f t="shared" si="49"/>
        <v>PROGRAMME ENTRETIEN</v>
      </c>
      <c r="AL478" s="1030" t="str">
        <f>IFERROR(INDEX(G478:R478,1,MATCH(Parametres!$B$3,G$1:R$1,0)-1)*IF(OR(F478="L",F478="S",F478="I"),-1,1),"")</f>
        <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H22420</v>
      </c>
      <c r="AU478" s="599" t="str">
        <f t="shared" si="46"/>
        <v>PROGRAMME ENTRETIEN</v>
      </c>
      <c r="AV478" s="1030" t="str">
        <f>IFERROR(INDEX(V478:AG478,1,MATCH(Parametres!$B$3,V$1:AG$1,0)-1)*IF(OR(C478="L",C478="S",C478="I"),-1,1),"")</f>
        <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2026</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H22430</v>
      </c>
      <c r="AK479" s="1030" t="str">
        <f t="shared" si="49"/>
        <v>DEDUCTIBLE DEMOS</v>
      </c>
      <c r="AL479" s="1030" t="str">
        <f>IFERROR(INDEX(G479:R479,1,MATCH(Parametres!$B$3,G$1:R$1,0)-1)*IF(OR(F479="L",F479="S",F479="I"),-1,1),"")</f>
        <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H22430</v>
      </c>
      <c r="AU479" s="599" t="str">
        <f t="shared" si="46"/>
        <v>DEDUCTIBLE DEMOS</v>
      </c>
      <c r="AV479" s="1030" t="str">
        <f>IFERROR(INDEX(V479:AG479,1,MATCH(Parametres!$B$3,V$1:AG$1,0)-1)*IF(OR(C479="L",C479="S",C479="I"),-1,1),"")</f>
        <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2026</v>
      </c>
      <c r="C480" s="832" t="s">
        <v>2100</v>
      </c>
      <c r="D480" s="832" t="s">
        <v>2101</v>
      </c>
      <c r="E480" s="832" t="s">
        <v>1854</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H22440</v>
      </c>
      <c r="AK480" s="1030" t="str">
        <f t="shared" si="49"/>
        <v>RES FRAIS DEMO FONC</v>
      </c>
      <c r="AL480" s="1030" t="str">
        <f>IFERROR(INDEX(G480:R480,1,MATCH(Parametres!$B$3,G$1:R$1,0)-1)*IF(OR(F480="L",F480="S",F480="I"),-1,1),"")</f>
        <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H22440</v>
      </c>
      <c r="AU480" s="599" t="str">
        <f t="shared" si="46"/>
        <v>RES FRAIS DEMO FONC</v>
      </c>
      <c r="AV480" s="1030" t="str">
        <f>IFERROR(INDEX(V480:AG480,1,MATCH(Parametres!$B$3,V$1:AG$1,0)-1)*IF(OR(C480="L",C480="S",C480="I"),-1,1),"")</f>
        <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2026</v>
      </c>
      <c r="C481" s="832" t="s">
        <v>2102</v>
      </c>
      <c r="D481" s="832" t="s">
        <v>2103</v>
      </c>
      <c r="E481" s="832" t="s">
        <v>333</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H22450</v>
      </c>
      <c r="AK481" s="1030" t="str">
        <f t="shared" si="49"/>
        <v>TAXES</v>
      </c>
      <c r="AL481" s="1030" t="str">
        <f>IFERROR(INDEX(G481:R481,1,MATCH(Parametres!$B$3,G$1:R$1,0)-1)*IF(OR(F481="L",F481="S",F481="I"),-1,1),"")</f>
        <v/>
      </c>
      <c r="AM481" s="1030">
        <f t="shared" si="44"/>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t="str">
        <f t="shared" si="45"/>
        <v>H22450</v>
      </c>
      <c r="AU481" s="599" t="str">
        <f t="shared" si="46"/>
        <v>TAXES</v>
      </c>
      <c r="AV481" s="1030" t="str">
        <f>IFERROR(INDEX(V481:AG481,1,MATCH(Parametres!$B$3,V$1:AG$1,0)-1)*IF(OR(C481="L",C481="S",C481="I"),-1,1),"")</f>
        <v/>
      </c>
      <c r="AW481" s="1030">
        <f t="shared" si="47"/>
        <v>0</v>
      </c>
      <c r="AX481" s="1030">
        <f>INDEX(V481:AG481,1,MATCH(Parametres!$B$3,V$1:AG$1,0))*IF(OR(C481="L",C481="S",C481="I"),-1,1)</f>
        <v>0</v>
      </c>
      <c r="AY481" s="598" t="s">
        <v>337</v>
      </c>
      <c r="AZ481" s="598" t="e">
        <f>+VLOOKUP($AJ481,Data_Validation!$A:$E,5,0)</f>
        <v>#N/A</v>
      </c>
    </row>
    <row r="482" spans="1:52" ht="15" customHeight="1">
      <c r="A482" s="832" t="s">
        <v>1150</v>
      </c>
      <c r="B482" s="832">
        <v>2026</v>
      </c>
      <c r="C482" s="832" t="s">
        <v>2104</v>
      </c>
      <c r="D482" s="832" t="s">
        <v>2105</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H22460</v>
      </c>
      <c r="AK482" s="1030" t="str">
        <f t="shared" si="49"/>
        <v>ASSURANCES</v>
      </c>
      <c r="AL482" s="1030" t="str">
        <f>IFERROR(INDEX(G482:R482,1,MATCH(Parametres!$B$3,G$1:R$1,0)-1)*IF(OR(F482="L",F482="S",F482="I"),-1,1),"")</f>
        <v/>
      </c>
      <c r="AM482" s="1030">
        <f t="shared" si="44"/>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t="str">
        <f t="shared" si="45"/>
        <v>H22460</v>
      </c>
      <c r="AU482" s="599" t="str">
        <f t="shared" si="46"/>
        <v>ASSURANCES</v>
      </c>
      <c r="AV482" s="1030" t="str">
        <f>IFERROR(INDEX(V482:AG482,1,MATCH(Parametres!$B$3,V$1:AG$1,0)-1)*IF(OR(C482="L",C482="S",C482="I"),-1,1),"")</f>
        <v/>
      </c>
      <c r="AW482" s="1030">
        <f t="shared" si="47"/>
        <v>0</v>
      </c>
      <c r="AX482" s="1030">
        <f>INDEX(V482:AG482,1,MATCH(Parametres!$B$3,V$1:AG$1,0))*IF(OR(C482="L",C482="S",C482="I"),-1,1)</f>
        <v>0</v>
      </c>
      <c r="AY482" s="598" t="s">
        <v>337</v>
      </c>
      <c r="AZ482" s="598" t="e">
        <f>+VLOOKUP($AJ482,Data_Validation!$A:$E,5,0)</f>
        <v>#N/A</v>
      </c>
    </row>
    <row r="483" spans="1:52" ht="15" customHeight="1">
      <c r="A483" s="832" t="s">
        <v>1150</v>
      </c>
      <c r="B483" s="832">
        <v>2026</v>
      </c>
      <c r="C483" s="832" t="s">
        <v>2106</v>
      </c>
      <c r="D483" s="832" t="s">
        <v>2107</v>
      </c>
      <c r="E483" s="832" t="s">
        <v>1813</v>
      </c>
      <c r="F483" s="832" t="s">
        <v>1153</v>
      </c>
      <c r="G483" s="832">
        <v>12860.25</v>
      </c>
      <c r="H483" s="832">
        <v>2626.79</v>
      </c>
      <c r="I483" s="832">
        <v>-1020.74</v>
      </c>
      <c r="J483" s="832">
        <v>-4343.63</v>
      </c>
      <c r="K483" s="832">
        <v>-6942.76</v>
      </c>
      <c r="L483" s="832">
        <v>-6942.76</v>
      </c>
      <c r="M483" s="832">
        <v>-6942.76</v>
      </c>
      <c r="N483" s="832">
        <v>-6942.76</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H22490</v>
      </c>
      <c r="AK483" s="1030" t="str">
        <f t="shared" si="49"/>
        <v>ACCESS VENDU NON INSTALLÉ</v>
      </c>
      <c r="AL483" s="1030" t="str">
        <f>IFERROR(INDEX(G483:R483,1,MATCH(Parametres!$B$3,G$1:R$1,0)-1)*IF(OR(F483="L",F483="S",F483="I"),-1,1),"")</f>
        <v/>
      </c>
      <c r="AM483" s="1030">
        <f t="shared" si="44"/>
        <v>-12860.25</v>
      </c>
      <c r="AN483" s="1030">
        <f>INDEX(G483:R483,1,MATCH(Parametres!$B$3,G$1:R$1,0))*IF(OR(F483="L",F483="S",F483="I"),-1,1)</f>
        <v>-12860.25</v>
      </c>
      <c r="AO483" s="598" t="str">
        <f>+VLOOKUP($AJ483,Data_Validation!$A:$D,1,0)</f>
        <v>H22490</v>
      </c>
      <c r="AP483" s="598" t="str">
        <f>+VLOOKUP($AJ483,Data_Validation!$A:$D,3,0)</f>
        <v>Bilan</v>
      </c>
      <c r="AQ483" s="598" t="str">
        <f>+VLOOKUP($AJ483,Data_Validation!$A:$D,4,0)</f>
        <v>Autres Courus</v>
      </c>
      <c r="AR483" s="598" t="s">
        <v>299</v>
      </c>
      <c r="AS483" s="598">
        <f>+VLOOKUP($AJ483,Data_Validation!$A:$E,5,0)</f>
        <v>0</v>
      </c>
      <c r="AT483" s="1036" t="str">
        <f t="shared" si="45"/>
        <v>H22490</v>
      </c>
      <c r="AU483" s="599" t="str">
        <f t="shared" si="46"/>
        <v>ACCESS VENDU NON INSTALLÉ</v>
      </c>
      <c r="AV483" s="1030" t="str">
        <f>IFERROR(INDEX(V483:AG483,1,MATCH(Parametres!$B$3,V$1:AG$1,0)-1)*IF(OR(C483="L",C483="S",C483="I"),-1,1),"")</f>
        <v/>
      </c>
      <c r="AW483" s="1030">
        <f t="shared" si="47"/>
        <v>0</v>
      </c>
      <c r="AX483" s="1030">
        <f>INDEX(V483:AG483,1,MATCH(Parametres!$B$3,V$1:AG$1,0))*IF(OR(C483="L",C483="S",C483="I"),-1,1)</f>
        <v>0</v>
      </c>
      <c r="AY483" s="598" t="s">
        <v>337</v>
      </c>
      <c r="AZ483" s="598">
        <f>+VLOOKUP($AJ483,Data_Validation!$A:$E,5,0)</f>
        <v>0</v>
      </c>
    </row>
    <row r="484" spans="1:52" ht="15" customHeight="1">
      <c r="A484" s="832" t="s">
        <v>1150</v>
      </c>
      <c r="B484" s="832">
        <v>2026</v>
      </c>
      <c r="C484" s="832" t="s">
        <v>2108</v>
      </c>
      <c r="D484" s="832" t="s">
        <v>2109</v>
      </c>
      <c r="E484" s="832" t="s">
        <v>333</v>
      </c>
      <c r="F484" s="832" t="s">
        <v>1153</v>
      </c>
      <c r="G484" s="832">
        <v>70890.990000000005</v>
      </c>
      <c r="H484" s="832">
        <v>67581.73</v>
      </c>
      <c r="I484" s="832">
        <v>88392.13</v>
      </c>
      <c r="J484" s="832">
        <v>30405.37</v>
      </c>
      <c r="K484" s="832">
        <v>30405.37</v>
      </c>
      <c r="L484" s="832">
        <v>30405.37</v>
      </c>
      <c r="M484" s="832">
        <v>30405.37</v>
      </c>
      <c r="N484" s="832">
        <v>30405.37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v>
      </c>
      <c r="AK484" s="1030" t="str">
        <f t="shared" si="49"/>
        <v>PAIE NET A PAYER</v>
      </c>
      <c r="AL484" s="1030" t="str">
        <f>IFERROR(INDEX(G484:R484,1,MATCH(Parametres!$B$3,G$1:R$1,0)-1)*IF(OR(F484="L",F484="S",F484="I"),-1,1),"")</f>
        <v/>
      </c>
      <c r="AM484" s="1030">
        <f t="shared" si="44"/>
        <v>-70890.990000000005</v>
      </c>
      <c r="AN484" s="1030">
        <f>INDEX(G484:R484,1,MATCH(Parametres!$B$3,G$1:R$1,0))*IF(OR(F484="L",F484="S",F484="I"),-1,1)</f>
        <v>-70890.990000000005</v>
      </c>
      <c r="AO484" s="598" t="str">
        <f>+VLOOKUP($AJ484,Data_Validation!$A:$D,1,0)</f>
        <v>H22500</v>
      </c>
      <c r="AP484" s="598" t="str">
        <f>+VLOOKUP($AJ484,Data_Validation!$A:$D,3,0)</f>
        <v>Bilan</v>
      </c>
      <c r="AQ484" s="598" t="str">
        <f>+VLOOKUP($AJ484,Data_Validation!$A:$D,4,0)</f>
        <v>Salaires à Payer</v>
      </c>
      <c r="AR484" s="598" t="s">
        <v>299</v>
      </c>
      <c r="AS484" s="598">
        <f>+VLOOKUP($AJ484,Data_Validation!$A:$E,5,0)</f>
        <v>0</v>
      </c>
      <c r="AT484" s="1036" t="str">
        <f t="shared" si="45"/>
        <v>H22500</v>
      </c>
      <c r="AU484" s="599" t="str">
        <f t="shared" si="46"/>
        <v>PAIE NET A PAYER</v>
      </c>
      <c r="AV484" s="1030" t="str">
        <f>IFERROR(INDEX(V484:AG484,1,MATCH(Parametres!$B$3,V$1:AG$1,0)-1)*IF(OR(C484="L",C484="S",C484="I"),-1,1),"")</f>
        <v/>
      </c>
      <c r="AW484" s="1030">
        <f t="shared" si="47"/>
        <v>0</v>
      </c>
      <c r="AX484" s="1030">
        <f>INDEX(V484:AG484,1,MATCH(Parametres!$B$3,V$1:AG$1,0))*IF(OR(C484="L",C484="S",C484="I"),-1,1)</f>
        <v>0</v>
      </c>
      <c r="AY484" s="598" t="s">
        <v>337</v>
      </c>
      <c r="AZ484" s="598">
        <f>+VLOOKUP($AJ484,Data_Validation!$A:$E,5,0)</f>
        <v>0</v>
      </c>
    </row>
    <row r="485" spans="1:52" ht="15" customHeight="1">
      <c r="A485" s="832" t="s">
        <v>1150</v>
      </c>
      <c r="B485" s="832">
        <v>2026</v>
      </c>
      <c r="C485" s="832" t="s">
        <v>2110</v>
      </c>
      <c r="D485" s="832" t="s">
        <v>2111</v>
      </c>
      <c r="E485" s="832" t="s">
        <v>1119</v>
      </c>
      <c r="F485" s="832" t="s">
        <v>1153</v>
      </c>
      <c r="G485" s="832">
        <v>0</v>
      </c>
      <c r="H485" s="832">
        <v>0</v>
      </c>
      <c r="I485" s="832">
        <v>0</v>
      </c>
      <c r="J485" s="832">
        <v>0</v>
      </c>
      <c r="K485" s="832">
        <v>0</v>
      </c>
      <c r="L485" s="832">
        <v>0</v>
      </c>
      <c r="M485" s="832">
        <v>0</v>
      </c>
      <c r="N485" s="832">
        <v>0</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H22500E</v>
      </c>
      <c r="AK485" s="1030" t="str">
        <f t="shared" si="49"/>
        <v>SALAIRES A PAYER - IN/OUT</v>
      </c>
      <c r="AL485" s="1030" t="str">
        <f>IFERROR(INDEX(G485:R485,1,MATCH(Parametres!$B$3,G$1:R$1,0)-1)*IF(OR(F485="L",F485="S",F485="I"),-1,1),"")</f>
        <v/>
      </c>
      <c r="AM485" s="1030">
        <f t="shared" si="44"/>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t="str">
        <f t="shared" si="45"/>
        <v>H22500E</v>
      </c>
      <c r="AU485" s="599" t="str">
        <f t="shared" si="46"/>
        <v>SALAIRES A PAYER - IN/OUT</v>
      </c>
      <c r="AV485" s="1030" t="str">
        <f>IFERROR(INDEX(V485:AG485,1,MATCH(Parametres!$B$3,V$1:AG$1,0)-1)*IF(OR(C485="L",C485="S",C485="I"),-1,1),"")</f>
        <v/>
      </c>
      <c r="AW485" s="1030">
        <f t="shared" si="47"/>
        <v>0</v>
      </c>
      <c r="AX485" s="1030">
        <f>INDEX(V485:AG485,1,MATCH(Parametres!$B$3,V$1:AG$1,0))*IF(OR(C485="L",C485="S",C485="I"),-1,1)</f>
        <v>0</v>
      </c>
      <c r="AY485" s="598" t="s">
        <v>337</v>
      </c>
      <c r="AZ485" s="598" t="e">
        <f>+VLOOKUP($AJ485,Data_Validation!$A:$E,5,0)</f>
        <v>#N/A</v>
      </c>
    </row>
    <row r="486" spans="1:52" ht="15" customHeight="1">
      <c r="A486" s="832" t="s">
        <v>1150</v>
      </c>
      <c r="B486" s="832">
        <v>2026</v>
      </c>
      <c r="C486" s="832" t="s">
        <v>2112</v>
      </c>
      <c r="D486" s="832" t="s">
        <v>2113</v>
      </c>
      <c r="E486" s="832" t="s">
        <v>2114</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H22500G</v>
      </c>
      <c r="AK486" s="1030" t="str">
        <f t="shared" si="49"/>
        <v>DEDUCTIONS A PAYER/IN-OUT</v>
      </c>
      <c r="AL486" s="1030" t="str">
        <f>IFERROR(INDEX(G486:R486,1,MATCH(Parametres!$B$3,G$1:R$1,0)-1)*IF(OR(F486="L",F486="S",F486="I"),-1,1),"")</f>
        <v/>
      </c>
      <c r="AM486" s="1030">
        <f t="shared" si="44"/>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t="str">
        <f t="shared" si="45"/>
        <v>H22500G</v>
      </c>
      <c r="AU486" s="599" t="str">
        <f t="shared" si="46"/>
        <v>DEDUCTIONS A PAYER/IN-OUT</v>
      </c>
      <c r="AV486" s="1030" t="str">
        <f>IFERROR(INDEX(V486:AG486,1,MATCH(Parametres!$B$3,V$1:AG$1,0)-1)*IF(OR(C486="L",C486="S",C486="I"),-1,1),"")</f>
        <v/>
      </c>
      <c r="AW486" s="1030">
        <f t="shared" si="47"/>
        <v>0</v>
      </c>
      <c r="AX486" s="1030">
        <f>INDEX(V486:AG486,1,MATCH(Parametres!$B$3,V$1:AG$1,0))*IF(OR(C486="L",C486="S",C486="I"),-1,1)</f>
        <v>0</v>
      </c>
      <c r="AY486" s="598" t="s">
        <v>337</v>
      </c>
      <c r="AZ486" s="598" t="e">
        <f>+VLOOKUP($AJ486,Data_Validation!$A:$E,5,0)</f>
        <v>#N/A</v>
      </c>
    </row>
    <row r="487" spans="1:52" ht="15" customHeight="1">
      <c r="A487" s="832" t="s">
        <v>1150</v>
      </c>
      <c r="B487" s="832">
        <v>2026</v>
      </c>
      <c r="C487" s="832" t="s">
        <v>2115</v>
      </c>
      <c r="D487" s="832" t="s">
        <v>2116</v>
      </c>
      <c r="E487" s="832" t="s">
        <v>333</v>
      </c>
      <c r="F487" s="832" t="s">
        <v>1153</v>
      </c>
      <c r="G487" s="832">
        <v>176452.86</v>
      </c>
      <c r="H487" s="832">
        <v>182190.04</v>
      </c>
      <c r="I487" s="832">
        <v>177012.56</v>
      </c>
      <c r="J487" s="832">
        <v>184889.52</v>
      </c>
      <c r="K487" s="832">
        <v>172299.51</v>
      </c>
      <c r="L487" s="832">
        <v>172299.51</v>
      </c>
      <c r="M487" s="832">
        <v>172299.51</v>
      </c>
      <c r="N487" s="832">
        <v>172299.51</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H22600</v>
      </c>
      <c r="AK487" s="1030" t="str">
        <f t="shared" si="49"/>
        <v>VACANCES &amp; CONGES A PAYES</v>
      </c>
      <c r="AL487" s="1030" t="str">
        <f>IFERROR(INDEX(G487:R487,1,MATCH(Parametres!$B$3,G$1:R$1,0)-1)*IF(OR(F487="L",F487="S",F487="I"),-1,1),"")</f>
        <v/>
      </c>
      <c r="AM487" s="1030">
        <f t="shared" si="44"/>
        <v>-176452.86</v>
      </c>
      <c r="AN487" s="1030">
        <f>INDEX(G487:R487,1,MATCH(Parametres!$B$3,G$1:R$1,0))*IF(OR(F487="L",F487="S",F487="I"),-1,1)</f>
        <v>-176452.86</v>
      </c>
      <c r="AO487" s="598" t="str">
        <f>+VLOOKUP($AJ487,Data_Validation!$A:$D,1,0)</f>
        <v>H22600</v>
      </c>
      <c r="AP487" s="598" t="str">
        <f>+VLOOKUP($AJ487,Data_Validation!$A:$D,3,0)</f>
        <v>Bilan</v>
      </c>
      <c r="AQ487" s="598" t="str">
        <f>+VLOOKUP($AJ487,Data_Validation!$A:$D,4,0)</f>
        <v>Salaires à Payer</v>
      </c>
      <c r="AR487" s="598" t="s">
        <v>299</v>
      </c>
      <c r="AS487" s="598">
        <f>+VLOOKUP($AJ487,Data_Validation!$A:$E,5,0)</f>
        <v>0</v>
      </c>
      <c r="AT487" s="1036" t="str">
        <f t="shared" si="45"/>
        <v>H22600</v>
      </c>
      <c r="AU487" s="599" t="str">
        <f t="shared" si="46"/>
        <v>VACANCES &amp; CONGES A PAYES</v>
      </c>
      <c r="AV487" s="1030" t="str">
        <f>IFERROR(INDEX(V487:AG487,1,MATCH(Parametres!$B$3,V$1:AG$1,0)-1)*IF(OR(C487="L",C487="S",C487="I"),-1,1),"")</f>
        <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2026</v>
      </c>
      <c r="C488" s="832" t="s">
        <v>2117</v>
      </c>
      <c r="D488" s="832" t="s">
        <v>2118</v>
      </c>
      <c r="E488" s="832" t="s">
        <v>333</v>
      </c>
      <c r="F488" s="832" t="s">
        <v>1153</v>
      </c>
      <c r="G488" s="832">
        <v>-1165.54</v>
      </c>
      <c r="H488" s="832">
        <v>-1165.54</v>
      </c>
      <c r="I488" s="832">
        <v>-1165.54</v>
      </c>
      <c r="J488" s="832">
        <v>-1165.54</v>
      </c>
      <c r="K488" s="832">
        <v>-1165.54</v>
      </c>
      <c r="L488" s="832">
        <v>-1165.54</v>
      </c>
      <c r="M488" s="832">
        <v>-1165.54</v>
      </c>
      <c r="N488" s="832">
        <v>-1165.54</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H22700</v>
      </c>
      <c r="AK488" s="1030" t="str">
        <f t="shared" si="49"/>
        <v>INTERETS COURUS</v>
      </c>
      <c r="AL488" s="1030" t="str">
        <f>IFERROR(INDEX(G488:R488,1,MATCH(Parametres!$B$3,G$1:R$1,0)-1)*IF(OR(F488="L",F488="S",F488="I"),-1,1),"")</f>
        <v/>
      </c>
      <c r="AM488" s="1030">
        <f t="shared" si="44"/>
        <v>1165.54</v>
      </c>
      <c r="AN488" s="1030">
        <f>INDEX(G488:R488,1,MATCH(Parametres!$B$3,G$1:R$1,0))*IF(OR(F488="L",F488="S",F488="I"),-1,1)</f>
        <v>1165.54</v>
      </c>
      <c r="AO488" s="598" t="str">
        <f>+VLOOKUP($AJ488,Data_Validation!$A:$D,1,0)</f>
        <v>H22700</v>
      </c>
      <c r="AP488" s="598" t="str">
        <f>+VLOOKUP($AJ488,Data_Validation!$A:$D,3,0)</f>
        <v>Bilan</v>
      </c>
      <c r="AQ488" s="598" t="str">
        <f>+VLOOKUP($AJ488,Data_Validation!$A:$D,4,0)</f>
        <v>Autres Courus</v>
      </c>
      <c r="AR488" s="598" t="s">
        <v>299</v>
      </c>
      <c r="AS488" s="598">
        <f>+VLOOKUP($AJ488,Data_Validation!$A:$E,5,0)</f>
        <v>0</v>
      </c>
      <c r="AT488" s="1036" t="str">
        <f t="shared" si="45"/>
        <v>H22700</v>
      </c>
      <c r="AU488" s="599" t="str">
        <f t="shared" si="46"/>
        <v>INTERETS COURUS</v>
      </c>
      <c r="AV488" s="1030" t="str">
        <f>IFERROR(INDEX(V488:AG488,1,MATCH(Parametres!$B$3,V$1:AG$1,0)-1)*IF(OR(C488="L",C488="S",C488="I"),-1,1),"")</f>
        <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2026</v>
      </c>
      <c r="C489" s="832" t="s">
        <v>2119</v>
      </c>
      <c r="D489" s="832" t="s">
        <v>2120</v>
      </c>
      <c r="E489" s="832" t="s">
        <v>333</v>
      </c>
      <c r="F489" s="832" t="s">
        <v>1153</v>
      </c>
      <c r="G489" s="832">
        <v>-32651.42</v>
      </c>
      <c r="H489" s="832">
        <v>-32651.42</v>
      </c>
      <c r="I489" s="832">
        <v>-32651.42</v>
      </c>
      <c r="J489" s="832">
        <v>-32651.42</v>
      </c>
      <c r="K489" s="832">
        <v>-32651.42</v>
      </c>
      <c r="L489" s="832">
        <v>-32651.42</v>
      </c>
      <c r="M489" s="832">
        <v>-32651.42</v>
      </c>
      <c r="N489" s="832">
        <v>-32651.42</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H22800</v>
      </c>
      <c r="AK489" s="1030" t="str">
        <f t="shared" si="49"/>
        <v>RESERVE DIVERS</v>
      </c>
      <c r="AL489" s="1030" t="str">
        <f>IFERROR(INDEX(G489:R489,1,MATCH(Parametres!$B$3,G$1:R$1,0)-1)*IF(OR(F489="L",F489="S",F489="I"),-1,1),"")</f>
        <v/>
      </c>
      <c r="AM489" s="1030">
        <f t="shared" si="44"/>
        <v>32651.42</v>
      </c>
      <c r="AN489" s="1030">
        <f>INDEX(G489:R489,1,MATCH(Parametres!$B$3,G$1:R$1,0))*IF(OR(F489="L",F489="S",F489="I"),-1,1)</f>
        <v>32651.42</v>
      </c>
      <c r="AO489" s="598" t="str">
        <f>+VLOOKUP($AJ489,Data_Validation!$A:$D,1,0)</f>
        <v>H22800</v>
      </c>
      <c r="AP489" s="598" t="str">
        <f>+VLOOKUP($AJ489,Data_Validation!$A:$D,3,0)</f>
        <v>Bilan</v>
      </c>
      <c r="AQ489" s="598" t="str">
        <f>+VLOOKUP($AJ489,Data_Validation!$A:$D,4,0)</f>
        <v>Autres Courus</v>
      </c>
      <c r="AR489" s="598" t="s">
        <v>299</v>
      </c>
      <c r="AS489" s="598">
        <f>+VLOOKUP($AJ489,Data_Validation!$A:$E,5,0)</f>
        <v>0</v>
      </c>
      <c r="AT489" s="1036" t="str">
        <f t="shared" si="45"/>
        <v>H22800</v>
      </c>
      <c r="AU489" s="599" t="str">
        <f t="shared" si="46"/>
        <v>RESERVE DIVERS</v>
      </c>
      <c r="AV489" s="1030" t="str">
        <f>IFERROR(INDEX(V489:AG489,1,MATCH(Parametres!$B$3,V$1:AG$1,0)-1)*IF(OR(C489="L",C489="S",C489="I"),-1,1),"")</f>
        <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2026</v>
      </c>
      <c r="C490" s="832" t="s">
        <v>2121</v>
      </c>
      <c r="D490" s="832" t="s">
        <v>2122</v>
      </c>
      <c r="E490" s="832" t="s">
        <v>1813</v>
      </c>
      <c r="F490" s="832" t="s">
        <v>1153</v>
      </c>
      <c r="G490" s="832">
        <v>0</v>
      </c>
      <c r="H490" s="832">
        <v>0</v>
      </c>
      <c r="I490" s="832">
        <v>200</v>
      </c>
      <c r="J490" s="832">
        <v>200</v>
      </c>
      <c r="K490" s="832">
        <v>200</v>
      </c>
      <c r="L490" s="832">
        <v>200</v>
      </c>
      <c r="M490" s="832">
        <v>200</v>
      </c>
      <c r="N490" s="832">
        <v>200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H22810</v>
      </c>
      <c r="AK490" s="1030" t="str">
        <f t="shared" si="49"/>
        <v>RESERVE WHOLESALE WH</v>
      </c>
      <c r="AL490" s="1030" t="str">
        <f>IFERROR(INDEX(G490:R490,1,MATCH(Parametres!$B$3,G$1:R$1,0)-1)*IF(OR(F490="L",F490="S",F490="I"),-1,1),"")</f>
        <v/>
      </c>
      <c r="AM490" s="1030">
        <f t="shared" si="44"/>
        <v>0</v>
      </c>
      <c r="AN490" s="1030">
        <f>INDEX(G490:R490,1,MATCH(Parametres!$B$3,G$1:R$1,0))*IF(OR(F490="L",F490="S",F490="I"),-1,1)</f>
        <v>0</v>
      </c>
      <c r="AO490" s="598" t="str">
        <f>+VLOOKUP($AJ490,Data_Validation!$A:$D,1,0)</f>
        <v>H22810</v>
      </c>
      <c r="AP490" s="598" t="str">
        <f>+VLOOKUP($AJ490,Data_Validation!$A:$D,3,0)</f>
        <v>Bilan</v>
      </c>
      <c r="AQ490" s="598" t="str">
        <f>+VLOOKUP($AJ490,Data_Validation!$A:$D,4,0)</f>
        <v>Autres Courus</v>
      </c>
      <c r="AR490" s="598" t="s">
        <v>299</v>
      </c>
      <c r="AS490" s="598">
        <f>+VLOOKUP($AJ490,Data_Validation!$A:$E,5,0)</f>
        <v>0</v>
      </c>
      <c r="AT490" s="1036" t="str">
        <f t="shared" si="45"/>
        <v>H22810</v>
      </c>
      <c r="AU490" s="599" t="str">
        <f t="shared" si="46"/>
        <v>RESERVE WHOLESALE WH</v>
      </c>
      <c r="AV490" s="1030" t="str">
        <f>IFERROR(INDEX(V490:AG490,1,MATCH(Parametres!$B$3,V$1:AG$1,0)-1)*IF(OR(C490="L",C490="S",C490="I"),-1,1),"")</f>
        <v/>
      </c>
      <c r="AW490" s="1030">
        <f t="shared" si="47"/>
        <v>0</v>
      </c>
      <c r="AX490" s="1030">
        <f>INDEX(V490:AG490,1,MATCH(Parametres!$B$3,V$1:AG$1,0))*IF(OR(C490="L",C490="S",C490="I"),-1,1)</f>
        <v>0</v>
      </c>
      <c r="AY490" s="598" t="s">
        <v>337</v>
      </c>
      <c r="AZ490" s="598">
        <f>+VLOOKUP($AJ490,Data_Validation!$A:$E,5,0)</f>
        <v>0</v>
      </c>
    </row>
    <row r="491" spans="1:52" ht="15" customHeight="1">
      <c r="A491" s="832" t="s">
        <v>1150</v>
      </c>
      <c r="B491" s="832">
        <v>2026</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H22820</v>
      </c>
      <c r="AK491" s="1030" t="str">
        <f t="shared" si="49"/>
        <v>RESERVE HPP USED</v>
      </c>
      <c r="AL491" s="1030" t="str">
        <f>IFERROR(INDEX(G491:R491,1,MATCH(Parametres!$B$3,G$1:R$1,0)-1)*IF(OR(F491="L",F491="S",F491="I"),-1,1),"")</f>
        <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H22820</v>
      </c>
      <c r="AU491" s="599" t="str">
        <f t="shared" si="46"/>
        <v>RESERVE HPP USED</v>
      </c>
      <c r="AV491" s="1030" t="str">
        <f>IFERROR(INDEX(V491:AG491,1,MATCH(Parametres!$B$3,V$1:AG$1,0)-1)*IF(OR(C491="L",C491="S",C491="I"),-1,1),"")</f>
        <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2026</v>
      </c>
      <c r="C492" s="832" t="s">
        <v>2125</v>
      </c>
      <c r="D492" s="832" t="s">
        <v>2126</v>
      </c>
      <c r="E492" s="832" t="s">
        <v>336</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H22830</v>
      </c>
      <c r="AK492" s="1030" t="str">
        <f t="shared" si="49"/>
        <v>RESERVE PARE-BRISE/HASARD</v>
      </c>
      <c r="AL492" s="1030" t="str">
        <f>IFERROR(INDEX(G492:R492,1,MATCH(Parametres!$B$3,G$1:R$1,0)-1)*IF(OR(F492="L",F492="S",F492="I"),-1,1),"")</f>
        <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H22830</v>
      </c>
      <c r="AU492" s="599" t="str">
        <f t="shared" si="46"/>
        <v>RESERVE PARE-BRISE/HASARD</v>
      </c>
      <c r="AV492" s="1030" t="str">
        <f>IFERROR(INDEX(V492:AG492,1,MATCH(Parametres!$B$3,V$1:AG$1,0)-1)*IF(OR(C492="L",C492="S",C492="I"),-1,1),"")</f>
        <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2026</v>
      </c>
      <c r="C493" s="832" t="s">
        <v>2127</v>
      </c>
      <c r="D493" s="832" t="s">
        <v>2128</v>
      </c>
      <c r="E493" s="832" t="s">
        <v>1813</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H22840</v>
      </c>
      <c r="AK493" s="1030" t="str">
        <f t="shared" si="49"/>
        <v>RESERVE ENT ESTHETIQUE</v>
      </c>
      <c r="AL493" s="1030" t="str">
        <f>IFERROR(INDEX(G493:R493,1,MATCH(Parametres!$B$3,G$1:R$1,0)-1)*IF(OR(F493="L",F493="S",F493="I"),-1,1),"")</f>
        <v/>
      </c>
      <c r="AM493" s="1030">
        <f t="shared" si="44"/>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t="str">
        <f t="shared" si="45"/>
        <v>H22840</v>
      </c>
      <c r="AU493" s="599" t="str">
        <f t="shared" si="46"/>
        <v>RESERVE ENT ESTHETIQUE</v>
      </c>
      <c r="AV493" s="1030" t="str">
        <f>IFERROR(INDEX(V493:AG493,1,MATCH(Parametres!$B$3,V$1:AG$1,0)-1)*IF(OR(C493="L",C493="S",C493="I"),-1,1),"")</f>
        <v/>
      </c>
      <c r="AW493" s="1030">
        <f t="shared" si="47"/>
        <v>0</v>
      </c>
      <c r="AX493" s="1030">
        <f>INDEX(V493:AG493,1,MATCH(Parametres!$B$3,V$1:AG$1,0))*IF(OR(C493="L",C493="S",C493="I"),-1,1)</f>
        <v>0</v>
      </c>
      <c r="AY493" s="598" t="s">
        <v>337</v>
      </c>
      <c r="AZ493" s="598" t="e">
        <f>+VLOOKUP($AJ493,Data_Validation!$A:$E,5,0)</f>
        <v>#N/A</v>
      </c>
    </row>
    <row r="494" spans="1:52" ht="15" customHeight="1">
      <c r="A494" s="832" t="s">
        <v>1150</v>
      </c>
      <c r="B494" s="832">
        <v>2026</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H22850</v>
      </c>
      <c r="AK494" s="1030" t="str">
        <f t="shared" si="49"/>
        <v>RESERVE PNEUS REMISAGE</v>
      </c>
      <c r="AL494" s="1030" t="str">
        <f>IFERROR(INDEX(G494:R494,1,MATCH(Parametres!$B$3,G$1:R$1,0)-1)*IF(OR(F494="L",F494="S",F494="I"),-1,1),"")</f>
        <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H22850</v>
      </c>
      <c r="AU494" s="599" t="str">
        <f t="shared" si="46"/>
        <v>RESERVE PNEUS REMISAGE</v>
      </c>
      <c r="AV494" s="1030" t="str">
        <f>IFERROR(INDEX(V494:AG494,1,MATCH(Parametres!$B$3,V$1:AG$1,0)-1)*IF(OR(C494="L",C494="S",C494="I"),-1,1),"")</f>
        <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2026</v>
      </c>
      <c r="C495" s="832" t="s">
        <v>2131</v>
      </c>
      <c r="D495" s="832" t="s">
        <v>2132</v>
      </c>
      <c r="E495" s="832" t="s">
        <v>333</v>
      </c>
      <c r="F495" s="832" t="s">
        <v>1153</v>
      </c>
      <c r="G495" s="832">
        <v>-1504</v>
      </c>
      <c r="H495" s="832">
        <v>-1504</v>
      </c>
      <c r="I495" s="832">
        <v>-1504</v>
      </c>
      <c r="J495" s="832">
        <v>-1504</v>
      </c>
      <c r="K495" s="832">
        <v>-1504</v>
      </c>
      <c r="L495" s="832">
        <v>-1504</v>
      </c>
      <c r="M495" s="832">
        <v>-1504</v>
      </c>
      <c r="N495" s="832">
        <v>-1504</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H22860</v>
      </c>
      <c r="AK495" s="1030" t="str">
        <f t="shared" si="49"/>
        <v>RESERVE CORE HYUNDAI INCI</v>
      </c>
      <c r="AL495" s="1030" t="str">
        <f>IFERROR(INDEX(G495:R495,1,MATCH(Parametres!$B$3,G$1:R$1,0)-1)*IF(OR(F495="L",F495="S",F495="I"),-1,1),"")</f>
        <v/>
      </c>
      <c r="AM495" s="1030">
        <f t="shared" si="44"/>
        <v>1504</v>
      </c>
      <c r="AN495" s="1030">
        <f>INDEX(G495:R495,1,MATCH(Parametres!$B$3,G$1:R$1,0))*IF(OR(F495="L",F495="S",F495="I"),-1,1)</f>
        <v>1504</v>
      </c>
      <c r="AO495" s="598" t="str">
        <f>+VLOOKUP($AJ495,Data_Validation!$A:$D,1,0)</f>
        <v>H22860</v>
      </c>
      <c r="AP495" s="598" t="str">
        <f>+VLOOKUP($AJ495,Data_Validation!$A:$D,3,0)</f>
        <v>Bilan</v>
      </c>
      <c r="AQ495" s="598" t="str">
        <f>+VLOOKUP($AJ495,Data_Validation!$A:$D,4,0)</f>
        <v>Autres Courus</v>
      </c>
      <c r="AR495" s="598" t="s">
        <v>299</v>
      </c>
      <c r="AS495" s="598">
        <f>+VLOOKUP($AJ495,Data_Validation!$A:$E,5,0)</f>
        <v>0</v>
      </c>
      <c r="AT495" s="1036" t="str">
        <f t="shared" si="45"/>
        <v>H22860</v>
      </c>
      <c r="AU495" s="599" t="str">
        <f t="shared" si="46"/>
        <v>RESERVE CORE HYUNDAI INCI</v>
      </c>
      <c r="AV495" s="1030" t="str">
        <f>IFERROR(INDEX(V495:AG495,1,MATCH(Parametres!$B$3,V$1:AG$1,0)-1)*IF(OR(C495="L",C495="S",C495="I"),-1,1),"")</f>
        <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2026</v>
      </c>
      <c r="C496" s="832" t="s">
        <v>2133</v>
      </c>
      <c r="D496" s="832" t="s">
        <v>2134</v>
      </c>
      <c r="E496" s="832" t="s">
        <v>1813</v>
      </c>
      <c r="F496" s="832" t="s">
        <v>1153</v>
      </c>
      <c r="G496" s="832">
        <v>0</v>
      </c>
      <c r="H496" s="832">
        <v>0</v>
      </c>
      <c r="I496" s="832">
        <v>0</v>
      </c>
      <c r="J496" s="832">
        <v>0</v>
      </c>
      <c r="K496" s="832">
        <v>0</v>
      </c>
      <c r="L496" s="832">
        <v>0</v>
      </c>
      <c r="M496" s="832">
        <v>0</v>
      </c>
      <c r="N496" s="832">
        <v>0</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H22870</v>
      </c>
      <c r="AK496" s="1030" t="str">
        <f t="shared" si="49"/>
        <v>RESERVE MOTEURS</v>
      </c>
      <c r="AL496" s="1030" t="str">
        <f>IFERROR(INDEX(G496:R496,1,MATCH(Parametres!$B$3,G$1:R$1,0)-1)*IF(OR(F496="L",F496="S",F496="I"),-1,1),"")</f>
        <v/>
      </c>
      <c r="AM496" s="1030">
        <f t="shared" si="44"/>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t="str">
        <f t="shared" si="45"/>
        <v>H22870</v>
      </c>
      <c r="AU496" s="599" t="str">
        <f t="shared" si="46"/>
        <v>RESERVE MOTEURS</v>
      </c>
      <c r="AV496" s="1030" t="str">
        <f>IFERROR(INDEX(V496:AG496,1,MATCH(Parametres!$B$3,V$1:AG$1,0)-1)*IF(OR(C496="L",C496="S",C496="I"),-1,1),"")</f>
        <v/>
      </c>
      <c r="AW496" s="1030">
        <f t="shared" si="47"/>
        <v>0</v>
      </c>
      <c r="AX496" s="1030">
        <f>INDEX(V496:AG496,1,MATCH(Parametres!$B$3,V$1:AG$1,0))*IF(OR(C496="L",C496="S",C496="I"),-1,1)</f>
        <v>0</v>
      </c>
      <c r="AY496" s="598" t="s">
        <v>337</v>
      </c>
      <c r="AZ496" s="598" t="e">
        <f>+VLOOKUP($AJ496,Data_Validation!$A:$E,5,0)</f>
        <v>#N/A</v>
      </c>
    </row>
    <row r="497" spans="1:52" ht="15" customHeight="1">
      <c r="A497" s="832" t="s">
        <v>1150</v>
      </c>
      <c r="B497" s="832">
        <v>2026</v>
      </c>
      <c r="C497" s="832" t="s">
        <v>2135</v>
      </c>
      <c r="D497" s="832" t="s">
        <v>2136</v>
      </c>
      <c r="E497" s="832" t="s">
        <v>333</v>
      </c>
      <c r="F497" s="832" t="s">
        <v>1153</v>
      </c>
      <c r="G497" s="832">
        <v>-2153.5700000000002</v>
      </c>
      <c r="H497" s="832">
        <v>-3276.66</v>
      </c>
      <c r="I497" s="832">
        <v>-3316.66</v>
      </c>
      <c r="J497" s="832">
        <v>-4220.84</v>
      </c>
      <c r="K497" s="832">
        <v>-4220.84</v>
      </c>
      <c r="L497" s="832">
        <v>-4220.84</v>
      </c>
      <c r="M497" s="832">
        <v>-4220.84</v>
      </c>
      <c r="N497" s="832">
        <v>-4220.84</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H22900</v>
      </c>
      <c r="AK497" s="1030" t="str">
        <f t="shared" si="49"/>
        <v>MACHINE A CAFE</v>
      </c>
      <c r="AL497" s="1030" t="str">
        <f>IFERROR(INDEX(G497:R497,1,MATCH(Parametres!$B$3,G$1:R$1,0)-1)*IF(OR(F497="L",F497="S",F497="I"),-1,1),"")</f>
        <v/>
      </c>
      <c r="AM497" s="1030">
        <f t="shared" si="44"/>
        <v>2153.5700000000002</v>
      </c>
      <c r="AN497" s="1030">
        <f>INDEX(G497:R497,1,MATCH(Parametres!$B$3,G$1:R$1,0))*IF(OR(F497="L",F497="S",F497="I"),-1,1)</f>
        <v>2153.5700000000002</v>
      </c>
      <c r="AO497" s="598" t="str">
        <f>+VLOOKUP($AJ497,Data_Validation!$A:$D,1,0)</f>
        <v>H22900</v>
      </c>
      <c r="AP497" s="598" t="str">
        <f>+VLOOKUP($AJ497,Data_Validation!$A:$D,3,0)</f>
        <v>Bilan</v>
      </c>
      <c r="AQ497" s="598" t="str">
        <f>+VLOOKUP($AJ497,Data_Validation!$A:$D,4,0)</f>
        <v>Autres Courus</v>
      </c>
      <c r="AR497" s="598" t="s">
        <v>299</v>
      </c>
      <c r="AS497" s="598">
        <f>+VLOOKUP($AJ497,Data_Validation!$A:$E,5,0)</f>
        <v>0</v>
      </c>
      <c r="AT497" s="1036" t="str">
        <f t="shared" si="45"/>
        <v>H22900</v>
      </c>
      <c r="AU497" s="599" t="str">
        <f t="shared" si="46"/>
        <v>MACHINE A CAFE</v>
      </c>
      <c r="AV497" s="1030" t="str">
        <f>IFERROR(INDEX(V497:AG497,1,MATCH(Parametres!$B$3,V$1:AG$1,0)-1)*IF(OR(C497="L",C497="S",C497="I"),-1,1),"")</f>
        <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2026</v>
      </c>
      <c r="C498" s="832" t="s">
        <v>2137</v>
      </c>
      <c r="D498" s="832" t="s">
        <v>2138</v>
      </c>
      <c r="E498" s="832" t="s">
        <v>333</v>
      </c>
      <c r="F498" s="832" t="s">
        <v>1153</v>
      </c>
      <c r="G498" s="832">
        <v>98879.98</v>
      </c>
      <c r="H498" s="832">
        <v>143344.32000000001</v>
      </c>
      <c r="I498" s="832">
        <v>176567.32</v>
      </c>
      <c r="J498" s="832">
        <v>159710.17000000001</v>
      </c>
      <c r="K498" s="832">
        <v>139558.17000000001</v>
      </c>
      <c r="L498" s="832">
        <v>139558.17000000001</v>
      </c>
      <c r="M498" s="832">
        <v>139558.17000000001</v>
      </c>
      <c r="N498" s="832">
        <v>139558.17000000001</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H22901</v>
      </c>
      <c r="AK498" s="1030" t="str">
        <f t="shared" si="49"/>
        <v>HOLDBACK</v>
      </c>
      <c r="AL498" s="1030" t="str">
        <f>IFERROR(INDEX(G498:R498,1,MATCH(Parametres!$B$3,G$1:R$1,0)-1)*IF(OR(F498="L",F498="S",F498="I"),-1,1),"")</f>
        <v/>
      </c>
      <c r="AM498" s="1030">
        <f t="shared" si="44"/>
        <v>-98879.98</v>
      </c>
      <c r="AN498" s="1030">
        <f>INDEX(G498:R498,1,MATCH(Parametres!$B$3,G$1:R$1,0))*IF(OR(F498="L",F498="S",F498="I"),-1,1)</f>
        <v>-98879.98</v>
      </c>
      <c r="AO498" s="598" t="str">
        <f>+VLOOKUP($AJ498,Data_Validation!$A:$D,1,0)</f>
        <v>H22901</v>
      </c>
      <c r="AP498" s="598" t="str">
        <f>+VLOOKUP($AJ498,Data_Validation!$A:$D,3,0)</f>
        <v>Bilan</v>
      </c>
      <c r="AQ498" s="598" t="str">
        <f>+VLOOKUP($AJ498,Data_Validation!$A:$D,4,0)</f>
        <v>Autres Courus</v>
      </c>
      <c r="AR498" s="598" t="s">
        <v>299</v>
      </c>
      <c r="AS498" s="598">
        <f>+VLOOKUP($AJ498,Data_Validation!$A:$E,5,0)</f>
        <v>0</v>
      </c>
      <c r="AT498" s="1036" t="str">
        <f t="shared" si="45"/>
        <v>H22901</v>
      </c>
      <c r="AU498" s="599" t="str">
        <f t="shared" si="46"/>
        <v>HOLDBACK</v>
      </c>
      <c r="AV498" s="1030" t="str">
        <f>IFERROR(INDEX(V498:AG498,1,MATCH(Parametres!$B$3,V$1:AG$1,0)-1)*IF(OR(C498="L",C498="S",C498="I"),-1,1),"")</f>
        <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2026</v>
      </c>
      <c r="C499" s="832" t="s">
        <v>2139</v>
      </c>
      <c r="D499" s="832" t="s">
        <v>2140</v>
      </c>
      <c r="E499" s="832" t="s">
        <v>333</v>
      </c>
      <c r="F499" s="832" t="s">
        <v>1153</v>
      </c>
      <c r="G499" s="832">
        <v>164796</v>
      </c>
      <c r="H499" s="832">
        <v>164796</v>
      </c>
      <c r="I499" s="832">
        <v>164796</v>
      </c>
      <c r="J499" s="832">
        <v>164796</v>
      </c>
      <c r="K499" s="832">
        <v>164796</v>
      </c>
      <c r="L499" s="832">
        <v>164796</v>
      </c>
      <c r="M499" s="832">
        <v>164796</v>
      </c>
      <c r="N499" s="832">
        <v>164796</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H23100</v>
      </c>
      <c r="AK499" s="1030" t="str">
        <f t="shared" si="49"/>
        <v>IMPOT-ANNEE COURANT</v>
      </c>
      <c r="AL499" s="1030" t="str">
        <f>IFERROR(INDEX(G499:R499,1,MATCH(Parametres!$B$3,G$1:R$1,0)-1)*IF(OR(F499="L",F499="S",F499="I"),-1,1),"")</f>
        <v/>
      </c>
      <c r="AM499" s="1030">
        <f t="shared" si="44"/>
        <v>-164796</v>
      </c>
      <c r="AN499" s="1030">
        <f>INDEX(G499:R499,1,MATCH(Parametres!$B$3,G$1:R$1,0))*IF(OR(F499="L",F499="S",F499="I"),-1,1)</f>
        <v>-164796</v>
      </c>
      <c r="AO499" s="598" t="str">
        <f>+VLOOKUP($AJ499,Data_Validation!$A:$D,1,0)</f>
        <v>H23100</v>
      </c>
      <c r="AP499" s="598" t="str">
        <f>+VLOOKUP($AJ499,Data_Validation!$A:$D,3,0)</f>
        <v>Bilan</v>
      </c>
      <c r="AQ499" s="598" t="str">
        <f>+VLOOKUP($AJ499,Data_Validation!$A:$D,4,0)</f>
        <v>Impôts à payer</v>
      </c>
      <c r="AR499" s="598" t="s">
        <v>299</v>
      </c>
      <c r="AS499" s="598">
        <f>+VLOOKUP($AJ499,Data_Validation!$A:$E,5,0)</f>
        <v>0</v>
      </c>
      <c r="AT499" s="1036" t="str">
        <f t="shared" si="45"/>
        <v>H23100</v>
      </c>
      <c r="AU499" s="599" t="str">
        <f t="shared" si="46"/>
        <v>IMPOT-ANNEE COURANT</v>
      </c>
      <c r="AV499" s="1030" t="str">
        <f>IFERROR(INDEX(V499:AG499,1,MATCH(Parametres!$B$3,V$1:AG$1,0)-1)*IF(OR(C499="L",C499="S",C499="I"),-1,1),"")</f>
        <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2026</v>
      </c>
      <c r="C500" s="832" t="s">
        <v>2141</v>
      </c>
      <c r="D500" s="832" t="s">
        <v>2142</v>
      </c>
      <c r="E500" s="832" t="s">
        <v>333</v>
      </c>
      <c r="F500" s="832" t="s">
        <v>1153</v>
      </c>
      <c r="G500" s="832">
        <v>-308997</v>
      </c>
      <c r="H500" s="832">
        <v>-332766</v>
      </c>
      <c r="I500" s="832">
        <v>-356535</v>
      </c>
      <c r="J500" s="832">
        <v>-380304</v>
      </c>
      <c r="K500" s="832">
        <v>-380304</v>
      </c>
      <c r="L500" s="832">
        <v>-380304</v>
      </c>
      <c r="M500" s="832">
        <v>-380304</v>
      </c>
      <c r="N500" s="832">
        <v>-380304</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H23105</v>
      </c>
      <c r="AK500" s="1030" t="str">
        <f t="shared" si="49"/>
        <v>ACC PROVISIONNEL PROVINCI</v>
      </c>
      <c r="AL500" s="1030" t="str">
        <f>IFERROR(INDEX(G500:R500,1,MATCH(Parametres!$B$3,G$1:R$1,0)-1)*IF(OR(F500="L",F500="S",F500="I"),-1,1),"")</f>
        <v/>
      </c>
      <c r="AM500" s="1030">
        <f t="shared" si="44"/>
        <v>308997</v>
      </c>
      <c r="AN500" s="1030">
        <f>INDEX(G500:R500,1,MATCH(Parametres!$B$3,G$1:R$1,0))*IF(OR(F500="L",F500="S",F500="I"),-1,1)</f>
        <v>308997</v>
      </c>
      <c r="AO500" s="598" t="str">
        <f>+VLOOKUP($AJ500,Data_Validation!$A:$D,1,0)</f>
        <v>H23105</v>
      </c>
      <c r="AP500" s="598" t="str">
        <f>+VLOOKUP($AJ500,Data_Validation!$A:$D,3,0)</f>
        <v>Bilan</v>
      </c>
      <c r="AQ500" s="598" t="str">
        <f>+VLOOKUP($AJ500,Data_Validation!$A:$D,4,0)</f>
        <v>Impôts à payer</v>
      </c>
      <c r="AR500" s="598" t="s">
        <v>299</v>
      </c>
      <c r="AS500" s="598">
        <f>+VLOOKUP($AJ500,Data_Validation!$A:$E,5,0)</f>
        <v>0</v>
      </c>
      <c r="AT500" s="1036" t="str">
        <f t="shared" si="45"/>
        <v>H23105</v>
      </c>
      <c r="AU500" s="599" t="str">
        <f t="shared" si="46"/>
        <v>ACC PROVISIONNEL PROVINCI</v>
      </c>
      <c r="AV500" s="1030" t="str">
        <f>IFERROR(INDEX(V500:AG500,1,MATCH(Parametres!$B$3,V$1:AG$1,0)-1)*IF(OR(C500="L",C500="S",C500="I"),-1,1),"")</f>
        <v/>
      </c>
      <c r="AW500" s="1030">
        <f t="shared" si="47"/>
        <v>0</v>
      </c>
      <c r="AX500" s="1030">
        <f>INDEX(V500:AG500,1,MATCH(Parametres!$B$3,V$1:AG$1,0))*IF(OR(C500="L",C500="S",C500="I"),-1,1)</f>
        <v>0</v>
      </c>
      <c r="AY500" s="598" t="s">
        <v>337</v>
      </c>
      <c r="AZ500" s="598">
        <f>+VLOOKUP($AJ500,Data_Validation!$A:$E,5,0)</f>
        <v>0</v>
      </c>
    </row>
    <row r="501" spans="1:52" ht="15" customHeight="1">
      <c r="A501" s="832" t="s">
        <v>1150</v>
      </c>
      <c r="B501" s="832">
        <v>2026</v>
      </c>
      <c r="C501" s="832" t="s">
        <v>2143</v>
      </c>
      <c r="D501" s="832" t="s">
        <v>2144</v>
      </c>
      <c r="E501" s="832" t="s">
        <v>333</v>
      </c>
      <c r="F501" s="832" t="s">
        <v>1153</v>
      </c>
      <c r="G501" s="832">
        <v>-402961</v>
      </c>
      <c r="H501" s="832">
        <v>-433958</v>
      </c>
      <c r="I501" s="832">
        <v>-464955</v>
      </c>
      <c r="J501" s="832">
        <v>-495952</v>
      </c>
      <c r="K501" s="832">
        <v>-495952</v>
      </c>
      <c r="L501" s="832">
        <v>-495952</v>
      </c>
      <c r="M501" s="832">
        <v>-495952</v>
      </c>
      <c r="N501" s="832">
        <v>-495952</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H23110</v>
      </c>
      <c r="AK501" s="1030" t="str">
        <f t="shared" si="49"/>
        <v>ACC PROVISIONNEL FÉDÉRAL</v>
      </c>
      <c r="AL501" s="1030" t="str">
        <f>IFERROR(INDEX(G501:R501,1,MATCH(Parametres!$B$3,G$1:R$1,0)-1)*IF(OR(F501="L",F501="S",F501="I"),-1,1),"")</f>
        <v/>
      </c>
      <c r="AM501" s="1030">
        <f t="shared" si="44"/>
        <v>402961</v>
      </c>
      <c r="AN501" s="1030">
        <f>INDEX(G501:R501,1,MATCH(Parametres!$B$3,G$1:R$1,0))*IF(OR(F501="L",F501="S",F501="I"),-1,1)</f>
        <v>402961</v>
      </c>
      <c r="AO501" s="598" t="str">
        <f>+VLOOKUP($AJ501,Data_Validation!$A:$D,1,0)</f>
        <v>H23110</v>
      </c>
      <c r="AP501" s="598" t="str">
        <f>+VLOOKUP($AJ501,Data_Validation!$A:$D,3,0)</f>
        <v>Bilan</v>
      </c>
      <c r="AQ501" s="598" t="str">
        <f>+VLOOKUP($AJ501,Data_Validation!$A:$D,4,0)</f>
        <v>Impôts à payer</v>
      </c>
      <c r="AR501" s="598" t="s">
        <v>299</v>
      </c>
      <c r="AS501" s="598">
        <f>+VLOOKUP($AJ501,Data_Validation!$A:$E,5,0)</f>
        <v>0</v>
      </c>
      <c r="AT501" s="1036" t="str">
        <f t="shared" si="45"/>
        <v>H23110</v>
      </c>
      <c r="AU501" s="599" t="str">
        <f t="shared" si="46"/>
        <v>ACC PROVISIONNEL FÉDÉRAL</v>
      </c>
      <c r="AV501" s="1030" t="str">
        <f>IFERROR(INDEX(V501:AG501,1,MATCH(Parametres!$B$3,V$1:AG$1,0)-1)*IF(OR(C501="L",C501="S",C501="I"),-1,1),"")</f>
        <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2026</v>
      </c>
      <c r="C502" s="832" t="s">
        <v>2145</v>
      </c>
      <c r="D502" s="832" t="s">
        <v>2146</v>
      </c>
      <c r="E502" s="832" t="s">
        <v>333</v>
      </c>
      <c r="F502" s="832" t="s">
        <v>1153</v>
      </c>
      <c r="G502" s="832">
        <v>0</v>
      </c>
      <c r="H502" s="832">
        <v>0</v>
      </c>
      <c r="I502" s="832">
        <v>0</v>
      </c>
      <c r="J502" s="832">
        <v>0</v>
      </c>
      <c r="K502" s="832">
        <v>0</v>
      </c>
      <c r="L502" s="832">
        <v>0</v>
      </c>
      <c r="M502" s="832">
        <v>0</v>
      </c>
      <c r="N502" s="832">
        <v>0</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H23200</v>
      </c>
      <c r="AK502" s="1030" t="str">
        <f t="shared" si="49"/>
        <v>TAXES FED &amp; PROV(PERIODES</v>
      </c>
      <c r="AL502" s="1030" t="str">
        <f>IFERROR(INDEX(G502:R502,1,MATCH(Parametres!$B$3,G$1:R$1,0)-1)*IF(OR(F502="L",F502="S",F502="I"),-1,1),"")</f>
        <v/>
      </c>
      <c r="AM502" s="1030">
        <f t="shared" si="44"/>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t="str">
        <f t="shared" si="45"/>
        <v>H23200</v>
      </c>
      <c r="AU502" s="599" t="str">
        <f t="shared" si="46"/>
        <v>TAXES FED &amp; PROV(PERIODES</v>
      </c>
      <c r="AV502" s="1030" t="str">
        <f>IFERROR(INDEX(V502:AG502,1,MATCH(Parametres!$B$3,V$1:AG$1,0)-1)*IF(OR(C502="L",C502="S",C502="I"),-1,1),"")</f>
        <v/>
      </c>
      <c r="AW502" s="1030">
        <f t="shared" si="47"/>
        <v>0</v>
      </c>
      <c r="AX502" s="1030">
        <f>INDEX(V502:AG502,1,MATCH(Parametres!$B$3,V$1:AG$1,0))*IF(OR(C502="L",C502="S",C502="I"),-1,1)</f>
        <v>0</v>
      </c>
      <c r="AY502" s="598" t="s">
        <v>337</v>
      </c>
      <c r="AZ502" s="598" t="e">
        <f>+VLOOKUP($AJ502,Data_Validation!$A:$E,5,0)</f>
        <v>#N/A</v>
      </c>
    </row>
    <row r="503" spans="1:52" ht="15" customHeight="1">
      <c r="A503" s="832" t="s">
        <v>1150</v>
      </c>
      <c r="B503" s="832">
        <v>2026</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H23300</v>
      </c>
      <c r="AK503" s="1030" t="str">
        <f t="shared" si="49"/>
        <v>IMPOTS CEDUL. PAYES AV.</v>
      </c>
      <c r="AL503" s="1030" t="str">
        <f>IFERROR(INDEX(G503:R503,1,MATCH(Parametres!$B$3,G$1:R$1,0)-1)*IF(OR(F503="L",F503="S",F503="I"),-1,1),"")</f>
        <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H23300</v>
      </c>
      <c r="AU503" s="599" t="str">
        <f t="shared" si="46"/>
        <v>IMPOTS CEDUL. PAYES AV.</v>
      </c>
      <c r="AV503" s="1030" t="str">
        <f>IFERROR(INDEX(V503:AG503,1,MATCH(Parametres!$B$3,V$1:AG$1,0)-1)*IF(OR(C503="L",C503="S",C503="I"),-1,1),"")</f>
        <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2026</v>
      </c>
      <c r="C504" s="832" t="s">
        <v>2149</v>
      </c>
      <c r="D504" s="832" t="s">
        <v>2150</v>
      </c>
      <c r="E504" s="832" t="s">
        <v>333</v>
      </c>
      <c r="F504" s="832" t="s">
        <v>1153</v>
      </c>
      <c r="G504" s="832">
        <v>364994.57</v>
      </c>
      <c r="H504" s="832">
        <v>364994.57</v>
      </c>
      <c r="I504" s="832">
        <v>364994.57</v>
      </c>
      <c r="J504" s="832">
        <v>364994.57</v>
      </c>
      <c r="K504" s="832">
        <v>364994.57</v>
      </c>
      <c r="L504" s="832">
        <v>364994.57</v>
      </c>
      <c r="M504" s="832">
        <v>364994.57</v>
      </c>
      <c r="N504" s="832">
        <v>364994.57</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H23310</v>
      </c>
      <c r="AK504" s="1030" t="str">
        <f t="shared" si="49"/>
        <v>IMPOT CEDUL P. AV FED</v>
      </c>
      <c r="AL504" s="1030" t="str">
        <f>IFERROR(INDEX(G504:R504,1,MATCH(Parametres!$B$3,G$1:R$1,0)-1)*IF(OR(F504="L",F504="S",F504="I"),-1,1),"")</f>
        <v/>
      </c>
      <c r="AM504" s="1030">
        <f t="shared" si="44"/>
        <v>-364994.57</v>
      </c>
      <c r="AN504" s="1030">
        <f>INDEX(G504:R504,1,MATCH(Parametres!$B$3,G$1:R$1,0))*IF(OR(F504="L",F504="S",F504="I"),-1,1)</f>
        <v>-364994.57</v>
      </c>
      <c r="AO504" s="598" t="str">
        <f>+VLOOKUP($AJ504,Data_Validation!$A:$D,1,0)</f>
        <v>H23310</v>
      </c>
      <c r="AP504" s="598" t="str">
        <f>+VLOOKUP($AJ504,Data_Validation!$A:$D,3,0)</f>
        <v>Bilan</v>
      </c>
      <c r="AQ504" s="598" t="str">
        <f>+VLOOKUP($AJ504,Data_Validation!$A:$D,4,0)</f>
        <v>Impôts à payer</v>
      </c>
      <c r="AR504" s="598" t="s">
        <v>299</v>
      </c>
      <c r="AS504" s="598">
        <f>+VLOOKUP($AJ504,Data_Validation!$A:$E,5,0)</f>
        <v>0</v>
      </c>
      <c r="AT504" s="1036" t="str">
        <f t="shared" si="45"/>
        <v>H23310</v>
      </c>
      <c r="AU504" s="599" t="str">
        <f t="shared" si="46"/>
        <v>IMPOT CEDUL P. AV FED</v>
      </c>
      <c r="AV504" s="1030" t="str">
        <f>IFERROR(INDEX(V504:AG504,1,MATCH(Parametres!$B$3,V$1:AG$1,0)-1)*IF(OR(C504="L",C504="S",C504="I"),-1,1),"")</f>
        <v/>
      </c>
      <c r="AW504" s="1030">
        <f t="shared" si="47"/>
        <v>0</v>
      </c>
      <c r="AX504" s="1030">
        <f>INDEX(V504:AG504,1,MATCH(Parametres!$B$3,V$1:AG$1,0))*IF(OR(C504="L",C504="S",C504="I"),-1,1)</f>
        <v>0</v>
      </c>
      <c r="AY504" s="598" t="s">
        <v>337</v>
      </c>
      <c r="AZ504" s="598">
        <f>+VLOOKUP($AJ504,Data_Validation!$A:$E,5,0)</f>
        <v>0</v>
      </c>
    </row>
    <row r="505" spans="1:52" ht="15" customHeight="1">
      <c r="A505" s="832" t="s">
        <v>1150</v>
      </c>
      <c r="B505" s="832">
        <v>2026</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H23330</v>
      </c>
      <c r="AK505" s="1030" t="str">
        <f t="shared" si="49"/>
        <v>TACE DE LUXE</v>
      </c>
      <c r="AL505" s="1030" t="str">
        <f>IFERROR(INDEX(G505:R505,1,MATCH(Parametres!$B$3,G$1:R$1,0)-1)*IF(OR(F505="L",F505="S",F505="I"),-1,1),"")</f>
        <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H23330</v>
      </c>
      <c r="AU505" s="599" t="str">
        <f t="shared" si="46"/>
        <v>TACE DE LUXE</v>
      </c>
      <c r="AV505" s="1030" t="str">
        <f>IFERROR(INDEX(V505:AG505,1,MATCH(Parametres!$B$3,V$1:AG$1,0)-1)*IF(OR(C505="L",C505="S",C505="I"),-1,1),"")</f>
        <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2026</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H23400</v>
      </c>
      <c r="AK506" s="1030" t="str">
        <f t="shared" si="49"/>
        <v>PARTI COURANTES DETTE L/T</v>
      </c>
      <c r="AL506" s="1030" t="str">
        <f>IFERROR(INDEX(G506:R506,1,MATCH(Parametres!$B$3,G$1:R$1,0)-1)*IF(OR(F506="L",F506="S",F506="I"),-1,1),"")</f>
        <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H23400</v>
      </c>
      <c r="AU506" s="599" t="str">
        <f t="shared" si="46"/>
        <v>PARTI COURANTES DETTE L/T</v>
      </c>
      <c r="AV506" s="1030" t="str">
        <f>IFERROR(INDEX(V506:AG506,1,MATCH(Parametres!$B$3,V$1:AG$1,0)-1)*IF(OR(C506="L",C506="S",C506="I"),-1,1),"")</f>
        <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2026</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H23410</v>
      </c>
      <c r="AK507" s="1030" t="str">
        <f t="shared" si="49"/>
        <v>MOINS PARTI COUR DETTE LT</v>
      </c>
      <c r="AL507" s="1030" t="str">
        <f>IFERROR(INDEX(G507:R507,1,MATCH(Parametres!$B$3,G$1:R$1,0)-1)*IF(OR(F507="L",F507="S",F507="I"),-1,1),"")</f>
        <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H23410</v>
      </c>
      <c r="AU507" s="599" t="str">
        <f t="shared" si="46"/>
        <v>MOINS PARTI COUR DETTE LT</v>
      </c>
      <c r="AV507" s="1030" t="str">
        <f>IFERROR(INDEX(V507:AG507,1,MATCH(Parametres!$B$3,V$1:AG$1,0)-1)*IF(OR(C507="L",C507="S",C507="I"),-1,1),"")</f>
        <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2026</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H23500</v>
      </c>
      <c r="AK508" s="1030" t="str">
        <f t="shared" si="49"/>
        <v>AUTRES DETTES COURANTES</v>
      </c>
      <c r="AL508" s="1030" t="str">
        <f>IFERROR(INDEX(G508:R508,1,MATCH(Parametres!$B$3,G$1:R$1,0)-1)*IF(OR(F508="L",F508="S",F508="I"),-1,1),"")</f>
        <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H23500</v>
      </c>
      <c r="AU508" s="599" t="str">
        <f t="shared" si="46"/>
        <v>AUTRES DETTES COURANTES</v>
      </c>
      <c r="AV508" s="1030" t="str">
        <f>IFERROR(INDEX(V508:AG508,1,MATCH(Parametres!$B$3,V$1:AG$1,0)-1)*IF(OR(C508="L",C508="S",C508="I"),-1,1),"")</f>
        <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2026</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H24000</v>
      </c>
      <c r="AK509" s="1030" t="str">
        <f t="shared" si="49"/>
        <v>EFFETS A PAYER</v>
      </c>
      <c r="AL509" s="1030" t="str">
        <f>IFERROR(INDEX(G509:R509,1,MATCH(Parametres!$B$3,G$1:R$1,0)-1)*IF(OR(F509="L",F509="S",F509="I"),-1,1),"")</f>
        <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H24000</v>
      </c>
      <c r="AU509" s="599" t="str">
        <f t="shared" si="46"/>
        <v>EFFETS A PAYER</v>
      </c>
      <c r="AV509" s="1030" t="str">
        <f>IFERROR(INDEX(V509:AG509,1,MATCH(Parametres!$B$3,V$1:AG$1,0)-1)*IF(OR(C509="L",C509="S",C509="I"),-1,1),"")</f>
        <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2026</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H24600</v>
      </c>
      <c r="AK510" s="1030" t="str">
        <f t="shared" si="49"/>
        <v>HYPOTHEQUE(S) IMMOBILIERE</v>
      </c>
      <c r="AL510" s="1030" t="str">
        <f>IFERROR(INDEX(G510:R510,1,MATCH(Parametres!$B$3,G$1:R$1,0)-1)*IF(OR(F510="L",F510="S",F510="I"),-1,1),"")</f>
        <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H24600</v>
      </c>
      <c r="AU510" s="599" t="str">
        <f t="shared" si="46"/>
        <v>HYPOTHEQUE(S) IMMOBILIERE</v>
      </c>
      <c r="AV510" s="1030" t="str">
        <f>IFERROR(INDEX(V510:AG510,1,MATCH(Parametres!$B$3,V$1:AG$1,0)-1)*IF(OR(C510="L",C510="S",C510="I"),-1,1),"")</f>
        <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2026</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H24900</v>
      </c>
      <c r="AK511" s="1030" t="str">
        <f t="shared" si="49"/>
        <v>HYPOTHEQUE(S) MOBILIERE(S</v>
      </c>
      <c r="AL511" s="1030" t="str">
        <f>IFERROR(INDEX(G511:R511,1,MATCH(Parametres!$B$3,G$1:R$1,0)-1)*IF(OR(F511="L",F511="S",F511="I"),-1,1),"")</f>
        <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H24900</v>
      </c>
      <c r="AU511" s="599" t="str">
        <f t="shared" si="46"/>
        <v>HYPOTHEQUE(S) MOBILIERE(S</v>
      </c>
      <c r="AV511" s="1030" t="str">
        <f>IFERROR(INDEX(V511:AG511,1,MATCH(Parametres!$B$3,V$1:AG$1,0)-1)*IF(OR(C511="L",C511="S",C511="I"),-1,1),"")</f>
        <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2026</v>
      </c>
      <c r="C512" s="832" t="s">
        <v>2165</v>
      </c>
      <c r="D512" s="832" t="s">
        <v>2166</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H25600</v>
      </c>
      <c r="AK512" s="1030" t="str">
        <f t="shared" si="49"/>
        <v>REPRISE DE POSSESSION</v>
      </c>
      <c r="AL512" s="1030" t="str">
        <f>IFERROR(INDEX(G512:R512,1,MATCH(Parametres!$B$3,G$1:R$1,0)-1)*IF(OR(F512="L",F512="S",F512="I"),-1,1),"")</f>
        <v/>
      </c>
      <c r="AM512" s="1030">
        <f t="shared" si="44"/>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45"/>
        <v>H25600</v>
      </c>
      <c r="AU512" s="599" t="str">
        <f t="shared" si="46"/>
        <v>REPRISE DE POSSESSION</v>
      </c>
      <c r="AV512" s="1030" t="str">
        <f>IFERROR(INDEX(V512:AG512,1,MATCH(Parametres!$B$3,V$1:AG$1,0)-1)*IF(OR(C512="L",C512="S",C512="I"),-1,1),"")</f>
        <v/>
      </c>
      <c r="AW512" s="1030">
        <f t="shared" si="47"/>
        <v>0</v>
      </c>
      <c r="AX512" s="1030">
        <f>INDEX(V512:AG512,1,MATCH(Parametres!$B$3,V$1:AG$1,0))*IF(OR(C512="L",C512="S",C512="I"),-1,1)</f>
        <v>0</v>
      </c>
      <c r="AY512" s="598" t="s">
        <v>337</v>
      </c>
      <c r="AZ512" s="598" t="e">
        <f>+VLOOKUP($AJ512,Data_Validation!$A:$E,5,0)</f>
        <v>#N/A</v>
      </c>
    </row>
    <row r="513" spans="1:52" ht="15" customHeight="1">
      <c r="A513" s="832" t="s">
        <v>1150</v>
      </c>
      <c r="B513" s="832">
        <v>2026</v>
      </c>
      <c r="C513" s="832" t="s">
        <v>2167</v>
      </c>
      <c r="D513" s="832" t="s">
        <v>2168</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H26000</v>
      </c>
      <c r="AK513" s="1030" t="str">
        <f t="shared" si="49"/>
        <v>PRETS AUX ADM&amp;ACTIONNAIRE</v>
      </c>
      <c r="AL513" s="1030" t="str">
        <f>IFERROR(INDEX(G513:R513,1,MATCH(Parametres!$B$3,G$1:R$1,0)-1)*IF(OR(F513="L",F513="S",F513="I"),-1,1),"")</f>
        <v/>
      </c>
      <c r="AM513" s="1030">
        <f t="shared" si="44"/>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t="str">
        <f t="shared" si="45"/>
        <v>H26000</v>
      </c>
      <c r="AU513" s="599" t="str">
        <f t="shared" si="46"/>
        <v>PRETS AUX ADM&amp;ACTIONNAIRE</v>
      </c>
      <c r="AV513" s="1030" t="str">
        <f>IFERROR(INDEX(V513:AG513,1,MATCH(Parametres!$B$3,V$1:AG$1,0)-1)*IF(OR(C513="L",C513="S",C513="I"),-1,1),"")</f>
        <v/>
      </c>
      <c r="AW513" s="1030">
        <f t="shared" si="47"/>
        <v>0</v>
      </c>
      <c r="AX513" s="1030">
        <f>INDEX(V513:AG513,1,MATCH(Parametres!$B$3,V$1:AG$1,0))*IF(OR(C513="L",C513="S",C513="I"),-1,1)</f>
        <v>0</v>
      </c>
      <c r="AY513" s="598" t="s">
        <v>337</v>
      </c>
      <c r="AZ513" s="598" t="e">
        <f>+VLOOKUP($AJ513,Data_Validation!$A:$E,5,0)</f>
        <v>#N/A</v>
      </c>
    </row>
    <row r="514" spans="1:52" ht="15" customHeight="1">
      <c r="A514" s="832" t="s">
        <v>1150</v>
      </c>
      <c r="B514" s="832">
        <v>2026</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H26010</v>
      </c>
      <c r="AK514" s="1030" t="str">
        <f t="shared" si="49"/>
        <v>PRET ACT. 170924 CDA IN</v>
      </c>
      <c r="AL514" s="1030" t="str">
        <f>IFERROR(INDEX(G514:R514,1,MATCH(Parametres!$B$3,G$1:R$1,0)-1)*IF(OR(F514="L",F514="S",F514="I"),-1,1),"")</f>
        <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H26010</v>
      </c>
      <c r="AU514" s="599" t="str">
        <f t="shared" si="46"/>
        <v>PRET ACT. 170924 CDA IN</v>
      </c>
      <c r="AV514" s="1030" t="str">
        <f>IFERROR(INDEX(V514:AG514,1,MATCH(Parametres!$B$3,V$1:AG$1,0)-1)*IF(OR(C514="L",C514="S",C514="I"),-1,1),"")</f>
        <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2026</v>
      </c>
      <c r="C515" s="832" t="s">
        <v>2171</v>
      </c>
      <c r="D515" s="832" t="s">
        <v>2172</v>
      </c>
      <c r="E515" s="832" t="s">
        <v>333</v>
      </c>
      <c r="F515" s="832" t="s">
        <v>1153</v>
      </c>
      <c r="G515" s="832">
        <v>234200</v>
      </c>
      <c r="H515" s="832">
        <v>234200</v>
      </c>
      <c r="I515" s="832">
        <v>234200</v>
      </c>
      <c r="J515" s="832">
        <v>234200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H26011</v>
      </c>
      <c r="AK515" s="1030" t="str">
        <f t="shared" si="49"/>
        <v>BALANCE DE PRIX DE VENTE</v>
      </c>
      <c r="AL515" s="1030" t="str">
        <f>IFERROR(INDEX(G515:R515,1,MATCH(Parametres!$B$3,G$1:R$1,0)-1)*IF(OR(F515="L",F515="S",F515="I"),-1,1),"")</f>
        <v/>
      </c>
      <c r="AM515" s="1030">
        <f t="shared" si="44"/>
        <v>-234200</v>
      </c>
      <c r="AN515" s="1030">
        <f>INDEX(G515:R515,1,MATCH(Parametres!$B$3,G$1:R$1,0))*IF(OR(F515="L",F515="S",F515="I"),-1,1)</f>
        <v>-234200</v>
      </c>
      <c r="AO515" s="598" t="str">
        <f>+VLOOKUP($AJ515,Data_Validation!$A:$D,1,0)</f>
        <v>H26011</v>
      </c>
      <c r="AP515" s="598" t="str">
        <f>+VLOOKUP($AJ515,Data_Validation!$A:$D,3,0)</f>
        <v>Bilan</v>
      </c>
      <c r="AQ515" s="598" t="str">
        <f>+VLOOKUP($AJ515,Data_Validation!$A:$D,4,0)</f>
        <v>Recevables Intercos</v>
      </c>
      <c r="AR515" s="598" t="s">
        <v>299</v>
      </c>
      <c r="AS515" s="598">
        <f>+VLOOKUP($AJ515,Data_Validation!$A:$E,5,0)</f>
        <v>0</v>
      </c>
      <c r="AT515" s="1036" t="str">
        <f t="shared" si="45"/>
        <v>H26011</v>
      </c>
      <c r="AU515" s="599" t="str">
        <f t="shared" si="46"/>
        <v>BALANCE DE PRIX DE VENTE</v>
      </c>
      <c r="AV515" s="1030" t="str">
        <f>IFERROR(INDEX(V515:AG515,1,MATCH(Parametres!$B$3,V$1:AG$1,0)-1)*IF(OR(C515="L",C515="S",C515="I"),-1,1),"")</f>
        <v/>
      </c>
      <c r="AW515" s="1030">
        <f t="shared" si="47"/>
        <v>0</v>
      </c>
      <c r="AX515" s="1030">
        <f>INDEX(V515:AG515,1,MATCH(Parametres!$B$3,V$1:AG$1,0))*IF(OR(C515="L",C515="S",C515="I"),-1,1)</f>
        <v>0</v>
      </c>
      <c r="AY515" s="598" t="s">
        <v>337</v>
      </c>
      <c r="AZ515" s="598">
        <f>+VLOOKUP($AJ515,Data_Validation!$A:$E,5,0)</f>
        <v>0</v>
      </c>
    </row>
    <row r="516" spans="1:52" ht="15" customHeight="1">
      <c r="A516" s="832" t="s">
        <v>1150</v>
      </c>
      <c r="B516" s="832">
        <v>2026</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H26020</v>
      </c>
      <c r="AK516" s="1030" t="str">
        <f t="shared" si="49"/>
        <v>AVANCE FIDUCIE JEAN ROZON</v>
      </c>
      <c r="AL516" s="1030" t="str">
        <f>IFERROR(INDEX(G516:R516,1,MATCH(Parametres!$B$3,G$1:R$1,0)-1)*IF(OR(F516="L",F516="S",F516="I"),-1,1),"")</f>
        <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H26020</v>
      </c>
      <c r="AU516" s="599" t="str">
        <f t="shared" ref="AU516:AU579" si="52">D516</f>
        <v>AVANCE FIDUCIE JEAN ROZON</v>
      </c>
      <c r="AV516" s="1030" t="str">
        <f>IFERROR(INDEX(V516:AG516,1,MATCH(Parametres!$B$3,V$1:AG$1,0)-1)*IF(OR(C516="L",C516="S",C516="I"),-1,1),"")</f>
        <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2026</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H26021</v>
      </c>
      <c r="AK517" s="1030" t="str">
        <f t="shared" si="49"/>
        <v>AVANCES AVEC STE-MARIE</v>
      </c>
      <c r="AL517" s="1030" t="str">
        <f>IFERROR(INDEX(G517:R517,1,MATCH(Parametres!$B$3,G$1:R$1,0)-1)*IF(OR(F517="L",F517="S",F517="I"),-1,1),"")</f>
        <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H26021</v>
      </c>
      <c r="AU517" s="599" t="str">
        <f t="shared" si="52"/>
        <v>AVANCES AVEC STE-MARIE</v>
      </c>
      <c r="AV517" s="1030" t="str">
        <f>IFERROR(INDEX(V517:AG517,1,MATCH(Parametres!$B$3,V$1:AG$1,0)-1)*IF(OR(C517="L",C517="S",C517="I"),-1,1),"")</f>
        <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2026</v>
      </c>
      <c r="C518" s="832" t="s">
        <v>2177</v>
      </c>
      <c r="D518" s="832" t="s">
        <v>2178</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H26900</v>
      </c>
      <c r="AK518" s="1030" t="str">
        <f t="shared" si="49"/>
        <v>AVANCE CIBC</v>
      </c>
      <c r="AL518" s="1030" t="str">
        <f>IFERROR(INDEX(G518:R518,1,MATCH(Parametres!$B$3,G$1:R$1,0)-1)*IF(OR(F518="L",F518="S",F518="I"),-1,1),"")</f>
        <v/>
      </c>
      <c r="AM518" s="1030">
        <f t="shared" si="50"/>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51"/>
        <v>H26900</v>
      </c>
      <c r="AU518" s="599" t="str">
        <f t="shared" si="52"/>
        <v>AVANCE CIBC</v>
      </c>
      <c r="AV518" s="1030" t="str">
        <f>IFERROR(INDEX(V518:AG518,1,MATCH(Parametres!$B$3,V$1:AG$1,0)-1)*IF(OR(C518="L",C518="S",C518="I"),-1,1),"")</f>
        <v/>
      </c>
      <c r="AW518" s="1030">
        <f t="shared" si="53"/>
        <v>0</v>
      </c>
      <c r="AX518" s="1030">
        <f>INDEX(V518:AG518,1,MATCH(Parametres!$B$3,V$1:AG$1,0))*IF(OR(C518="L",C518="S",C518="I"),-1,1)</f>
        <v>0</v>
      </c>
      <c r="AY518" s="598" t="s">
        <v>337</v>
      </c>
      <c r="AZ518" s="598" t="e">
        <f>+VLOOKUP($AJ518,Data_Validation!$A:$E,5,0)</f>
        <v>#N/A</v>
      </c>
    </row>
    <row r="519" spans="1:52" ht="15" customHeight="1">
      <c r="A519" s="832" t="s">
        <v>1150</v>
      </c>
      <c r="B519" s="832">
        <v>2026</v>
      </c>
      <c r="C519" s="832" t="s">
        <v>2179</v>
      </c>
      <c r="D519" s="832" t="s">
        <v>2180</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H28000</v>
      </c>
      <c r="AK519" s="1030" t="str">
        <f t="shared" si="49"/>
        <v>CAPITAL-ACTIONS ORDINAIRE</v>
      </c>
      <c r="AL519" s="1030" t="str">
        <f>IFERROR(INDEX(G519:R519,1,MATCH(Parametres!$B$3,G$1:R$1,0)-1)*IF(OR(F519="L",F519="S",F519="I"),-1,1),"")</f>
        <v/>
      </c>
      <c r="AM519" s="1030">
        <f t="shared" si="50"/>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t="str">
        <f t="shared" si="51"/>
        <v>H28000</v>
      </c>
      <c r="AU519" s="599" t="str">
        <f t="shared" si="52"/>
        <v>CAPITAL-ACTIONS ORDINAIRE</v>
      </c>
      <c r="AV519" s="1030" t="str">
        <f>IFERROR(INDEX(V519:AG519,1,MATCH(Parametres!$B$3,V$1:AG$1,0)-1)*IF(OR(C519="L",C519="S",C519="I"),-1,1),"")</f>
        <v/>
      </c>
      <c r="AW519" s="1030">
        <f t="shared" si="53"/>
        <v>0</v>
      </c>
      <c r="AX519" s="1030">
        <f>INDEX(V519:AG519,1,MATCH(Parametres!$B$3,V$1:AG$1,0))*IF(OR(C519="L",C519="S",C519="I"),-1,1)</f>
        <v>0</v>
      </c>
      <c r="AY519" s="598" t="s">
        <v>337</v>
      </c>
      <c r="AZ519" s="598" t="e">
        <f>+VLOOKUP($AJ519,Data_Validation!$A:$E,5,0)</f>
        <v>#N/A</v>
      </c>
    </row>
    <row r="520" spans="1:52" ht="15" customHeight="1">
      <c r="A520" s="832" t="s">
        <v>1150</v>
      </c>
      <c r="B520" s="832">
        <v>2026</v>
      </c>
      <c r="C520" s="832" t="s">
        <v>2181</v>
      </c>
      <c r="D520" s="832" t="s">
        <v>2182</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H28010</v>
      </c>
      <c r="AK520" s="1030" t="str">
        <f t="shared" si="49"/>
        <v>CAPITAL ACTION CAT A</v>
      </c>
      <c r="AL520" s="1030" t="str">
        <f>IFERROR(INDEX(G520:R520,1,MATCH(Parametres!$B$3,G$1:R$1,0)-1)*IF(OR(F520="L",F520="S",F520="I"),-1,1),"")</f>
        <v/>
      </c>
      <c r="AM520" s="1030">
        <f t="shared" si="50"/>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t="str">
        <f t="shared" si="51"/>
        <v>H28010</v>
      </c>
      <c r="AU520" s="599" t="str">
        <f t="shared" si="52"/>
        <v>CAPITAL ACTION CAT A</v>
      </c>
      <c r="AV520" s="1030" t="str">
        <f>IFERROR(INDEX(V520:AG520,1,MATCH(Parametres!$B$3,V$1:AG$1,0)-1)*IF(OR(C520="L",C520="S",C520="I"),-1,1),"")</f>
        <v/>
      </c>
      <c r="AW520" s="1030">
        <f t="shared" si="53"/>
        <v>0</v>
      </c>
      <c r="AX520" s="1030">
        <f>INDEX(V520:AG520,1,MATCH(Parametres!$B$3,V$1:AG$1,0))*IF(OR(C520="L",C520="S",C520="I"),-1,1)</f>
        <v>0</v>
      </c>
      <c r="AY520" s="598" t="s">
        <v>337</v>
      </c>
      <c r="AZ520" s="598" t="e">
        <f>+VLOOKUP($AJ520,Data_Validation!$A:$E,5,0)</f>
        <v>#N/A</v>
      </c>
    </row>
    <row r="521" spans="1:52" ht="15" customHeight="1">
      <c r="A521" s="832" t="s">
        <v>1150</v>
      </c>
      <c r="B521" s="832">
        <v>2026</v>
      </c>
      <c r="C521" s="832" t="s">
        <v>2183</v>
      </c>
      <c r="D521" s="832" t="s">
        <v>2184</v>
      </c>
      <c r="E521" s="832" t="s">
        <v>333</v>
      </c>
      <c r="F521" s="832" t="s">
        <v>1153</v>
      </c>
      <c r="G521" s="832">
        <v>20</v>
      </c>
      <c r="H521" s="832">
        <v>20</v>
      </c>
      <c r="I521" s="832">
        <v>20</v>
      </c>
      <c r="J521" s="832">
        <v>20</v>
      </c>
      <c r="K521" s="832">
        <v>20</v>
      </c>
      <c r="L521" s="832">
        <v>20</v>
      </c>
      <c r="M521" s="832">
        <v>20</v>
      </c>
      <c r="N521" s="832">
        <v>20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H28011</v>
      </c>
      <c r="AK521" s="1030" t="str">
        <f t="shared" si="49"/>
        <v>CAPITAL ACTION BA</v>
      </c>
      <c r="AL521" s="1030" t="str">
        <f>IFERROR(INDEX(G521:R521,1,MATCH(Parametres!$B$3,G$1:R$1,0)-1)*IF(OR(F521="L",F521="S",F521="I"),-1,1),"")</f>
        <v/>
      </c>
      <c r="AM521" s="1030">
        <f t="shared" si="50"/>
        <v>-20</v>
      </c>
      <c r="AN521" s="1030">
        <f>INDEX(G521:R521,1,MATCH(Parametres!$B$3,G$1:R$1,0))*IF(OR(F521="L",F521="S",F521="I"),-1,1)</f>
        <v>-20</v>
      </c>
      <c r="AO521" s="598" t="str">
        <f>+VLOOKUP($AJ521,Data_Validation!$A:$D,1,0)</f>
        <v>H28011</v>
      </c>
      <c r="AP521" s="598" t="str">
        <f>+VLOOKUP($AJ521,Data_Validation!$A:$D,3,0)</f>
        <v>Bilan</v>
      </c>
      <c r="AQ521" s="598" t="str">
        <f>+VLOOKUP($AJ521,Data_Validation!$A:$D,4,0)</f>
        <v>Capital Actions</v>
      </c>
      <c r="AR521" s="598" t="s">
        <v>299</v>
      </c>
      <c r="AS521" s="598">
        <f>+VLOOKUP($AJ521,Data_Validation!$A:$E,5,0)</f>
        <v>0</v>
      </c>
      <c r="AT521" s="1036" t="str">
        <f t="shared" si="51"/>
        <v>H28011</v>
      </c>
      <c r="AU521" s="599" t="str">
        <f t="shared" si="52"/>
        <v>CAPITAL ACTION BA</v>
      </c>
      <c r="AV521" s="1030" t="str">
        <f>IFERROR(INDEX(V521:AG521,1,MATCH(Parametres!$B$3,V$1:AG$1,0)-1)*IF(OR(C521="L",C521="S",C521="I"),-1,1),"")</f>
        <v/>
      </c>
      <c r="AW521" s="1030">
        <f t="shared" si="53"/>
        <v>0</v>
      </c>
      <c r="AX521" s="1030">
        <f>INDEX(V521:AG521,1,MATCH(Parametres!$B$3,V$1:AG$1,0))*IF(OR(C521="L",C521="S",C521="I"),-1,1)</f>
        <v>0</v>
      </c>
      <c r="AY521" s="598" t="s">
        <v>337</v>
      </c>
      <c r="AZ521" s="598">
        <f>+VLOOKUP($AJ521,Data_Validation!$A:$E,5,0)</f>
        <v>0</v>
      </c>
    </row>
    <row r="522" spans="1:52" ht="15" customHeight="1">
      <c r="A522" s="832" t="s">
        <v>1150</v>
      </c>
      <c r="B522" s="832">
        <v>2026</v>
      </c>
      <c r="C522" s="832" t="s">
        <v>2185</v>
      </c>
      <c r="D522" s="832" t="s">
        <v>2186</v>
      </c>
      <c r="E522" s="832" t="s">
        <v>333</v>
      </c>
      <c r="F522" s="832" t="s">
        <v>1153</v>
      </c>
      <c r="G522" s="832">
        <v>100</v>
      </c>
      <c r="H522" s="832">
        <v>100</v>
      </c>
      <c r="I522" s="832">
        <v>100</v>
      </c>
      <c r="J522" s="832">
        <v>100</v>
      </c>
      <c r="K522" s="832">
        <v>100</v>
      </c>
      <c r="L522" s="832">
        <v>100</v>
      </c>
      <c r="M522" s="832">
        <v>100</v>
      </c>
      <c r="N522" s="832">
        <v>100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H28012</v>
      </c>
      <c r="AK522" s="1030" t="str">
        <f t="shared" si="49"/>
        <v>CAPITAL ACTION C</v>
      </c>
      <c r="AL522" s="1030" t="str">
        <f>IFERROR(INDEX(G522:R522,1,MATCH(Parametres!$B$3,G$1:R$1,0)-1)*IF(OR(F522="L",F522="S",F522="I"),-1,1),"")</f>
        <v/>
      </c>
      <c r="AM522" s="1030">
        <f t="shared" si="50"/>
        <v>-100</v>
      </c>
      <c r="AN522" s="1030">
        <f>INDEX(G522:R522,1,MATCH(Parametres!$B$3,G$1:R$1,0))*IF(OR(F522="L",F522="S",F522="I"),-1,1)</f>
        <v>-100</v>
      </c>
      <c r="AO522" s="598" t="str">
        <f>+VLOOKUP($AJ522,Data_Validation!$A:$D,1,0)</f>
        <v>H28012</v>
      </c>
      <c r="AP522" s="598" t="str">
        <f>+VLOOKUP($AJ522,Data_Validation!$A:$D,3,0)</f>
        <v>Bilan</v>
      </c>
      <c r="AQ522" s="598" t="str">
        <f>+VLOOKUP($AJ522,Data_Validation!$A:$D,4,0)</f>
        <v>Capital Actions</v>
      </c>
      <c r="AR522" s="598" t="s">
        <v>299</v>
      </c>
      <c r="AS522" s="598">
        <f>+VLOOKUP($AJ522,Data_Validation!$A:$E,5,0)</f>
        <v>0</v>
      </c>
      <c r="AT522" s="1036" t="str">
        <f t="shared" si="51"/>
        <v>H28012</v>
      </c>
      <c r="AU522" s="599" t="str">
        <f t="shared" si="52"/>
        <v>CAPITAL ACTION C</v>
      </c>
      <c r="AV522" s="1030" t="str">
        <f>IFERROR(INDEX(V522:AG522,1,MATCH(Parametres!$B$3,V$1:AG$1,0)-1)*IF(OR(C522="L",C522="S",C522="I"),-1,1),"")</f>
        <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2026</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H28020</v>
      </c>
      <c r="AK523" s="1030" t="str">
        <f t="shared" si="49"/>
        <v>CAPITAL ACTION CAT B</v>
      </c>
      <c r="AL523" s="1030" t="str">
        <f>IFERROR(INDEX(G523:R523,1,MATCH(Parametres!$B$3,G$1:R$1,0)-1)*IF(OR(F523="L",F523="S",F523="I"),-1,1),"")</f>
        <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H28020</v>
      </c>
      <c r="AU523" s="599" t="str">
        <f t="shared" si="52"/>
        <v>CAPITAL ACTION CAT B</v>
      </c>
      <c r="AV523" s="1030" t="str">
        <f>IFERROR(INDEX(V523:AG523,1,MATCH(Parametres!$B$3,V$1:AG$1,0)-1)*IF(OR(C523="L",C523="S",C523="I"),-1,1),"")</f>
        <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2026</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H28030</v>
      </c>
      <c r="AK524" s="1030" t="str">
        <f t="shared" si="49"/>
        <v>CAPITAL ACTION CAT C</v>
      </c>
      <c r="AL524" s="1030" t="str">
        <f>IFERROR(INDEX(G524:R524,1,MATCH(Parametres!$B$3,G$1:R$1,0)-1)*IF(OR(F524="L",F524="S",F524="I"),-1,1),"")</f>
        <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H28030</v>
      </c>
      <c r="AU524" s="599" t="str">
        <f t="shared" si="52"/>
        <v>CAPITAL ACTION CAT C</v>
      </c>
      <c r="AV524" s="1030" t="str">
        <f>IFERROR(INDEX(V524:AG524,1,MATCH(Parametres!$B$3,V$1:AG$1,0)-1)*IF(OR(C524="L",C524="S",C524="I"),-1,1),"")</f>
        <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2026</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H28040</v>
      </c>
      <c r="AK525" s="1030" t="str">
        <f t="shared" si="49"/>
        <v>CAPITAL ACTION CAT D</v>
      </c>
      <c r="AL525" s="1030" t="str">
        <f>IFERROR(INDEX(G525:R525,1,MATCH(Parametres!$B$3,G$1:R$1,0)-1)*IF(OR(F525="L",F525="S",F525="I"),-1,1),"")</f>
        <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H28040</v>
      </c>
      <c r="AU525" s="599" t="str">
        <f t="shared" si="52"/>
        <v>CAPITAL ACTION CAT D</v>
      </c>
      <c r="AV525" s="1030" t="str">
        <f>IFERROR(INDEX(V525:AG525,1,MATCH(Parametres!$B$3,V$1:AG$1,0)-1)*IF(OR(C525="L",C525="S",C525="I"),-1,1),"")</f>
        <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2026</v>
      </c>
      <c r="C526" s="832" t="s">
        <v>2193</v>
      </c>
      <c r="D526" s="832" t="s">
        <v>2194</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H28050</v>
      </c>
      <c r="AK526" s="1030" t="str">
        <f t="shared" si="49"/>
        <v>CAPITAL ACTION CAT E</v>
      </c>
      <c r="AL526" s="1030" t="str">
        <f>IFERROR(INDEX(G526:R526,1,MATCH(Parametres!$B$3,G$1:R$1,0)-1)*IF(OR(F526="L",F526="S",F526="I"),-1,1),"")</f>
        <v/>
      </c>
      <c r="AM526" s="1030">
        <f t="shared" si="50"/>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51"/>
        <v>H28050</v>
      </c>
      <c r="AU526" s="599" t="str">
        <f t="shared" si="52"/>
        <v>CAPITAL ACTION CAT E</v>
      </c>
      <c r="AV526" s="1030" t="str">
        <f>IFERROR(INDEX(V526:AG526,1,MATCH(Parametres!$B$3,V$1:AG$1,0)-1)*IF(OR(C526="L",C526="S",C526="I"),-1,1),"")</f>
        <v/>
      </c>
      <c r="AW526" s="1030">
        <f t="shared" si="53"/>
        <v>0</v>
      </c>
      <c r="AX526" s="1030">
        <f>INDEX(V526:AG526,1,MATCH(Parametres!$B$3,V$1:AG$1,0))*IF(OR(C526="L",C526="S",C526="I"),-1,1)</f>
        <v>0</v>
      </c>
      <c r="AY526" s="598" t="s">
        <v>337</v>
      </c>
      <c r="AZ526" s="598" t="e">
        <f>+VLOOKUP($AJ526,Data_Validation!$A:$E,5,0)</f>
        <v>#N/A</v>
      </c>
    </row>
    <row r="527" spans="1:52" ht="15" customHeight="1">
      <c r="A527" s="832" t="s">
        <v>1150</v>
      </c>
      <c r="B527" s="832">
        <v>2026</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H28060</v>
      </c>
      <c r="AK527" s="1030" t="str">
        <f t="shared" si="49"/>
        <v>CAPITAL ACTION CAT F</v>
      </c>
      <c r="AL527" s="1030" t="str">
        <f>IFERROR(INDEX(G527:R527,1,MATCH(Parametres!$B$3,G$1:R$1,0)-1)*IF(OR(F527="L",F527="S",F527="I"),-1,1),"")</f>
        <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H28060</v>
      </c>
      <c r="AU527" s="599" t="str">
        <f t="shared" si="52"/>
        <v>CAPITAL ACTION CAT F</v>
      </c>
      <c r="AV527" s="1030" t="str">
        <f>IFERROR(INDEX(V527:AG527,1,MATCH(Parametres!$B$3,V$1:AG$1,0)-1)*IF(OR(C527="L",C527="S",C527="I"),-1,1),"")</f>
        <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2026</v>
      </c>
      <c r="C528" s="832" t="s">
        <v>2197</v>
      </c>
      <c r="D528" s="832" t="s">
        <v>2198</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H28070</v>
      </c>
      <c r="AK528" s="1030" t="str">
        <f t="shared" si="49"/>
        <v>CAPITAL ACTION CAT G</v>
      </c>
      <c r="AL528" s="1030" t="str">
        <f>IFERROR(INDEX(G528:R528,1,MATCH(Parametres!$B$3,G$1:R$1,0)-1)*IF(OR(F528="L",F528="S",F528="I"),-1,1),"")</f>
        <v/>
      </c>
      <c r="AM528" s="1030">
        <f t="shared" si="50"/>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51"/>
        <v>H28070</v>
      </c>
      <c r="AU528" s="599" t="str">
        <f t="shared" si="52"/>
        <v>CAPITAL ACTION CAT G</v>
      </c>
      <c r="AV528" s="1030" t="str">
        <f>IFERROR(INDEX(V528:AG528,1,MATCH(Parametres!$B$3,V$1:AG$1,0)-1)*IF(OR(C528="L",C528="S",C528="I"),-1,1),"")</f>
        <v/>
      </c>
      <c r="AW528" s="1030">
        <f t="shared" si="53"/>
        <v>0</v>
      </c>
      <c r="AX528" s="1030">
        <f>INDEX(V528:AG528,1,MATCH(Parametres!$B$3,V$1:AG$1,0))*IF(OR(C528="L",C528="S",C528="I"),-1,1)</f>
        <v>0</v>
      </c>
      <c r="AY528" s="598" t="s">
        <v>337</v>
      </c>
      <c r="AZ528" s="598" t="e">
        <f>+VLOOKUP($AJ528,Data_Validation!$A:$E,5,0)</f>
        <v>#N/A</v>
      </c>
    </row>
    <row r="529" spans="1:52" ht="15" customHeight="1">
      <c r="A529" s="832" t="s">
        <v>1150</v>
      </c>
      <c r="B529" s="832">
        <v>2026</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H28080</v>
      </c>
      <c r="AK529" s="1030" t="str">
        <f t="shared" si="49"/>
        <v>SURPLUS APPORT CAT '' F '</v>
      </c>
      <c r="AL529" s="1030" t="str">
        <f>IFERROR(INDEX(G529:R529,1,MATCH(Parametres!$B$3,G$1:R$1,0)-1)*IF(OR(F529="L",F529="S",F529="I"),-1,1),"")</f>
        <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H28080</v>
      </c>
      <c r="AU529" s="599" t="str">
        <f t="shared" si="52"/>
        <v>SURPLUS APPORT CAT '' F '</v>
      </c>
      <c r="AV529" s="1030" t="str">
        <f>IFERROR(INDEX(V529:AG529,1,MATCH(Parametres!$B$3,V$1:AG$1,0)-1)*IF(OR(C529="L",C529="S",C529="I"),-1,1),"")</f>
        <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2026</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H28090</v>
      </c>
      <c r="AK530" s="1030" t="str">
        <f t="shared" si="49"/>
        <v>SURPLUS APPORT CAT G</v>
      </c>
      <c r="AL530" s="1030" t="str">
        <f>IFERROR(INDEX(G530:R530,1,MATCH(Parametres!$B$3,G$1:R$1,0)-1)*IF(OR(F530="L",F530="S",F530="I"),-1,1),"")</f>
        <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H28090</v>
      </c>
      <c r="AU530" s="599" t="str">
        <f t="shared" si="52"/>
        <v>SURPLUS APPORT CAT G</v>
      </c>
      <c r="AV530" s="1030" t="str">
        <f>IFERROR(INDEX(V530:AG530,1,MATCH(Parametres!$B$3,V$1:AG$1,0)-1)*IF(OR(C530="L",C530="S",C530="I"),-1,1),"")</f>
        <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2026</v>
      </c>
      <c r="C531" s="832" t="s">
        <v>2203</v>
      </c>
      <c r="D531" s="832" t="s">
        <v>2204</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H28200</v>
      </c>
      <c r="AK531" s="1030" t="str">
        <f t="shared" ref="AK531:AK594" si="55">D531</f>
        <v>SURPLUS D APPORT CAPITAL</v>
      </c>
      <c r="AL531" s="1030" t="str">
        <f>IFERROR(INDEX(G531:R531,1,MATCH(Parametres!$B$3,G$1:R$1,0)-1)*IF(OR(F531="L",F531="S",F531="I"),-1,1),"")</f>
        <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H28200</v>
      </c>
      <c r="AU531" s="599" t="str">
        <f t="shared" si="52"/>
        <v>SURPLUS D APPORT CAPITAL</v>
      </c>
      <c r="AV531" s="1030" t="str">
        <f>IFERROR(INDEX(V531:AG531,1,MATCH(Parametres!$B$3,V$1:AG$1,0)-1)*IF(OR(C531="L",C531="S",C531="I"),-1,1),"")</f>
        <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2026</v>
      </c>
      <c r="C532" s="832" t="s">
        <v>2205</v>
      </c>
      <c r="D532" s="832" t="s">
        <v>2206</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H28210</v>
      </c>
      <c r="AK532" s="1030" t="str">
        <f t="shared" si="55"/>
        <v>SURPLUS APPORT CAT F</v>
      </c>
      <c r="AL532" s="1030" t="str">
        <f>IFERROR(INDEX(G532:R532,1,MATCH(Parametres!$B$3,G$1:R$1,0)-1)*IF(OR(F532="L",F532="S",F532="I"),-1,1),"")</f>
        <v/>
      </c>
      <c r="AM532" s="1030">
        <f t="shared" si="50"/>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t="str">
        <f t="shared" si="51"/>
        <v>H28210</v>
      </c>
      <c r="AU532" s="599" t="str">
        <f t="shared" si="52"/>
        <v>SURPLUS APPORT CAT F</v>
      </c>
      <c r="AV532" s="1030" t="str">
        <f>IFERROR(INDEX(V532:AG532,1,MATCH(Parametres!$B$3,V$1:AG$1,0)-1)*IF(OR(C532="L",C532="S",C532="I"),-1,1),"")</f>
        <v/>
      </c>
      <c r="AW532" s="1030">
        <f t="shared" si="53"/>
        <v>0</v>
      </c>
      <c r="AX532" s="1030">
        <f>INDEX(V532:AG532,1,MATCH(Parametres!$B$3,V$1:AG$1,0))*IF(OR(C532="L",C532="S",C532="I"),-1,1)</f>
        <v>0</v>
      </c>
      <c r="AY532" s="598" t="s">
        <v>337</v>
      </c>
      <c r="AZ532" s="598" t="e">
        <f>+VLOOKUP($AJ532,Data_Validation!$A:$E,5,0)</f>
        <v>#N/A</v>
      </c>
    </row>
    <row r="533" spans="1:52" ht="15" customHeight="1">
      <c r="A533" s="832" t="s">
        <v>1150</v>
      </c>
      <c r="B533" s="832">
        <v>2026</v>
      </c>
      <c r="C533" s="832" t="s">
        <v>2207</v>
      </c>
      <c r="D533" s="832" t="s">
        <v>2202</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H28220</v>
      </c>
      <c r="AK533" s="1030" t="str">
        <f t="shared" si="55"/>
        <v>SURPLUS APPORT CAT G</v>
      </c>
      <c r="AL533" s="1030" t="str">
        <f>IFERROR(INDEX(G533:R533,1,MATCH(Parametres!$B$3,G$1:R$1,0)-1)*IF(OR(F533="L",F533="S",F533="I"),-1,1),"")</f>
        <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H28220</v>
      </c>
      <c r="AU533" s="599" t="str">
        <f t="shared" si="52"/>
        <v>SURPLUS APPORT CAT G</v>
      </c>
      <c r="AV533" s="1030" t="str">
        <f>IFERROR(INDEX(V533:AG533,1,MATCH(Parametres!$B$3,V$1:AG$1,0)-1)*IF(OR(C533="L",C533="S",C533="I"),-1,1),"")</f>
        <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2026</v>
      </c>
      <c r="C534" s="832" t="s">
        <v>2208</v>
      </c>
      <c r="D534" s="832" t="s">
        <v>2209</v>
      </c>
      <c r="E534" s="832" t="s">
        <v>333</v>
      </c>
      <c r="F534" s="832" t="s">
        <v>1153</v>
      </c>
      <c r="G534" s="832">
        <v>3121497.35</v>
      </c>
      <c r="H534" s="832">
        <v>3121497.35</v>
      </c>
      <c r="I534" s="832">
        <v>3121497.35</v>
      </c>
      <c r="J534" s="832">
        <v>3121497.35</v>
      </c>
      <c r="K534" s="832">
        <v>3121497.35</v>
      </c>
      <c r="L534" s="832">
        <v>3121497.35</v>
      </c>
      <c r="M534" s="832">
        <v>3121497.35</v>
      </c>
      <c r="N534" s="832">
        <v>3121497.35</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H28500</v>
      </c>
      <c r="AK534" s="1030" t="str">
        <f t="shared" si="55"/>
        <v>BENEFICE NON REPARTI</v>
      </c>
      <c r="AL534" s="1030" t="str">
        <f>IFERROR(INDEX(G534:R534,1,MATCH(Parametres!$B$3,G$1:R$1,0)-1)*IF(OR(F534="L",F534="S",F534="I"),-1,1),"")</f>
        <v/>
      </c>
      <c r="AM534" s="1030">
        <f t="shared" si="50"/>
        <v>-3121497.35</v>
      </c>
      <c r="AN534" s="1030">
        <f>INDEX(G534:R534,1,MATCH(Parametres!$B$3,G$1:R$1,0))*IF(OR(F534="L",F534="S",F534="I"),-1,1)</f>
        <v>-3121497.35</v>
      </c>
      <c r="AO534" s="598" t="str">
        <f>+VLOOKUP($AJ534,Data_Validation!$A:$D,1,0)</f>
        <v>H28500</v>
      </c>
      <c r="AP534" s="598" t="str">
        <f>+VLOOKUP($AJ534,Data_Validation!$A:$D,3,0)</f>
        <v>Bilan</v>
      </c>
      <c r="AQ534" s="598" t="str">
        <f>+VLOOKUP($AJ534,Data_Validation!$A:$D,4,0)</f>
        <v>Bénéfices non répartis</v>
      </c>
      <c r="AR534" s="598" t="s">
        <v>299</v>
      </c>
      <c r="AS534" s="598">
        <f>+VLOOKUP($AJ534,Data_Validation!$A:$E,5,0)</f>
        <v>0</v>
      </c>
      <c r="AT534" s="1036" t="str">
        <f t="shared" si="51"/>
        <v>H28500</v>
      </c>
      <c r="AU534" s="599" t="str">
        <f t="shared" si="52"/>
        <v>BENEFICE NON REPARTI</v>
      </c>
      <c r="AV534" s="1030" t="str">
        <f>IFERROR(INDEX(V534:AG534,1,MATCH(Parametres!$B$3,V$1:AG$1,0)-1)*IF(OR(C534="L",C534="S",C534="I"),-1,1),"")</f>
        <v/>
      </c>
      <c r="AW534" s="1030">
        <f t="shared" si="53"/>
        <v>0</v>
      </c>
      <c r="AX534" s="1030">
        <f>INDEX(V534:AG534,1,MATCH(Parametres!$B$3,V$1:AG$1,0))*IF(OR(C534="L",C534="S",C534="I"),-1,1)</f>
        <v>0</v>
      </c>
      <c r="AY534" s="598" t="s">
        <v>337</v>
      </c>
      <c r="AZ534" s="598">
        <f>+VLOOKUP($AJ534,Data_Validation!$A:$E,5,0)</f>
        <v>0</v>
      </c>
    </row>
    <row r="535" spans="1:52" ht="15" customHeight="1">
      <c r="A535" s="832" t="s">
        <v>1150</v>
      </c>
      <c r="B535" s="832">
        <v>2026</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H28700</v>
      </c>
      <c r="AK535" s="1030" t="str">
        <f t="shared" si="55"/>
        <v>INVESTISS DES ASSOCIES</v>
      </c>
      <c r="AL535" s="1030" t="str">
        <f>IFERROR(INDEX(G535:R535,1,MATCH(Parametres!$B$3,G$1:R$1,0)-1)*IF(OR(F535="L",F535="S",F535="I"),-1,1),"")</f>
        <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H28700</v>
      </c>
      <c r="AU535" s="599" t="str">
        <f t="shared" si="52"/>
        <v>INVESTISS DES ASSOCIES</v>
      </c>
      <c r="AV535" s="1030" t="str">
        <f>IFERROR(INDEX(V535:AG535,1,MATCH(Parametres!$B$3,V$1:AG$1,0)-1)*IF(OR(C535="L",C535="S",C535="I"),-1,1),"")</f>
        <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2026</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H29000</v>
      </c>
      <c r="AK536" s="1030" t="str">
        <f t="shared" si="55"/>
        <v>RETRAITS DIVIDENDES</v>
      </c>
      <c r="AL536" s="1030" t="str">
        <f>IFERROR(INDEX(G536:R536,1,MATCH(Parametres!$B$3,G$1:R$1,0)-1)*IF(OR(F536="L",F536="S",F536="I"),-1,1),"")</f>
        <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H29000</v>
      </c>
      <c r="AU536" s="599" t="str">
        <f t="shared" si="52"/>
        <v>RETRAITS DIVIDENDES</v>
      </c>
      <c r="AV536" s="1030" t="str">
        <f>IFERROR(INDEX(V536:AG536,1,MATCH(Parametres!$B$3,V$1:AG$1,0)-1)*IF(OR(C536="L",C536="S",C536="I"),-1,1),"")</f>
        <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2026</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H29002</v>
      </c>
      <c r="AK537" s="1030" t="str">
        <f t="shared" si="55"/>
        <v>DIVIDENDES-CAT ¨C¨</v>
      </c>
      <c r="AL537" s="1030" t="str">
        <f>IFERROR(INDEX(G537:R537,1,MATCH(Parametres!$B$3,G$1:R$1,0)-1)*IF(OR(F537="L",F537="S",F537="I"),-1,1),"")</f>
        <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H29002</v>
      </c>
      <c r="AU537" s="599" t="str">
        <f t="shared" si="52"/>
        <v>DIVIDENDES-CAT ¨C¨</v>
      </c>
      <c r="AV537" s="1030" t="str">
        <f>IFERROR(INDEX(V537:AG537,1,MATCH(Parametres!$B$3,V$1:AG$1,0)-1)*IF(OR(C537="L",C537="S",C537="I"),-1,1),"")</f>
        <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2026</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H29003</v>
      </c>
      <c r="AK538" s="1030" t="str">
        <f t="shared" si="55"/>
        <v>DIVIDENDES-CAT ¨F¨</v>
      </c>
      <c r="AL538" s="1030" t="str">
        <f>IFERROR(INDEX(G538:R538,1,MATCH(Parametres!$B$3,G$1:R$1,0)-1)*IF(OR(F538="L",F538="S",F538="I"),-1,1),"")</f>
        <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H29003</v>
      </c>
      <c r="AU538" s="599" t="str">
        <f t="shared" si="52"/>
        <v>DIVIDENDES-CAT ¨F¨</v>
      </c>
      <c r="AV538" s="1030" t="str">
        <f>IFERROR(INDEX(V538:AG538,1,MATCH(Parametres!$B$3,V$1:AG$1,0)-1)*IF(OR(C538="L",C538="S",C538="I"),-1,1),"")</f>
        <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2026</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H29005</v>
      </c>
      <c r="AK539" s="1030" t="str">
        <f t="shared" si="55"/>
        <v>DIVIDENDES-CAT ¨D¨</v>
      </c>
      <c r="AL539" s="1030" t="str">
        <f>IFERROR(INDEX(G539:R539,1,MATCH(Parametres!$B$3,G$1:R$1,0)-1)*IF(OR(F539="L",F539="S",F539="I"),-1,1),"")</f>
        <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H29005</v>
      </c>
      <c r="AU539" s="599" t="str">
        <f t="shared" si="52"/>
        <v>DIVIDENDES-CAT ¨D¨</v>
      </c>
      <c r="AV539" s="1030" t="str">
        <f>IFERROR(INDEX(V539:AG539,1,MATCH(Parametres!$B$3,V$1:AG$1,0)-1)*IF(OR(C539="L",C539="S",C539="I"),-1,1),"")</f>
        <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2026</v>
      </c>
      <c r="C540" s="832" t="s">
        <v>2220</v>
      </c>
      <c r="D540" s="832" t="s">
        <v>2221</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H29900</v>
      </c>
      <c r="AK540" s="1030" t="str">
        <f t="shared" si="55"/>
        <v>PROFIT OR LOSS</v>
      </c>
      <c r="AL540" s="1030" t="str">
        <f>IFERROR(INDEX(G540:R540,1,MATCH(Parametres!$B$3,G$1:R$1,0)-1)*IF(OR(F540="L",F540="S",F540="I"),-1,1),"")</f>
        <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H29900</v>
      </c>
      <c r="AU540" s="599" t="str">
        <f t="shared" si="52"/>
        <v>PROFIT OR LOSS</v>
      </c>
      <c r="AV540" s="1030" t="str">
        <f>IFERROR(INDEX(V540:AG540,1,MATCH(Parametres!$B$3,V$1:AG$1,0)-1)*IF(OR(C540="L",C540="S",C540="I"),-1,1),"")</f>
        <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2026</v>
      </c>
      <c r="C541" s="832" t="s">
        <v>2222</v>
      </c>
      <c r="D541" s="832" t="s">
        <v>2223</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H29901</v>
      </c>
      <c r="AK541" s="1030" t="str">
        <f t="shared" si="55"/>
        <v>PROFIT AND LOSS-CLEARING</v>
      </c>
      <c r="AL541" s="1030" t="str">
        <f>IFERROR(INDEX(G541:R541,1,MATCH(Parametres!$B$3,G$1:R$1,0)-1)*IF(OR(F541="L",F541="S",F541="I"),-1,1),"")</f>
        <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H29901</v>
      </c>
      <c r="AU541" s="599" t="str">
        <f t="shared" si="52"/>
        <v>PROFIT AND LOSS-CLEARING</v>
      </c>
      <c r="AV541" s="1030" t="str">
        <f>IFERROR(INDEX(V541:AG541,1,MATCH(Parametres!$B$3,V$1:AG$1,0)-1)*IF(OR(C541="L",C541="S",C541="I"),-1,1),"")</f>
        <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2026</v>
      </c>
      <c r="C542" s="832" t="s">
        <v>2224</v>
      </c>
      <c r="D542" s="832" t="s">
        <v>2225</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H30100</v>
      </c>
      <c r="AK542" s="1030" t="str">
        <f t="shared" si="55"/>
        <v>VTE VEH NF ACCENT 4 P</v>
      </c>
      <c r="AL542" s="1030" t="str">
        <f>IFERROR(INDEX(G542:R542,1,MATCH(Parametres!$B$3,G$1:R$1,0)-1)*IF(OR(F542="L",F542="S",F542="I"),-1,1),"")</f>
        <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H30100</v>
      </c>
      <c r="AU542" s="599" t="str">
        <f t="shared" si="52"/>
        <v>VTE VEH NF ACCENT 4 P</v>
      </c>
      <c r="AV542" s="1030" t="str">
        <f>IFERROR(INDEX(V542:AG542,1,MATCH(Parametres!$B$3,V$1:AG$1,0)-1)*IF(OR(C542="L",C542="S",C542="I"),-1,1),"")</f>
        <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2026</v>
      </c>
      <c r="C543" s="832" t="s">
        <v>2227</v>
      </c>
      <c r="D543" s="832" t="s">
        <v>2228</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H30101</v>
      </c>
      <c r="AK543" s="1030" t="str">
        <f t="shared" si="55"/>
        <v>VTE ACCENT BERLINE  4P</v>
      </c>
      <c r="AL543" s="1030" t="str">
        <f>IFERROR(INDEX(G543:R543,1,MATCH(Parametres!$B$3,G$1:R$1,0)-1)*IF(OR(F543="L",F543="S",F543="I"),-1,1),"")</f>
        <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H30101</v>
      </c>
      <c r="AU543" s="599" t="str">
        <f t="shared" si="52"/>
        <v>VTE ACCENT BERLINE  4P</v>
      </c>
      <c r="AV543" s="1030" t="str">
        <f>IFERROR(INDEX(V543:AG543,1,MATCH(Parametres!$B$3,V$1:AG$1,0)-1)*IF(OR(C543="L",C543="S",C543="I"),-1,1),"")</f>
        <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2026</v>
      </c>
      <c r="C544" s="832" t="s">
        <v>2229</v>
      </c>
      <c r="D544" s="832" t="s">
        <v>2230</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30" t="str">
        <f t="shared" si="54"/>
        <v>H30200</v>
      </c>
      <c r="AK544" s="1030" t="str">
        <f t="shared" si="55"/>
        <v>VTE VEH NF ACCENT 5 P</v>
      </c>
      <c r="AL544" s="1030" t="str">
        <f>IFERROR(INDEX(G544:R544,1,MATCH(Parametres!$B$3,G$1:R$1,0)-1)*IF(OR(F544="L",F544="S",F544="I"),-1,1),"")</f>
        <v/>
      </c>
      <c r="AM544" s="1030">
        <f t="shared" si="50"/>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t="str">
        <f t="shared" si="51"/>
        <v>H30200</v>
      </c>
      <c r="AU544" s="599" t="str">
        <f t="shared" si="52"/>
        <v>VTE VEH NF ACCENT 5 P</v>
      </c>
      <c r="AV544" s="1030" t="str">
        <f>IFERROR(INDEX(V544:AG544,1,MATCH(Parametres!$B$3,V$1:AG$1,0)-1)*IF(OR(C544="L",C544="S",C544="I"),-1,1),"")</f>
        <v/>
      </c>
      <c r="AW544" s="1030">
        <f t="shared" si="53"/>
        <v>0</v>
      </c>
      <c r="AX544" s="1030">
        <f>INDEX(V544:AG544,1,MATCH(Parametres!$B$3,V$1:AG$1,0))*IF(OR(C544="L",C544="S",C544="I"),-1,1)</f>
        <v>0</v>
      </c>
      <c r="AY544" s="598" t="s">
        <v>337</v>
      </c>
      <c r="AZ544" s="598" t="e">
        <f>+VLOOKUP($AJ544,Data_Validation!$A:$E,5,0)</f>
        <v>#N/A</v>
      </c>
    </row>
    <row r="545" spans="1:52" ht="15" customHeight="1">
      <c r="A545" s="832" t="s">
        <v>1150</v>
      </c>
      <c r="B545" s="832">
        <v>2026</v>
      </c>
      <c r="C545" s="832" t="s">
        <v>2231</v>
      </c>
      <c r="D545" s="832" t="s">
        <v>2232</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H30300</v>
      </c>
      <c r="AK545" s="1030" t="str">
        <f t="shared" si="55"/>
        <v>VTE GENESIS COUPE</v>
      </c>
      <c r="AL545" s="1030" t="str">
        <f>IFERROR(INDEX(G545:R545,1,MATCH(Parametres!$B$3,G$1:R$1,0)-1)*IF(OR(F545="L",F545="S",F545="I"),-1,1),"")</f>
        <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H30300</v>
      </c>
      <c r="AU545" s="599" t="str">
        <f t="shared" si="52"/>
        <v>VTE GENESIS COUPE</v>
      </c>
      <c r="AV545" s="1030" t="str">
        <f>IFERROR(INDEX(V545:AG545,1,MATCH(Parametres!$B$3,V$1:AG$1,0)-1)*IF(OR(C545="L",C545="S",C545="I"),-1,1),"")</f>
        <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2026</v>
      </c>
      <c r="C546" s="832" t="s">
        <v>2233</v>
      </c>
      <c r="D546" s="832" t="s">
        <v>2234</v>
      </c>
      <c r="E546" s="832" t="s">
        <v>2226</v>
      </c>
      <c r="F546" s="832" t="s">
        <v>2226</v>
      </c>
      <c r="G546" s="832">
        <v>53101.95</v>
      </c>
      <c r="H546" s="832">
        <v>104024.9</v>
      </c>
      <c r="I546" s="832">
        <v>104024.9</v>
      </c>
      <c r="J546" s="832">
        <v>207391.41</v>
      </c>
      <c r="K546" s="832">
        <v>207391.41</v>
      </c>
      <c r="L546" s="832">
        <v>207391.41</v>
      </c>
      <c r="M546" s="832">
        <v>207391.41</v>
      </c>
      <c r="N546" s="832">
        <v>207391.41</v>
      </c>
      <c r="O546" s="832">
        <v>0</v>
      </c>
      <c r="P546" s="832">
        <v>0</v>
      </c>
      <c r="Q546" s="832">
        <v>0</v>
      </c>
      <c r="R546" s="832">
        <v>0</v>
      </c>
      <c r="S546" s="832">
        <v>29627.34</v>
      </c>
      <c r="T546" s="832">
        <v>29627.34</v>
      </c>
      <c r="U546" s="832">
        <v>0</v>
      </c>
      <c r="V546" s="832">
        <v>1</v>
      </c>
      <c r="W546" s="832">
        <v>2</v>
      </c>
      <c r="X546" s="832">
        <v>2</v>
      </c>
      <c r="Y546" s="832">
        <v>4</v>
      </c>
      <c r="Z546" s="832">
        <v>4</v>
      </c>
      <c r="AA546" s="832">
        <v>4</v>
      </c>
      <c r="AB546" s="832">
        <v>4</v>
      </c>
      <c r="AC546" s="832">
        <v>4</v>
      </c>
      <c r="AD546" s="832">
        <v>0</v>
      </c>
      <c r="AE546" s="832">
        <v>0</v>
      </c>
      <c r="AF546" s="832">
        <v>0</v>
      </c>
      <c r="AG546" s="832">
        <v>0</v>
      </c>
      <c r="AH546" s="832">
        <v>1</v>
      </c>
      <c r="AI546" s="832">
        <v>1</v>
      </c>
      <c r="AJ546" s="1030" t="str">
        <f t="shared" si="54"/>
        <v>H30400</v>
      </c>
      <c r="AK546" s="1030" t="str">
        <f t="shared" si="55"/>
        <v>VTE SANTA FE</v>
      </c>
      <c r="AL546" s="1030" t="str">
        <f>IFERROR(INDEX(G546:R546,1,MATCH(Parametres!$B$3,G$1:R$1,0)-1)*IF(OR(F546="L",F546="S",F546="I"),-1,1),"")</f>
        <v/>
      </c>
      <c r="AM546" s="1030">
        <f t="shared" si="50"/>
        <v>-53101.95</v>
      </c>
      <c r="AN546" s="1030">
        <f>INDEX(G546:R546,1,MATCH(Parametres!$B$3,G$1:R$1,0))*IF(OR(F546="L",F546="S",F546="I"),-1,1)</f>
        <v>-53101.95</v>
      </c>
      <c r="AO546" s="598" t="str">
        <f>+VLOOKUP($AJ546,Data_Validation!$A:$D,1,0)</f>
        <v>H30400</v>
      </c>
      <c r="AP546" s="598" t="str">
        <f>+VLOOKUP($AJ546,Data_Validation!$A:$D,3,0)</f>
        <v>Véhicules neufs</v>
      </c>
      <c r="AQ546" s="598" t="str">
        <f>+VLOOKUP($AJ546,Data_Validation!$A:$D,4,0)</f>
        <v>Camions détail</v>
      </c>
      <c r="AR546" s="598" t="s">
        <v>299</v>
      </c>
      <c r="AS546" s="598" t="str">
        <f>+VLOOKUP($AJ546,Data_Validation!$A:$E,5,0)</f>
        <v>Oui</v>
      </c>
      <c r="AT546" s="1036" t="str">
        <f t="shared" si="51"/>
        <v>H30400</v>
      </c>
      <c r="AU546" s="599" t="str">
        <f t="shared" si="52"/>
        <v>VTE SANTA FE</v>
      </c>
      <c r="AV546" s="1030" t="str">
        <f>IFERROR(INDEX(V546:AG546,1,MATCH(Parametres!$B$3,V$1:AG$1,0)-1)*IF(OR(C546="L",C546="S",C546="I"),-1,1),"")</f>
        <v/>
      </c>
      <c r="AW546" s="1030">
        <f t="shared" si="53"/>
        <v>1</v>
      </c>
      <c r="AX546" s="1030">
        <f>INDEX(V546:AG546,1,MATCH(Parametres!$B$3,V$1:AG$1,0))*IF(OR(C546="L",C546="S",C546="I"),-1,1)</f>
        <v>1</v>
      </c>
      <c r="AY546" s="598" t="s">
        <v>337</v>
      </c>
      <c r="AZ546" s="598" t="str">
        <f>+VLOOKUP($AJ546,Data_Validation!$A:$E,5,0)</f>
        <v>Oui</v>
      </c>
    </row>
    <row r="547" spans="1:52" ht="15" customHeight="1">
      <c r="A547" s="832" t="s">
        <v>1150</v>
      </c>
      <c r="B547" s="832">
        <v>2026</v>
      </c>
      <c r="C547" s="832" t="s">
        <v>2235</v>
      </c>
      <c r="D547" s="832" t="s">
        <v>2236</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H30401</v>
      </c>
      <c r="AK547" s="1030" t="str">
        <f t="shared" si="55"/>
        <v>VTE SANTA FE XL</v>
      </c>
      <c r="AL547" s="1030" t="str">
        <f>IFERROR(INDEX(G547:R547,1,MATCH(Parametres!$B$3,G$1:R$1,0)-1)*IF(OR(F547="L",F547="S",F547="I"),-1,1),"")</f>
        <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H30401</v>
      </c>
      <c r="AU547" s="599" t="str">
        <f t="shared" si="52"/>
        <v>VTE SANTA FE XL</v>
      </c>
      <c r="AV547" s="1030" t="str">
        <f>IFERROR(INDEX(V547:AG547,1,MATCH(Parametres!$B$3,V$1:AG$1,0)-1)*IF(OR(C547="L",C547="S",C547="I"),-1,1),"")</f>
        <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2026</v>
      </c>
      <c r="C548" s="832" t="s">
        <v>2237</v>
      </c>
      <c r="D548" s="832" t="s">
        <v>2238</v>
      </c>
      <c r="E548" s="832" t="s">
        <v>2226</v>
      </c>
      <c r="F548" s="832" t="s">
        <v>2226</v>
      </c>
      <c r="G548" s="832">
        <v>46748</v>
      </c>
      <c r="H548" s="832">
        <v>97725.39</v>
      </c>
      <c r="I548" s="832">
        <v>148373.95000000001</v>
      </c>
      <c r="J548" s="832">
        <v>148373.95000000001</v>
      </c>
      <c r="K548" s="832">
        <v>148373.95000000001</v>
      </c>
      <c r="L548" s="832">
        <v>148373.95000000001</v>
      </c>
      <c r="M548" s="832">
        <v>148373.95000000001</v>
      </c>
      <c r="N548" s="832">
        <v>148373.95000000001</v>
      </c>
      <c r="O548" s="832">
        <v>0</v>
      </c>
      <c r="P548" s="832">
        <v>0</v>
      </c>
      <c r="Q548" s="832">
        <v>0</v>
      </c>
      <c r="R548" s="832">
        <v>0</v>
      </c>
      <c r="S548" s="832">
        <v>21196.28</v>
      </c>
      <c r="T548" s="832">
        <v>21196.28</v>
      </c>
      <c r="U548" s="832">
        <v>0</v>
      </c>
      <c r="V548" s="832">
        <v>1</v>
      </c>
      <c r="W548" s="832">
        <v>2</v>
      </c>
      <c r="X548" s="832">
        <v>3</v>
      </c>
      <c r="Y548" s="832">
        <v>3</v>
      </c>
      <c r="Z548" s="832">
        <v>3</v>
      </c>
      <c r="AA548" s="832">
        <v>3</v>
      </c>
      <c r="AB548" s="832">
        <v>3</v>
      </c>
      <c r="AC548" s="832">
        <v>3</v>
      </c>
      <c r="AD548" s="832">
        <v>0</v>
      </c>
      <c r="AE548" s="832">
        <v>0</v>
      </c>
      <c r="AF548" s="832">
        <v>0</v>
      </c>
      <c r="AG548" s="832">
        <v>0</v>
      </c>
      <c r="AH548" s="832">
        <v>0</v>
      </c>
      <c r="AI548" s="832">
        <v>0</v>
      </c>
      <c r="AJ548" s="1030" t="str">
        <f t="shared" si="54"/>
        <v>H30402</v>
      </c>
      <c r="AK548" s="1030" t="str">
        <f t="shared" si="55"/>
        <v>VTE SANTA FE HYBRIDE</v>
      </c>
      <c r="AL548" s="1030" t="str">
        <f>IFERROR(INDEX(G548:R548,1,MATCH(Parametres!$B$3,G$1:R$1,0)-1)*IF(OR(F548="L",F548="S",F548="I"),-1,1),"")</f>
        <v/>
      </c>
      <c r="AM548" s="1030">
        <f t="shared" si="50"/>
        <v>-46748</v>
      </c>
      <c r="AN548" s="1030">
        <f>INDEX(G548:R548,1,MATCH(Parametres!$B$3,G$1:R$1,0))*IF(OR(F548="L",F548="S",F548="I"),-1,1)</f>
        <v>-46748</v>
      </c>
      <c r="AO548" s="598" t="str">
        <f>+VLOOKUP($AJ548,Data_Validation!$A:$D,1,0)</f>
        <v>H30402</v>
      </c>
      <c r="AP548" s="598" t="str">
        <f>+VLOOKUP($AJ548,Data_Validation!$A:$D,3,0)</f>
        <v>Véhicules neufs</v>
      </c>
      <c r="AQ548" s="598" t="str">
        <f>+VLOOKUP($AJ548,Data_Validation!$A:$D,4,0)</f>
        <v>Camions détail</v>
      </c>
      <c r="AR548" s="598" t="s">
        <v>299</v>
      </c>
      <c r="AS548" s="598" t="str">
        <f>+VLOOKUP($AJ548,Data_Validation!$A:$E,5,0)</f>
        <v>Oui</v>
      </c>
      <c r="AT548" s="1036" t="str">
        <f t="shared" si="51"/>
        <v>H30402</v>
      </c>
      <c r="AU548" s="599" t="str">
        <f t="shared" si="52"/>
        <v>VTE SANTA FE HYBRIDE</v>
      </c>
      <c r="AV548" s="1030" t="str">
        <f>IFERROR(INDEX(V548:AG548,1,MATCH(Parametres!$B$3,V$1:AG$1,0)-1)*IF(OR(C548="L",C548="S",C548="I"),-1,1),"")</f>
        <v/>
      </c>
      <c r="AW548" s="1030">
        <f t="shared" si="53"/>
        <v>1</v>
      </c>
      <c r="AX548" s="1030">
        <f>INDEX(V548:AG548,1,MATCH(Parametres!$B$3,V$1:AG$1,0))*IF(OR(C548="L",C548="S",C548="I"),-1,1)</f>
        <v>1</v>
      </c>
      <c r="AY548" s="598" t="s">
        <v>337</v>
      </c>
      <c r="AZ548" s="598" t="str">
        <f>+VLOOKUP($AJ548,Data_Validation!$A:$E,5,0)</f>
        <v>Oui</v>
      </c>
    </row>
    <row r="549" spans="1:52" ht="15" customHeight="1">
      <c r="A549" s="832" t="s">
        <v>1150</v>
      </c>
      <c r="B549" s="832">
        <v>2026</v>
      </c>
      <c r="C549" s="832" t="s">
        <v>2239</v>
      </c>
      <c r="D549" s="832" t="s">
        <v>2240</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H30403</v>
      </c>
      <c r="AK549" s="1030" t="str">
        <f t="shared" si="55"/>
        <v>VTE SANTA FE PHEV</v>
      </c>
      <c r="AL549" s="1030" t="str">
        <f>IFERROR(INDEX(G549:R549,1,MATCH(Parametres!$B$3,G$1:R$1,0)-1)*IF(OR(F549="L",F549="S",F549="I"),-1,1),"")</f>
        <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H30403</v>
      </c>
      <c r="AU549" s="599" t="str">
        <f t="shared" si="52"/>
        <v>VTE SANTA FE PHEV</v>
      </c>
      <c r="AV549" s="1030" t="str">
        <f>IFERROR(INDEX(V549:AG549,1,MATCH(Parametres!$B$3,V$1:AG$1,0)-1)*IF(OR(C549="L",C549="S",C549="I"),-1,1),"")</f>
        <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2026</v>
      </c>
      <c r="C550" s="832" t="s">
        <v>2241</v>
      </c>
      <c r="D550" s="832" t="s">
        <v>2242</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H30410</v>
      </c>
      <c r="AK550" s="1030" t="str">
        <f t="shared" si="55"/>
        <v>VTE SANTA FE  LWB</v>
      </c>
      <c r="AL550" s="1030" t="str">
        <f>IFERROR(INDEX(G550:R550,1,MATCH(Parametres!$B$3,G$1:R$1,0)-1)*IF(OR(F550="L",F550="S",F550="I"),-1,1),"")</f>
        <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H30410</v>
      </c>
      <c r="AU550" s="599" t="str">
        <f t="shared" si="52"/>
        <v>VTE SANTA FE  LWB</v>
      </c>
      <c r="AV550" s="1030" t="str">
        <f>IFERROR(INDEX(V550:AG550,1,MATCH(Parametres!$B$3,V$1:AG$1,0)-1)*IF(OR(C550="L",C550="S",C550="I"),-1,1),"")</f>
        <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2026</v>
      </c>
      <c r="C551" s="832" t="s">
        <v>2243</v>
      </c>
      <c r="D551" s="832" t="s">
        <v>2244</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30" t="str">
        <f t="shared" si="54"/>
        <v>H30500</v>
      </c>
      <c r="AK551" s="1030" t="str">
        <f t="shared" si="55"/>
        <v>VTE SONATA HYBRIDE</v>
      </c>
      <c r="AL551" s="1030" t="str">
        <f>IFERROR(INDEX(G551:R551,1,MATCH(Parametres!$B$3,G$1:R$1,0)-1)*IF(OR(F551="L",F551="S",F551="I"),-1,1),"")</f>
        <v/>
      </c>
      <c r="AM551" s="1030">
        <f t="shared" si="50"/>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t="str">
        <f t="shared" si="51"/>
        <v>H30500</v>
      </c>
      <c r="AU551" s="599" t="str">
        <f t="shared" si="52"/>
        <v>VTE SONATA HYBRIDE</v>
      </c>
      <c r="AV551" s="1030" t="str">
        <f>IFERROR(INDEX(V551:AG551,1,MATCH(Parametres!$B$3,V$1:AG$1,0)-1)*IF(OR(C551="L",C551="S",C551="I"),-1,1),"")</f>
        <v/>
      </c>
      <c r="AW551" s="1030">
        <f t="shared" si="53"/>
        <v>0</v>
      </c>
      <c r="AX551" s="1030">
        <f>INDEX(V551:AG551,1,MATCH(Parametres!$B$3,V$1:AG$1,0))*IF(OR(C551="L",C551="S",C551="I"),-1,1)</f>
        <v>0</v>
      </c>
      <c r="AY551" s="598" t="s">
        <v>337</v>
      </c>
      <c r="AZ551" s="598" t="e">
        <f>+VLOOKUP($AJ551,Data_Validation!$A:$E,5,0)</f>
        <v>#N/A</v>
      </c>
    </row>
    <row r="552" spans="1:52" ht="15" customHeight="1">
      <c r="A552" s="832" t="s">
        <v>1150</v>
      </c>
      <c r="B552" s="832">
        <v>2026</v>
      </c>
      <c r="C552" s="832" t="s">
        <v>2245</v>
      </c>
      <c r="D552" s="832" t="s">
        <v>2246</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H30600</v>
      </c>
      <c r="AK552" s="1030" t="str">
        <f t="shared" si="55"/>
        <v>VTE ELANTRA TOURING</v>
      </c>
      <c r="AL552" s="1030" t="str">
        <f>IFERROR(INDEX(G552:R552,1,MATCH(Parametres!$B$3,G$1:R$1,0)-1)*IF(OR(F552="L",F552="S",F552="I"),-1,1),"")</f>
        <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H30600</v>
      </c>
      <c r="AU552" s="599" t="str">
        <f t="shared" si="52"/>
        <v>VTE ELANTRA TOURING</v>
      </c>
      <c r="AV552" s="1030" t="str">
        <f>IFERROR(INDEX(V552:AG552,1,MATCH(Parametres!$B$3,V$1:AG$1,0)-1)*IF(OR(C552="L",C552="S",C552="I"),-1,1),"")</f>
        <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2026</v>
      </c>
      <c r="C553" s="832" t="s">
        <v>2247</v>
      </c>
      <c r="D553" s="832" t="s">
        <v>2248</v>
      </c>
      <c r="E553" s="832" t="s">
        <v>2226</v>
      </c>
      <c r="F553" s="832" t="s">
        <v>2226</v>
      </c>
      <c r="G553" s="832">
        <v>166321.79999999999</v>
      </c>
      <c r="H553" s="832">
        <v>405632.37</v>
      </c>
      <c r="I553" s="832">
        <v>717532.74</v>
      </c>
      <c r="J553" s="832">
        <v>1055314.79</v>
      </c>
      <c r="K553" s="832">
        <v>1158046.1100000001</v>
      </c>
      <c r="L553" s="832">
        <v>1158046.1100000001</v>
      </c>
      <c r="M553" s="832">
        <v>1158046.1100000001</v>
      </c>
      <c r="N553" s="832">
        <v>1158046.1100000001</v>
      </c>
      <c r="O553" s="832">
        <v>0</v>
      </c>
      <c r="P553" s="832">
        <v>0</v>
      </c>
      <c r="Q553" s="832">
        <v>0</v>
      </c>
      <c r="R553" s="832">
        <v>0</v>
      </c>
      <c r="S553" s="832">
        <v>165435.16</v>
      </c>
      <c r="T553" s="832">
        <v>165435.16</v>
      </c>
      <c r="U553" s="832">
        <v>0</v>
      </c>
      <c r="V553" s="832">
        <v>6</v>
      </c>
      <c r="W553" s="832">
        <v>14</v>
      </c>
      <c r="X553" s="832">
        <v>25</v>
      </c>
      <c r="Y553" s="832">
        <v>37</v>
      </c>
      <c r="Z553" s="832">
        <v>40</v>
      </c>
      <c r="AA553" s="832">
        <v>40</v>
      </c>
      <c r="AB553" s="832">
        <v>40</v>
      </c>
      <c r="AC553" s="832">
        <v>40</v>
      </c>
      <c r="AD553" s="832">
        <v>0</v>
      </c>
      <c r="AE553" s="832">
        <v>0</v>
      </c>
      <c r="AF553" s="832">
        <v>0</v>
      </c>
      <c r="AG553" s="832">
        <v>0</v>
      </c>
      <c r="AH553" s="832">
        <v>6</v>
      </c>
      <c r="AI553" s="832">
        <v>6</v>
      </c>
      <c r="AJ553" s="1030" t="str">
        <f t="shared" si="54"/>
        <v>H30601</v>
      </c>
      <c r="AK553" s="1030" t="str">
        <f t="shared" si="55"/>
        <v>VTE ELANTRA</v>
      </c>
      <c r="AL553" s="1030" t="str">
        <f>IFERROR(INDEX(G553:R553,1,MATCH(Parametres!$B$3,G$1:R$1,0)-1)*IF(OR(F553="L",F553="S",F553="I"),-1,1),"")</f>
        <v/>
      </c>
      <c r="AM553" s="1030">
        <f t="shared" si="50"/>
        <v>-166321.79999999999</v>
      </c>
      <c r="AN553" s="1030">
        <f>INDEX(G553:R553,1,MATCH(Parametres!$B$3,G$1:R$1,0))*IF(OR(F553="L",F553="S",F553="I"),-1,1)</f>
        <v>-166321.79999999999</v>
      </c>
      <c r="AO553" s="598" t="str">
        <f>+VLOOKUP($AJ553,Data_Validation!$A:$D,1,0)</f>
        <v>H30601</v>
      </c>
      <c r="AP553" s="598" t="str">
        <f>+VLOOKUP($AJ553,Data_Validation!$A:$D,3,0)</f>
        <v>Véhicules neufs</v>
      </c>
      <c r="AQ553" s="598" t="str">
        <f>+VLOOKUP($AJ553,Data_Validation!$A:$D,4,0)</f>
        <v>Autos détail</v>
      </c>
      <c r="AR553" s="598" t="s">
        <v>299</v>
      </c>
      <c r="AS553" s="598" t="str">
        <f>+VLOOKUP($AJ553,Data_Validation!$A:$E,5,0)</f>
        <v>Oui</v>
      </c>
      <c r="AT553" s="1036" t="str">
        <f t="shared" si="51"/>
        <v>H30601</v>
      </c>
      <c r="AU553" s="599" t="str">
        <f t="shared" si="52"/>
        <v>VTE ELANTRA</v>
      </c>
      <c r="AV553" s="1030" t="str">
        <f>IFERROR(INDEX(V553:AG553,1,MATCH(Parametres!$B$3,V$1:AG$1,0)-1)*IF(OR(C553="L",C553="S",C553="I"),-1,1),"")</f>
        <v/>
      </c>
      <c r="AW553" s="1030">
        <f t="shared" si="53"/>
        <v>6</v>
      </c>
      <c r="AX553" s="1030">
        <f>INDEX(V553:AG553,1,MATCH(Parametres!$B$3,V$1:AG$1,0))*IF(OR(C553="L",C553="S",C553="I"),-1,1)</f>
        <v>6</v>
      </c>
      <c r="AY553" s="598" t="s">
        <v>337</v>
      </c>
      <c r="AZ553" s="598" t="str">
        <f>+VLOOKUP($AJ553,Data_Validation!$A:$E,5,0)</f>
        <v>Oui</v>
      </c>
    </row>
    <row r="554" spans="1:52" ht="15" customHeight="1">
      <c r="A554" s="832" t="s">
        <v>1150</v>
      </c>
      <c r="B554" s="832">
        <v>2026</v>
      </c>
      <c r="C554" s="832" t="s">
        <v>2249</v>
      </c>
      <c r="D554" s="832" t="s">
        <v>2250</v>
      </c>
      <c r="E554" s="832" t="s">
        <v>2226</v>
      </c>
      <c r="F554" s="832" t="s">
        <v>2226</v>
      </c>
      <c r="G554" s="832">
        <v>0</v>
      </c>
      <c r="H554" s="832">
        <v>0</v>
      </c>
      <c r="I554" s="832">
        <v>0</v>
      </c>
      <c r="J554" s="832">
        <v>0</v>
      </c>
      <c r="K554" s="832">
        <v>0</v>
      </c>
      <c r="L554" s="832">
        <v>0</v>
      </c>
      <c r="M554" s="832">
        <v>0</v>
      </c>
      <c r="N554" s="832">
        <v>0</v>
      </c>
      <c r="O554" s="832">
        <v>0</v>
      </c>
      <c r="P554" s="832">
        <v>0</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0</v>
      </c>
      <c r="AF554" s="832">
        <v>0</v>
      </c>
      <c r="AG554" s="832">
        <v>0</v>
      </c>
      <c r="AH554" s="832">
        <v>0</v>
      </c>
      <c r="AI554" s="832">
        <v>0</v>
      </c>
      <c r="AJ554" s="1030" t="str">
        <f t="shared" si="54"/>
        <v>H30602</v>
      </c>
      <c r="AK554" s="1030" t="str">
        <f t="shared" si="55"/>
        <v>VTE ELANTRA COUPE</v>
      </c>
      <c r="AL554" s="1030" t="str">
        <f>IFERROR(INDEX(G554:R554,1,MATCH(Parametres!$B$3,G$1:R$1,0)-1)*IF(OR(F554="L",F554="S",F554="I"),-1,1),"")</f>
        <v/>
      </c>
      <c r="AM554" s="1030">
        <f t="shared" si="50"/>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t="str">
        <f t="shared" si="51"/>
        <v>H30602</v>
      </c>
      <c r="AU554" s="599" t="str">
        <f t="shared" si="52"/>
        <v>VTE ELANTRA COUPE</v>
      </c>
      <c r="AV554" s="1030" t="str">
        <f>IFERROR(INDEX(V554:AG554,1,MATCH(Parametres!$B$3,V$1:AG$1,0)-1)*IF(OR(C554="L",C554="S",C554="I"),-1,1),"")</f>
        <v/>
      </c>
      <c r="AW554" s="1030">
        <f t="shared" si="53"/>
        <v>0</v>
      </c>
      <c r="AX554" s="1030">
        <f>INDEX(V554:AG554,1,MATCH(Parametres!$B$3,V$1:AG$1,0))*IF(OR(C554="L",C554="S",C554="I"),-1,1)</f>
        <v>0</v>
      </c>
      <c r="AY554" s="598" t="s">
        <v>337</v>
      </c>
      <c r="AZ554" s="598" t="e">
        <f>+VLOOKUP($AJ554,Data_Validation!$A:$E,5,0)</f>
        <v>#N/A</v>
      </c>
    </row>
    <row r="555" spans="1:52" ht="15" customHeight="1">
      <c r="A555" s="832" t="s">
        <v>1150</v>
      </c>
      <c r="B555" s="832">
        <v>2026</v>
      </c>
      <c r="C555" s="832" t="s">
        <v>2251</v>
      </c>
      <c r="D555" s="832" t="s">
        <v>2252</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H30603</v>
      </c>
      <c r="AK555" s="1030" t="str">
        <f t="shared" si="55"/>
        <v>ELANTRA GT</v>
      </c>
      <c r="AL555" s="1030" t="str">
        <f>IFERROR(INDEX(G555:R555,1,MATCH(Parametres!$B$3,G$1:R$1,0)-1)*IF(OR(F555="L",F555="S",F555="I"),-1,1),"")</f>
        <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H30603</v>
      </c>
      <c r="AU555" s="599" t="str">
        <f t="shared" si="52"/>
        <v>ELANTRA GT</v>
      </c>
      <c r="AV555" s="1030" t="str">
        <f>IFERROR(INDEX(V555:AG555,1,MATCH(Parametres!$B$3,V$1:AG$1,0)-1)*IF(OR(C555="L",C555="S",C555="I"),-1,1),"")</f>
        <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2026</v>
      </c>
      <c r="C556" s="832" t="s">
        <v>2253</v>
      </c>
      <c r="D556" s="832" t="s">
        <v>2254</v>
      </c>
      <c r="E556" s="832" t="s">
        <v>2226</v>
      </c>
      <c r="F556" s="832" t="s">
        <v>2226</v>
      </c>
      <c r="G556" s="832">
        <v>0</v>
      </c>
      <c r="H556" s="832">
        <v>35811.870000000003</v>
      </c>
      <c r="I556" s="832">
        <v>68660.429999999993</v>
      </c>
      <c r="J556" s="832">
        <v>102379.72</v>
      </c>
      <c r="K556" s="832">
        <v>102379.72</v>
      </c>
      <c r="L556" s="832">
        <v>102379.72</v>
      </c>
      <c r="M556" s="832">
        <v>102379.72</v>
      </c>
      <c r="N556" s="832">
        <v>102379.72</v>
      </c>
      <c r="O556" s="832">
        <v>0</v>
      </c>
      <c r="P556" s="832">
        <v>0</v>
      </c>
      <c r="Q556" s="832">
        <v>0</v>
      </c>
      <c r="R556" s="832">
        <v>0</v>
      </c>
      <c r="S556" s="832">
        <v>14625.67</v>
      </c>
      <c r="T556" s="832">
        <v>14625.67</v>
      </c>
      <c r="U556" s="832">
        <v>0</v>
      </c>
      <c r="V556" s="832">
        <v>0</v>
      </c>
      <c r="W556" s="832">
        <v>1</v>
      </c>
      <c r="X556" s="832">
        <v>2</v>
      </c>
      <c r="Y556" s="832">
        <v>3</v>
      </c>
      <c r="Z556" s="832">
        <v>3</v>
      </c>
      <c r="AA556" s="832">
        <v>3</v>
      </c>
      <c r="AB556" s="832">
        <v>3</v>
      </c>
      <c r="AC556" s="832">
        <v>3</v>
      </c>
      <c r="AD556" s="832">
        <v>0</v>
      </c>
      <c r="AE556" s="832">
        <v>0</v>
      </c>
      <c r="AF556" s="832">
        <v>0</v>
      </c>
      <c r="AG556" s="832">
        <v>0</v>
      </c>
      <c r="AH556" s="832">
        <v>0</v>
      </c>
      <c r="AI556" s="832">
        <v>0</v>
      </c>
      <c r="AJ556" s="1030" t="str">
        <f t="shared" si="54"/>
        <v>H30604</v>
      </c>
      <c r="AK556" s="1030" t="str">
        <f t="shared" si="55"/>
        <v>VTE ELANTRA HYBRIDE</v>
      </c>
      <c r="AL556" s="1030" t="str">
        <f>IFERROR(INDEX(G556:R556,1,MATCH(Parametres!$B$3,G$1:R$1,0)-1)*IF(OR(F556="L",F556="S",F556="I"),-1,1),"")</f>
        <v/>
      </c>
      <c r="AM556" s="1030">
        <f t="shared" si="50"/>
        <v>0</v>
      </c>
      <c r="AN556" s="1030">
        <f>INDEX(G556:R556,1,MATCH(Parametres!$B$3,G$1:R$1,0))*IF(OR(F556="L",F556="S",F556="I"),-1,1)</f>
        <v>0</v>
      </c>
      <c r="AO556" s="598" t="str">
        <f>+VLOOKUP($AJ556,Data_Validation!$A:$D,1,0)</f>
        <v>H30604</v>
      </c>
      <c r="AP556" s="598" t="str">
        <f>+VLOOKUP($AJ556,Data_Validation!$A:$D,3,0)</f>
        <v>Véhicules neufs</v>
      </c>
      <c r="AQ556" s="598" t="str">
        <f>+VLOOKUP($AJ556,Data_Validation!$A:$D,4,0)</f>
        <v>Autos détail</v>
      </c>
      <c r="AR556" s="598" t="s">
        <v>299</v>
      </c>
      <c r="AS556" s="598" t="str">
        <f>+VLOOKUP($AJ556,Data_Validation!$A:$E,5,0)</f>
        <v>Oui</v>
      </c>
      <c r="AT556" s="1036" t="str">
        <f t="shared" si="51"/>
        <v>H30604</v>
      </c>
      <c r="AU556" s="599" t="str">
        <f t="shared" si="52"/>
        <v>VTE ELANTRA HYBRIDE</v>
      </c>
      <c r="AV556" s="1030" t="str">
        <f>IFERROR(INDEX(V556:AG556,1,MATCH(Parametres!$B$3,V$1:AG$1,0)-1)*IF(OR(C556="L",C556="S",C556="I"),-1,1),"")</f>
        <v/>
      </c>
      <c r="AW556" s="1030">
        <f t="shared" si="53"/>
        <v>0</v>
      </c>
      <c r="AX556" s="1030">
        <f>INDEX(V556:AG556,1,MATCH(Parametres!$B$3,V$1:AG$1,0))*IF(OR(C556="L",C556="S",C556="I"),-1,1)</f>
        <v>0</v>
      </c>
      <c r="AY556" s="598" t="s">
        <v>337</v>
      </c>
      <c r="AZ556" s="598" t="str">
        <f>+VLOOKUP($AJ556,Data_Validation!$A:$E,5,0)</f>
        <v>Oui</v>
      </c>
    </row>
    <row r="557" spans="1:52" ht="15" customHeight="1">
      <c r="A557" s="832" t="s">
        <v>1150</v>
      </c>
      <c r="B557" s="832">
        <v>2026</v>
      </c>
      <c r="C557" s="832" t="s">
        <v>2255</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H30620</v>
      </c>
      <c r="AK557" s="1030" t="str">
        <f t="shared" si="55"/>
        <v>VTE ELANTRA COUPE</v>
      </c>
      <c r="AL557" s="1030" t="str">
        <f>IFERROR(INDEX(G557:R557,1,MATCH(Parametres!$B$3,G$1:R$1,0)-1)*IF(OR(F557="L",F557="S",F557="I"),-1,1),"")</f>
        <v/>
      </c>
      <c r="AM557" s="1030">
        <f t="shared" si="50"/>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t="str">
        <f t="shared" si="51"/>
        <v>H30620</v>
      </c>
      <c r="AU557" s="599" t="str">
        <f t="shared" si="52"/>
        <v>VTE ELANTRA COUPE</v>
      </c>
      <c r="AV557" s="1030" t="str">
        <f>IFERROR(INDEX(V557:AG557,1,MATCH(Parametres!$B$3,V$1:AG$1,0)-1)*IF(OR(C557="L",C557="S",C557="I"),-1,1),"")</f>
        <v/>
      </c>
      <c r="AW557" s="1030">
        <f t="shared" si="53"/>
        <v>0</v>
      </c>
      <c r="AX557" s="1030">
        <f>INDEX(V557:AG557,1,MATCH(Parametres!$B$3,V$1:AG$1,0))*IF(OR(C557="L",C557="S",C557="I"),-1,1)</f>
        <v>0</v>
      </c>
      <c r="AY557" s="598" t="s">
        <v>337</v>
      </c>
      <c r="AZ557" s="598" t="e">
        <f>+VLOOKUP($AJ557,Data_Validation!$A:$E,5,0)</f>
        <v>#N/A</v>
      </c>
    </row>
    <row r="558" spans="1:52" ht="15" customHeight="1">
      <c r="A558" s="832" t="s">
        <v>1150</v>
      </c>
      <c r="B558" s="832">
        <v>2026</v>
      </c>
      <c r="C558" s="832" t="s">
        <v>2256</v>
      </c>
      <c r="D558" s="832" t="s">
        <v>2257</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H30700</v>
      </c>
      <c r="AK558" s="1030" t="str">
        <f t="shared" si="55"/>
        <v>VTE NEUFS GENESIS</v>
      </c>
      <c r="AL558" s="1030" t="str">
        <f>IFERROR(INDEX(G558:R558,1,MATCH(Parametres!$B$3,G$1:R$1,0)-1)*IF(OR(F558="L",F558="S",F558="I"),-1,1),"")</f>
        <v/>
      </c>
      <c r="AM558" s="1030">
        <f t="shared" si="50"/>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t="str">
        <f t="shared" si="51"/>
        <v>H30700</v>
      </c>
      <c r="AU558" s="599" t="str">
        <f t="shared" si="52"/>
        <v>VTE NEUFS GENESIS</v>
      </c>
      <c r="AV558" s="1030" t="str">
        <f>IFERROR(INDEX(V558:AG558,1,MATCH(Parametres!$B$3,V$1:AG$1,0)-1)*IF(OR(C558="L",C558="S",C558="I"),-1,1),"")</f>
        <v/>
      </c>
      <c r="AW558" s="1030">
        <f t="shared" si="53"/>
        <v>0</v>
      </c>
      <c r="AX558" s="1030">
        <f>INDEX(V558:AG558,1,MATCH(Parametres!$B$3,V$1:AG$1,0))*IF(OR(C558="L",C558="S",C558="I"),-1,1)</f>
        <v>0</v>
      </c>
      <c r="AY558" s="598" t="s">
        <v>337</v>
      </c>
      <c r="AZ558" s="598" t="e">
        <f>+VLOOKUP($AJ558,Data_Validation!$A:$E,5,0)</f>
        <v>#N/A</v>
      </c>
    </row>
    <row r="559" spans="1:52" ht="15" customHeight="1">
      <c r="A559" s="832" t="s">
        <v>1150</v>
      </c>
      <c r="B559" s="832">
        <v>2026</v>
      </c>
      <c r="C559" s="832" t="s">
        <v>2258</v>
      </c>
      <c r="D559" s="832" t="s">
        <v>2259</v>
      </c>
      <c r="E559" s="832" t="s">
        <v>2226</v>
      </c>
      <c r="F559" s="832" t="s">
        <v>2226</v>
      </c>
      <c r="G559" s="832">
        <v>0</v>
      </c>
      <c r="H559" s="832">
        <v>0</v>
      </c>
      <c r="I559" s="832">
        <v>0</v>
      </c>
      <c r="J559" s="832">
        <v>117133.49</v>
      </c>
      <c r="K559" s="832">
        <v>197247.99</v>
      </c>
      <c r="L559" s="832">
        <v>197247.99</v>
      </c>
      <c r="M559" s="832">
        <v>197247.99</v>
      </c>
      <c r="N559" s="832">
        <v>197247.99</v>
      </c>
      <c r="O559" s="832">
        <v>0</v>
      </c>
      <c r="P559" s="832">
        <v>0</v>
      </c>
      <c r="Q559" s="832">
        <v>0</v>
      </c>
      <c r="R559" s="832">
        <v>0</v>
      </c>
      <c r="S559" s="832">
        <v>28178.28</v>
      </c>
      <c r="T559" s="832">
        <v>28178.28</v>
      </c>
      <c r="U559" s="832">
        <v>0</v>
      </c>
      <c r="V559" s="832">
        <v>0</v>
      </c>
      <c r="W559" s="832">
        <v>0</v>
      </c>
      <c r="X559" s="832">
        <v>0</v>
      </c>
      <c r="Y559" s="832">
        <v>2</v>
      </c>
      <c r="Z559" s="832">
        <v>3</v>
      </c>
      <c r="AA559" s="832">
        <v>3</v>
      </c>
      <c r="AB559" s="832">
        <v>3</v>
      </c>
      <c r="AC559" s="832">
        <v>3</v>
      </c>
      <c r="AD559" s="832">
        <v>0</v>
      </c>
      <c r="AE559" s="832">
        <v>0</v>
      </c>
      <c r="AF559" s="832">
        <v>0</v>
      </c>
      <c r="AG559" s="832">
        <v>0</v>
      </c>
      <c r="AH559" s="832">
        <v>0</v>
      </c>
      <c r="AI559" s="832">
        <v>0</v>
      </c>
      <c r="AJ559" s="1030" t="str">
        <f t="shared" si="54"/>
        <v>H30800</v>
      </c>
      <c r="AK559" s="1030" t="str">
        <f t="shared" si="55"/>
        <v>VTE IONIQ EV ET H</v>
      </c>
      <c r="AL559" s="1030" t="str">
        <f>IFERROR(INDEX(G559:R559,1,MATCH(Parametres!$B$3,G$1:R$1,0)-1)*IF(OR(F559="L",F559="S",F559="I"),-1,1),"")</f>
        <v/>
      </c>
      <c r="AM559" s="1030">
        <f t="shared" si="50"/>
        <v>0</v>
      </c>
      <c r="AN559" s="1030">
        <f>INDEX(G559:R559,1,MATCH(Parametres!$B$3,G$1:R$1,0))*IF(OR(F559="L",F559="S",F559="I"),-1,1)</f>
        <v>0</v>
      </c>
      <c r="AO559" s="598" t="str">
        <f>+VLOOKUP($AJ559,Data_Validation!$A:$D,1,0)</f>
        <v>H30800</v>
      </c>
      <c r="AP559" s="598" t="str">
        <f>+VLOOKUP($AJ559,Data_Validation!$A:$D,3,0)</f>
        <v>Véhicules neufs</v>
      </c>
      <c r="AQ559" s="598" t="str">
        <f>+VLOOKUP($AJ559,Data_Validation!$A:$D,4,0)</f>
        <v>Voitures electriques</v>
      </c>
      <c r="AR559" s="598" t="s">
        <v>299</v>
      </c>
      <c r="AS559" s="598" t="str">
        <f>+VLOOKUP($AJ559,Data_Validation!$A:$E,5,0)</f>
        <v>Oui</v>
      </c>
      <c r="AT559" s="1036" t="str">
        <f t="shared" si="51"/>
        <v>H30800</v>
      </c>
      <c r="AU559" s="599" t="str">
        <f t="shared" si="52"/>
        <v>VTE IONIQ EV ET H</v>
      </c>
      <c r="AV559" s="1030" t="str">
        <f>IFERROR(INDEX(V559:AG559,1,MATCH(Parametres!$B$3,V$1:AG$1,0)-1)*IF(OR(C559="L",C559="S",C559="I"),-1,1),"")</f>
        <v/>
      </c>
      <c r="AW559" s="1030">
        <f t="shared" si="53"/>
        <v>0</v>
      </c>
      <c r="AX559" s="1030">
        <f>INDEX(V559:AG559,1,MATCH(Parametres!$B$3,V$1:AG$1,0))*IF(OR(C559="L",C559="S",C559="I"),-1,1)</f>
        <v>0</v>
      </c>
      <c r="AY559" s="598" t="s">
        <v>337</v>
      </c>
      <c r="AZ559" s="598" t="str">
        <f>+VLOOKUP($AJ559,Data_Validation!$A:$E,5,0)</f>
        <v>Oui</v>
      </c>
    </row>
    <row r="560" spans="1:52" ht="15" customHeight="1">
      <c r="A560" s="832" t="s">
        <v>1150</v>
      </c>
      <c r="B560" s="832">
        <v>2026</v>
      </c>
      <c r="C560" s="832" t="s">
        <v>2260</v>
      </c>
      <c r="D560" s="832" t="s">
        <v>2261</v>
      </c>
      <c r="E560" s="832" t="s">
        <v>2226</v>
      </c>
      <c r="F560" s="832" t="s">
        <v>2226</v>
      </c>
      <c r="G560" s="832">
        <v>0</v>
      </c>
      <c r="H560" s="832">
        <v>0</v>
      </c>
      <c r="I560" s="832">
        <v>0</v>
      </c>
      <c r="J560" s="832">
        <v>142896.56</v>
      </c>
      <c r="K560" s="832">
        <v>414973.95</v>
      </c>
      <c r="L560" s="832">
        <v>414973.95</v>
      </c>
      <c r="M560" s="832">
        <v>414973.95</v>
      </c>
      <c r="N560" s="832">
        <v>414973.95</v>
      </c>
      <c r="O560" s="832">
        <v>0</v>
      </c>
      <c r="P560" s="832">
        <v>0</v>
      </c>
      <c r="Q560" s="832">
        <v>0</v>
      </c>
      <c r="R560" s="832">
        <v>0</v>
      </c>
      <c r="S560" s="832">
        <v>59281.99</v>
      </c>
      <c r="T560" s="832">
        <v>59281.99</v>
      </c>
      <c r="U560" s="832">
        <v>0</v>
      </c>
      <c r="V560" s="832">
        <v>0</v>
      </c>
      <c r="W560" s="832">
        <v>0</v>
      </c>
      <c r="X560" s="832">
        <v>0</v>
      </c>
      <c r="Y560" s="832">
        <v>2</v>
      </c>
      <c r="Z560" s="832">
        <v>6</v>
      </c>
      <c r="AA560" s="832">
        <v>6</v>
      </c>
      <c r="AB560" s="832">
        <v>6</v>
      </c>
      <c r="AC560" s="832">
        <v>6</v>
      </c>
      <c r="AD560" s="832">
        <v>0</v>
      </c>
      <c r="AE560" s="832">
        <v>0</v>
      </c>
      <c r="AF560" s="832">
        <v>0</v>
      </c>
      <c r="AG560" s="832">
        <v>0</v>
      </c>
      <c r="AH560" s="832">
        <v>1</v>
      </c>
      <c r="AI560" s="832">
        <v>1</v>
      </c>
      <c r="AJ560" s="1030" t="str">
        <f t="shared" si="54"/>
        <v>H30801</v>
      </c>
      <c r="AK560" s="1030" t="str">
        <f t="shared" si="55"/>
        <v>VTE IONIQ PHEV ET EV</v>
      </c>
      <c r="AL560" s="1030" t="str">
        <f>IFERROR(INDEX(G560:R560,1,MATCH(Parametres!$B$3,G$1:R$1,0)-1)*IF(OR(F560="L",F560="S",F560="I"),-1,1),"")</f>
        <v/>
      </c>
      <c r="AM560" s="1030">
        <f t="shared" si="50"/>
        <v>0</v>
      </c>
      <c r="AN560" s="1030">
        <f>INDEX(G560:R560,1,MATCH(Parametres!$B$3,G$1:R$1,0))*IF(OR(F560="L",F560="S",F560="I"),-1,1)</f>
        <v>0</v>
      </c>
      <c r="AO560" s="598" t="str">
        <f>+VLOOKUP($AJ560,Data_Validation!$A:$D,1,0)</f>
        <v>H30801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H30801</v>
      </c>
      <c r="AU560" s="599" t="str">
        <f t="shared" si="52"/>
        <v>VTE IONIQ PHEV ET EV</v>
      </c>
      <c r="AV560" s="1030" t="str">
        <f>IFERROR(INDEX(V560:AG560,1,MATCH(Parametres!$B$3,V$1:AG$1,0)-1)*IF(OR(C560="L",C560="S",C560="I"),-1,1),"")</f>
        <v/>
      </c>
      <c r="AW560" s="1030">
        <f t="shared" si="53"/>
        <v>0</v>
      </c>
      <c r="AX560" s="1030">
        <f>INDEX(V560:AG560,1,MATCH(Parametres!$B$3,V$1:AG$1,0))*IF(OR(C560="L",C560="S",C560="I"),-1,1)</f>
        <v>0</v>
      </c>
      <c r="AY560" s="598" t="s">
        <v>337</v>
      </c>
      <c r="AZ560" s="598" t="str">
        <f>+VLOOKUP($AJ560,Data_Validation!$A:$E,5,0)</f>
        <v>Oui</v>
      </c>
    </row>
    <row r="561" spans="1:52" ht="15" customHeight="1">
      <c r="A561" s="832" t="s">
        <v>1150</v>
      </c>
      <c r="B561" s="832">
        <v>2026</v>
      </c>
      <c r="C561" s="832" t="s">
        <v>2262</v>
      </c>
      <c r="D561" s="832" t="s">
        <v>2263</v>
      </c>
      <c r="E561" s="832" t="s">
        <v>2226</v>
      </c>
      <c r="F561" s="832" t="s">
        <v>2226</v>
      </c>
      <c r="G561" s="832">
        <v>328424.21999999997</v>
      </c>
      <c r="H561" s="832">
        <v>532459.22</v>
      </c>
      <c r="I561" s="832">
        <v>955295.52</v>
      </c>
      <c r="J561" s="832">
        <v>1457342.87</v>
      </c>
      <c r="K561" s="832">
        <v>1750736.32</v>
      </c>
      <c r="L561" s="832">
        <v>1750736.32</v>
      </c>
      <c r="M561" s="832">
        <v>1750736.32</v>
      </c>
      <c r="N561" s="832">
        <v>1750736.32</v>
      </c>
      <c r="O561" s="832">
        <v>0</v>
      </c>
      <c r="P561" s="832">
        <v>0</v>
      </c>
      <c r="Q561" s="832">
        <v>0</v>
      </c>
      <c r="R561" s="832">
        <v>0</v>
      </c>
      <c r="S561" s="832">
        <v>250105.19</v>
      </c>
      <c r="T561" s="832">
        <v>250105.19</v>
      </c>
      <c r="U561" s="832">
        <v>0</v>
      </c>
      <c r="V561" s="832">
        <v>10</v>
      </c>
      <c r="W561" s="832">
        <v>16</v>
      </c>
      <c r="X561" s="832">
        <v>28</v>
      </c>
      <c r="Y561" s="832">
        <v>42</v>
      </c>
      <c r="Z561" s="832">
        <v>51</v>
      </c>
      <c r="AA561" s="832">
        <v>51</v>
      </c>
      <c r="AB561" s="832">
        <v>51</v>
      </c>
      <c r="AC561" s="832">
        <v>51</v>
      </c>
      <c r="AD561" s="832">
        <v>0</v>
      </c>
      <c r="AE561" s="832">
        <v>0</v>
      </c>
      <c r="AF561" s="832">
        <v>0</v>
      </c>
      <c r="AG561" s="832">
        <v>0</v>
      </c>
      <c r="AH561" s="832">
        <v>7</v>
      </c>
      <c r="AI561" s="832">
        <v>7</v>
      </c>
      <c r="AJ561" s="1030" t="str">
        <f t="shared" si="54"/>
        <v>H30900</v>
      </c>
      <c r="AK561" s="1030" t="str">
        <f t="shared" si="55"/>
        <v>VTE KONA</v>
      </c>
      <c r="AL561" s="1030" t="str">
        <f>IFERROR(INDEX(G561:R561,1,MATCH(Parametres!$B$3,G$1:R$1,0)-1)*IF(OR(F561="L",F561="S",F561="I"),-1,1),"")</f>
        <v/>
      </c>
      <c r="AM561" s="1030">
        <f t="shared" si="50"/>
        <v>-328424.21999999997</v>
      </c>
      <c r="AN561" s="1030">
        <f>INDEX(G561:R561,1,MATCH(Parametres!$B$3,G$1:R$1,0))*IF(OR(F561="L",F561="S",F561="I"),-1,1)</f>
        <v>-328424.21999999997</v>
      </c>
      <c r="AO561" s="598" t="str">
        <f>+VLOOKUP($AJ561,Data_Validation!$A:$D,1,0)</f>
        <v>H30900</v>
      </c>
      <c r="AP561" s="598" t="str">
        <f>+VLOOKUP($AJ561,Data_Validation!$A:$D,3,0)</f>
        <v>Véhicules neufs</v>
      </c>
      <c r="AQ561" s="598" t="str">
        <f>+VLOOKUP($AJ561,Data_Validation!$A:$D,4,0)</f>
        <v>Camions détail</v>
      </c>
      <c r="AR561" s="598" t="s">
        <v>299</v>
      </c>
      <c r="AS561" s="598" t="str">
        <f>+VLOOKUP($AJ561,Data_Validation!$A:$E,5,0)</f>
        <v>Oui</v>
      </c>
      <c r="AT561" s="1036" t="str">
        <f t="shared" si="51"/>
        <v>H30900</v>
      </c>
      <c r="AU561" s="599" t="str">
        <f t="shared" si="52"/>
        <v>VTE KONA</v>
      </c>
      <c r="AV561" s="1030" t="str">
        <f>IFERROR(INDEX(V561:AG561,1,MATCH(Parametres!$B$3,V$1:AG$1,0)-1)*IF(OR(C561="L",C561="S",C561="I"),-1,1),"")</f>
        <v/>
      </c>
      <c r="AW561" s="1030">
        <f t="shared" si="53"/>
        <v>10</v>
      </c>
      <c r="AX561" s="1030">
        <f>INDEX(V561:AG561,1,MATCH(Parametres!$B$3,V$1:AG$1,0))*IF(OR(C561="L",C561="S",C561="I"),-1,1)</f>
        <v>10</v>
      </c>
      <c r="AY561" s="598" t="s">
        <v>337</v>
      </c>
      <c r="AZ561" s="598" t="str">
        <f>+VLOOKUP($AJ561,Data_Validation!$A:$E,5,0)</f>
        <v>Oui</v>
      </c>
    </row>
    <row r="562" spans="1:52" ht="15" customHeight="1">
      <c r="A562" s="832" t="s">
        <v>1150</v>
      </c>
      <c r="B562" s="832">
        <v>2026</v>
      </c>
      <c r="C562" s="832" t="s">
        <v>2264</v>
      </c>
      <c r="D562" s="832" t="s">
        <v>2265</v>
      </c>
      <c r="E562" s="832" t="s">
        <v>2226</v>
      </c>
      <c r="F562" s="832" t="s">
        <v>2226</v>
      </c>
      <c r="G562" s="832">
        <v>46245.97</v>
      </c>
      <c r="H562" s="832">
        <v>232687.18</v>
      </c>
      <c r="I562" s="832">
        <v>750291.73</v>
      </c>
      <c r="J562" s="832">
        <v>1241860.3</v>
      </c>
      <c r="K562" s="832">
        <v>1559725.34</v>
      </c>
      <c r="L562" s="832">
        <v>1559725.34</v>
      </c>
      <c r="M562" s="832">
        <v>1559725.34</v>
      </c>
      <c r="N562" s="832">
        <v>1559725.34</v>
      </c>
      <c r="O562" s="832">
        <v>0</v>
      </c>
      <c r="P562" s="832">
        <v>0</v>
      </c>
      <c r="Q562" s="832">
        <v>0</v>
      </c>
      <c r="R562" s="832">
        <v>0</v>
      </c>
      <c r="S562" s="832">
        <v>222817.91</v>
      </c>
      <c r="T562" s="832">
        <v>222817.91</v>
      </c>
      <c r="U562" s="832">
        <v>0</v>
      </c>
      <c r="V562" s="832">
        <v>1</v>
      </c>
      <c r="W562" s="832">
        <v>5</v>
      </c>
      <c r="X562" s="832">
        <v>16</v>
      </c>
      <c r="Y562" s="832">
        <v>27</v>
      </c>
      <c r="Z562" s="832">
        <v>34</v>
      </c>
      <c r="AA562" s="832">
        <v>34</v>
      </c>
      <c r="AB562" s="832">
        <v>34</v>
      </c>
      <c r="AC562" s="832">
        <v>34</v>
      </c>
      <c r="AD562" s="832">
        <v>0</v>
      </c>
      <c r="AE562" s="832">
        <v>0</v>
      </c>
      <c r="AF562" s="832">
        <v>0</v>
      </c>
      <c r="AG562" s="832">
        <v>0</v>
      </c>
      <c r="AH562" s="832">
        <v>5</v>
      </c>
      <c r="AI562" s="832">
        <v>5</v>
      </c>
      <c r="AJ562" s="1030" t="str">
        <f t="shared" si="54"/>
        <v>H30901</v>
      </c>
      <c r="AK562" s="1030" t="str">
        <f t="shared" si="55"/>
        <v>VTE KONA EV</v>
      </c>
      <c r="AL562" s="1030" t="str">
        <f>IFERROR(INDEX(G562:R562,1,MATCH(Parametres!$B$3,G$1:R$1,0)-1)*IF(OR(F562="L",F562="S",F562="I"),-1,1),"")</f>
        <v/>
      </c>
      <c r="AM562" s="1030">
        <f t="shared" si="50"/>
        <v>-46245.97</v>
      </c>
      <c r="AN562" s="1030">
        <f>INDEX(G562:R562,1,MATCH(Parametres!$B$3,G$1:R$1,0))*IF(OR(F562="L",F562="S",F562="I"),-1,1)</f>
        <v>-46245.97</v>
      </c>
      <c r="AO562" s="598" t="str">
        <f>+VLOOKUP($AJ562,Data_Validation!$A:$D,1,0)</f>
        <v>H30901</v>
      </c>
      <c r="AP562" s="598" t="str">
        <f>+VLOOKUP($AJ562,Data_Validation!$A:$D,3,0)</f>
        <v>Véhicules neufs</v>
      </c>
      <c r="AQ562" s="598" t="str">
        <f>+VLOOKUP($AJ562,Data_Validation!$A:$D,4,0)</f>
        <v>Voitures electriques</v>
      </c>
      <c r="AR562" s="598" t="s">
        <v>299</v>
      </c>
      <c r="AS562" s="598" t="str">
        <f>+VLOOKUP($AJ562,Data_Validation!$A:$E,5,0)</f>
        <v>Oui</v>
      </c>
      <c r="AT562" s="1036" t="str">
        <f t="shared" si="51"/>
        <v>H30901</v>
      </c>
      <c r="AU562" s="599" t="str">
        <f t="shared" si="52"/>
        <v>VTE KONA EV</v>
      </c>
      <c r="AV562" s="1030" t="str">
        <f>IFERROR(INDEX(V562:AG562,1,MATCH(Parametres!$B$3,V$1:AG$1,0)-1)*IF(OR(C562="L",C562="S",C562="I"),-1,1),"")</f>
        <v/>
      </c>
      <c r="AW562" s="1030">
        <f t="shared" si="53"/>
        <v>1</v>
      </c>
      <c r="AX562" s="1030">
        <f>INDEX(V562:AG562,1,MATCH(Parametres!$B$3,V$1:AG$1,0))*IF(OR(C562="L",C562="S",C562="I"),-1,1)</f>
        <v>1</v>
      </c>
      <c r="AY562" s="598" t="s">
        <v>337</v>
      </c>
      <c r="AZ562" s="598" t="str">
        <f>+VLOOKUP($AJ562,Data_Validation!$A:$E,5,0)</f>
        <v>Oui</v>
      </c>
    </row>
    <row r="563" spans="1:52" ht="15" customHeight="1">
      <c r="A563" s="832" t="s">
        <v>1150</v>
      </c>
      <c r="B563" s="832">
        <v>2026</v>
      </c>
      <c r="C563" s="832" t="s">
        <v>2266</v>
      </c>
      <c r="D563" s="832" t="s">
        <v>2267</v>
      </c>
      <c r="E563" s="832" t="s">
        <v>2226</v>
      </c>
      <c r="F563" s="832" t="s">
        <v>2226</v>
      </c>
      <c r="G563" s="832">
        <v>40614.980000000003</v>
      </c>
      <c r="H563" s="832">
        <v>40614.980000000003</v>
      </c>
      <c r="I563" s="832">
        <v>40614.980000000003</v>
      </c>
      <c r="J563" s="832">
        <v>117592.15</v>
      </c>
      <c r="K563" s="832">
        <v>154865.71</v>
      </c>
      <c r="L563" s="832">
        <v>154865.71</v>
      </c>
      <c r="M563" s="832">
        <v>154865.71</v>
      </c>
      <c r="N563" s="832">
        <v>154865.71</v>
      </c>
      <c r="O563" s="832">
        <v>0</v>
      </c>
      <c r="P563" s="832">
        <v>0</v>
      </c>
      <c r="Q563" s="832">
        <v>0</v>
      </c>
      <c r="R563" s="832">
        <v>0</v>
      </c>
      <c r="S563" s="832">
        <v>22123.67</v>
      </c>
      <c r="T563" s="832">
        <v>22123.67</v>
      </c>
      <c r="U563" s="832">
        <v>0</v>
      </c>
      <c r="V563" s="832">
        <v>1</v>
      </c>
      <c r="W563" s="832">
        <v>1</v>
      </c>
      <c r="X563" s="832">
        <v>1</v>
      </c>
      <c r="Y563" s="832">
        <v>3</v>
      </c>
      <c r="Z563" s="832">
        <v>4</v>
      </c>
      <c r="AA563" s="832">
        <v>4</v>
      </c>
      <c r="AB563" s="832">
        <v>4</v>
      </c>
      <c r="AC563" s="832">
        <v>4</v>
      </c>
      <c r="AD563" s="832">
        <v>0</v>
      </c>
      <c r="AE563" s="832">
        <v>0</v>
      </c>
      <c r="AF563" s="832">
        <v>0</v>
      </c>
      <c r="AG563" s="832">
        <v>0</v>
      </c>
      <c r="AH563" s="832">
        <v>1</v>
      </c>
      <c r="AI563" s="832">
        <v>1</v>
      </c>
      <c r="AJ563" s="1030" t="str">
        <f t="shared" si="54"/>
        <v>H31000</v>
      </c>
      <c r="AK563" s="1030" t="str">
        <f t="shared" si="55"/>
        <v>VTE SONATA</v>
      </c>
      <c r="AL563" s="1030" t="str">
        <f>IFERROR(INDEX(G563:R563,1,MATCH(Parametres!$B$3,G$1:R$1,0)-1)*IF(OR(F563="L",F563="S",F563="I"),-1,1),"")</f>
        <v/>
      </c>
      <c r="AM563" s="1030">
        <f t="shared" si="50"/>
        <v>-40614.980000000003</v>
      </c>
      <c r="AN563" s="1030">
        <f>INDEX(G563:R563,1,MATCH(Parametres!$B$3,G$1:R$1,0))*IF(OR(F563="L",F563="S",F563="I"),-1,1)</f>
        <v>-40614.980000000003</v>
      </c>
      <c r="AO563" s="598" t="str">
        <f>+VLOOKUP($AJ563,Data_Validation!$A:$D,1,0)</f>
        <v>H31000</v>
      </c>
      <c r="AP563" s="598" t="str">
        <f>+VLOOKUP($AJ563,Data_Validation!$A:$D,3,0)</f>
        <v>Véhicules neufs</v>
      </c>
      <c r="AQ563" s="598" t="str">
        <f>+VLOOKUP($AJ563,Data_Validation!$A:$D,4,0)</f>
        <v>Autos détail</v>
      </c>
      <c r="AR563" s="598" t="s">
        <v>299</v>
      </c>
      <c r="AS563" s="598" t="str">
        <f>+VLOOKUP($AJ563,Data_Validation!$A:$E,5,0)</f>
        <v>Oui</v>
      </c>
      <c r="AT563" s="1036" t="str">
        <f t="shared" si="51"/>
        <v>H31000</v>
      </c>
      <c r="AU563" s="599" t="str">
        <f t="shared" si="52"/>
        <v>VTE SONATA</v>
      </c>
      <c r="AV563" s="1030" t="str">
        <f>IFERROR(INDEX(V563:AG563,1,MATCH(Parametres!$B$3,V$1:AG$1,0)-1)*IF(OR(C563="L",C563="S",C563="I"),-1,1),"")</f>
        <v/>
      </c>
      <c r="AW563" s="1030">
        <f t="shared" si="53"/>
        <v>1</v>
      </c>
      <c r="AX563" s="1030">
        <f>INDEX(V563:AG563,1,MATCH(Parametres!$B$3,V$1:AG$1,0))*IF(OR(C563="L",C563="S",C563="I"),-1,1)</f>
        <v>1</v>
      </c>
      <c r="AY563" s="598" t="s">
        <v>337</v>
      </c>
      <c r="AZ563" s="598" t="str">
        <f>+VLOOKUP($AJ563,Data_Validation!$A:$E,5,0)</f>
        <v>Oui</v>
      </c>
    </row>
    <row r="564" spans="1:52" ht="15" customHeight="1">
      <c r="A564" s="832" t="s">
        <v>1150</v>
      </c>
      <c r="B564" s="832">
        <v>2026</v>
      </c>
      <c r="C564" s="832" t="s">
        <v>2268</v>
      </c>
      <c r="D564" s="832" t="s">
        <v>2269</v>
      </c>
      <c r="E564" s="832" t="s">
        <v>2226</v>
      </c>
      <c r="F564" s="832" t="s">
        <v>2226</v>
      </c>
      <c r="G564" s="832">
        <v>0</v>
      </c>
      <c r="H564" s="832">
        <v>0</v>
      </c>
      <c r="I564" s="832">
        <v>0</v>
      </c>
      <c r="J564" s="832">
        <v>0</v>
      </c>
      <c r="K564" s="832">
        <v>0</v>
      </c>
      <c r="L564" s="832">
        <v>0</v>
      </c>
      <c r="M564" s="832">
        <v>0</v>
      </c>
      <c r="N564" s="832">
        <v>0</v>
      </c>
      <c r="O564" s="832">
        <v>0</v>
      </c>
      <c r="P564" s="832">
        <v>0</v>
      </c>
      <c r="Q564" s="832">
        <v>0</v>
      </c>
      <c r="R564" s="832">
        <v>0</v>
      </c>
      <c r="S564" s="832">
        <v>0</v>
      </c>
      <c r="T564" s="832">
        <v>0</v>
      </c>
      <c r="U564" s="832">
        <v>0</v>
      </c>
      <c r="V564" s="832">
        <v>0</v>
      </c>
      <c r="W564" s="832">
        <v>0</v>
      </c>
      <c r="X564" s="832">
        <v>0</v>
      </c>
      <c r="Y564" s="832">
        <v>0</v>
      </c>
      <c r="Z564" s="832">
        <v>0</v>
      </c>
      <c r="AA564" s="832">
        <v>0</v>
      </c>
      <c r="AB564" s="832">
        <v>0</v>
      </c>
      <c r="AC564" s="832">
        <v>0</v>
      </c>
      <c r="AD564" s="832">
        <v>0</v>
      </c>
      <c r="AE564" s="832">
        <v>0</v>
      </c>
      <c r="AF564" s="832">
        <v>0</v>
      </c>
      <c r="AG564" s="832">
        <v>0</v>
      </c>
      <c r="AH564" s="832">
        <v>0</v>
      </c>
      <c r="AI564" s="832">
        <v>0</v>
      </c>
      <c r="AJ564" s="1030" t="str">
        <f t="shared" si="54"/>
        <v>H31100</v>
      </c>
      <c r="AK564" s="1030" t="str">
        <f t="shared" si="55"/>
        <v>VTE EQUUS</v>
      </c>
      <c r="AL564" s="1030" t="str">
        <f>IFERROR(INDEX(G564:R564,1,MATCH(Parametres!$B$3,G$1:R$1,0)-1)*IF(OR(F564="L",F564="S",F564="I"),-1,1),"")</f>
        <v/>
      </c>
      <c r="AM564" s="1030">
        <f t="shared" si="50"/>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t="str">
        <f t="shared" si="51"/>
        <v>H31100</v>
      </c>
      <c r="AU564" s="599" t="str">
        <f t="shared" si="52"/>
        <v>VTE EQUUS</v>
      </c>
      <c r="AV564" s="1030" t="str">
        <f>IFERROR(INDEX(V564:AG564,1,MATCH(Parametres!$B$3,V$1:AG$1,0)-1)*IF(OR(C564="L",C564="S",C564="I"),-1,1),"")</f>
        <v/>
      </c>
      <c r="AW564" s="1030">
        <f t="shared" si="53"/>
        <v>0</v>
      </c>
      <c r="AX564" s="1030">
        <f>INDEX(V564:AG564,1,MATCH(Parametres!$B$3,V$1:AG$1,0))*IF(OR(C564="L",C564="S",C564="I"),-1,1)</f>
        <v>0</v>
      </c>
      <c r="AY564" s="598" t="s">
        <v>337</v>
      </c>
      <c r="AZ564" s="598" t="e">
        <f>+VLOOKUP($AJ564,Data_Validation!$A:$E,5,0)</f>
        <v>#N/A</v>
      </c>
    </row>
    <row r="565" spans="1:52" ht="15" customHeight="1">
      <c r="A565" s="832" t="s">
        <v>1150</v>
      </c>
      <c r="B565" s="832">
        <v>2026</v>
      </c>
      <c r="C565" s="832" t="s">
        <v>2270</v>
      </c>
      <c r="D565" s="832" t="s">
        <v>2271</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30" t="str">
        <f t="shared" si="54"/>
        <v>H31200</v>
      </c>
      <c r="AK565" s="1030" t="str">
        <f t="shared" si="55"/>
        <v>VTE VELOSTER</v>
      </c>
      <c r="AL565" s="1030" t="str">
        <f>IFERROR(INDEX(G565:R565,1,MATCH(Parametres!$B$3,G$1:R$1,0)-1)*IF(OR(F565="L",F565="S",F565="I"),-1,1),"")</f>
        <v/>
      </c>
      <c r="AM565" s="1030">
        <f t="shared" si="50"/>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t="str">
        <f t="shared" si="51"/>
        <v>H31200</v>
      </c>
      <c r="AU565" s="599" t="str">
        <f t="shared" si="52"/>
        <v>VTE VELOSTER</v>
      </c>
      <c r="AV565" s="1030" t="str">
        <f>IFERROR(INDEX(V565:AG565,1,MATCH(Parametres!$B$3,V$1:AG$1,0)-1)*IF(OR(C565="L",C565="S",C565="I"),-1,1),"")</f>
        <v/>
      </c>
      <c r="AW565" s="1030">
        <f t="shared" si="53"/>
        <v>0</v>
      </c>
      <c r="AX565" s="1030">
        <f>INDEX(V565:AG565,1,MATCH(Parametres!$B$3,V$1:AG$1,0))*IF(OR(C565="L",C565="S",C565="I"),-1,1)</f>
        <v>0</v>
      </c>
      <c r="AY565" s="598" t="s">
        <v>337</v>
      </c>
      <c r="AZ565" s="598" t="e">
        <f>+VLOOKUP($AJ565,Data_Validation!$A:$E,5,0)</f>
        <v>#N/A</v>
      </c>
    </row>
    <row r="566" spans="1:52" ht="15" customHeight="1">
      <c r="A566" s="832" t="s">
        <v>1150</v>
      </c>
      <c r="B566" s="832">
        <v>2026</v>
      </c>
      <c r="C566" s="832" t="s">
        <v>2272</v>
      </c>
      <c r="D566" s="832" t="s">
        <v>2273</v>
      </c>
      <c r="E566" s="832" t="s">
        <v>2226</v>
      </c>
      <c r="F566" s="832" t="s">
        <v>2226</v>
      </c>
      <c r="G566" s="832">
        <v>415472.17</v>
      </c>
      <c r="H566" s="832">
        <v>614709.52</v>
      </c>
      <c r="I566" s="832">
        <v>1104443.3500000001</v>
      </c>
      <c r="J566" s="832">
        <v>1902403.1</v>
      </c>
      <c r="K566" s="832">
        <v>2372151.9500000002</v>
      </c>
      <c r="L566" s="832">
        <v>2372151.9500000002</v>
      </c>
      <c r="M566" s="832">
        <v>2372151.9500000002</v>
      </c>
      <c r="N566" s="832">
        <v>2372151.9500000002</v>
      </c>
      <c r="O566" s="832">
        <v>0</v>
      </c>
      <c r="P566" s="832">
        <v>0</v>
      </c>
      <c r="Q566" s="832">
        <v>0</v>
      </c>
      <c r="R566" s="832">
        <v>0</v>
      </c>
      <c r="S566" s="832">
        <v>338878.85</v>
      </c>
      <c r="T566" s="832">
        <v>338878.85</v>
      </c>
      <c r="U566" s="832">
        <v>0</v>
      </c>
      <c r="V566" s="832">
        <v>10</v>
      </c>
      <c r="W566" s="832">
        <v>15</v>
      </c>
      <c r="X566" s="832">
        <v>27</v>
      </c>
      <c r="Y566" s="832">
        <v>45</v>
      </c>
      <c r="Z566" s="832">
        <v>56</v>
      </c>
      <c r="AA566" s="832">
        <v>56</v>
      </c>
      <c r="AB566" s="832">
        <v>56</v>
      </c>
      <c r="AC566" s="832">
        <v>56</v>
      </c>
      <c r="AD566" s="832">
        <v>0</v>
      </c>
      <c r="AE566" s="832">
        <v>0</v>
      </c>
      <c r="AF566" s="832">
        <v>0</v>
      </c>
      <c r="AG566" s="832">
        <v>0</v>
      </c>
      <c r="AH566" s="832">
        <v>8</v>
      </c>
      <c r="AI566" s="832">
        <v>8</v>
      </c>
      <c r="AJ566" s="1030" t="str">
        <f t="shared" si="54"/>
        <v>H31300</v>
      </c>
      <c r="AK566" s="1030" t="str">
        <f t="shared" si="55"/>
        <v>VTE TUCSON</v>
      </c>
      <c r="AL566" s="1030" t="str">
        <f>IFERROR(INDEX(G566:R566,1,MATCH(Parametres!$B$3,G$1:R$1,0)-1)*IF(OR(F566="L",F566="S",F566="I"),-1,1),"")</f>
        <v/>
      </c>
      <c r="AM566" s="1030">
        <f t="shared" si="50"/>
        <v>-415472.17</v>
      </c>
      <c r="AN566" s="1030">
        <f>INDEX(G566:R566,1,MATCH(Parametres!$B$3,G$1:R$1,0))*IF(OR(F566="L",F566="S",F566="I"),-1,1)</f>
        <v>-415472.17</v>
      </c>
      <c r="AO566" s="598" t="str">
        <f>+VLOOKUP($AJ566,Data_Validation!$A:$D,1,0)</f>
        <v>H31300</v>
      </c>
      <c r="AP566" s="598" t="str">
        <f>+VLOOKUP($AJ566,Data_Validation!$A:$D,3,0)</f>
        <v>Véhicules neufs</v>
      </c>
      <c r="AQ566" s="598" t="str">
        <f>+VLOOKUP($AJ566,Data_Validation!$A:$D,4,0)</f>
        <v>Camions détail</v>
      </c>
      <c r="AR566" s="598" t="s">
        <v>299</v>
      </c>
      <c r="AS566" s="598" t="str">
        <f>+VLOOKUP($AJ566,Data_Validation!$A:$E,5,0)</f>
        <v>Oui</v>
      </c>
      <c r="AT566" s="1036" t="str">
        <f t="shared" si="51"/>
        <v>H31300</v>
      </c>
      <c r="AU566" s="599" t="str">
        <f t="shared" si="52"/>
        <v>VTE TUCSON</v>
      </c>
      <c r="AV566" s="1030" t="str">
        <f>IFERROR(INDEX(V566:AG566,1,MATCH(Parametres!$B$3,V$1:AG$1,0)-1)*IF(OR(C566="L",C566="S",C566="I"),-1,1),"")</f>
        <v/>
      </c>
      <c r="AW566" s="1030">
        <f t="shared" si="53"/>
        <v>10</v>
      </c>
      <c r="AX566" s="1030">
        <f>INDEX(V566:AG566,1,MATCH(Parametres!$B$3,V$1:AG$1,0))*IF(OR(C566="L",C566="S",C566="I"),-1,1)</f>
        <v>10</v>
      </c>
      <c r="AY566" s="598" t="s">
        <v>337</v>
      </c>
      <c r="AZ566" s="598" t="str">
        <f>+VLOOKUP($AJ566,Data_Validation!$A:$E,5,0)</f>
        <v>Oui</v>
      </c>
    </row>
    <row r="567" spans="1:52" ht="15" customHeight="1">
      <c r="A567" s="832" t="s">
        <v>1150</v>
      </c>
      <c r="B567" s="832">
        <v>2026</v>
      </c>
      <c r="C567" s="832" t="s">
        <v>2274</v>
      </c>
      <c r="D567" s="832" t="s">
        <v>2275</v>
      </c>
      <c r="E567" s="832" t="s">
        <v>2226</v>
      </c>
      <c r="F567" s="832" t="s">
        <v>2226</v>
      </c>
      <c r="G567" s="832">
        <v>235113.3</v>
      </c>
      <c r="H567" s="832">
        <v>418306.28</v>
      </c>
      <c r="I567" s="832">
        <v>1080467.28</v>
      </c>
      <c r="J567" s="832">
        <v>1080467.28</v>
      </c>
      <c r="K567" s="832">
        <v>1080467.28</v>
      </c>
      <c r="L567" s="832">
        <v>1080467.28</v>
      </c>
      <c r="M567" s="832">
        <v>1080467.28</v>
      </c>
      <c r="N567" s="832">
        <v>1080467.28</v>
      </c>
      <c r="O567" s="832">
        <v>0</v>
      </c>
      <c r="P567" s="832">
        <v>0</v>
      </c>
      <c r="Q567" s="832">
        <v>0</v>
      </c>
      <c r="R567" s="832">
        <v>0</v>
      </c>
      <c r="S567" s="832">
        <v>154352.47</v>
      </c>
      <c r="T567" s="832">
        <v>154352.47</v>
      </c>
      <c r="U567" s="832">
        <v>0</v>
      </c>
      <c r="V567" s="832">
        <v>5</v>
      </c>
      <c r="W567" s="832">
        <v>9</v>
      </c>
      <c r="X567" s="832">
        <v>23</v>
      </c>
      <c r="Y567" s="832">
        <v>23</v>
      </c>
      <c r="Z567" s="832">
        <v>23</v>
      </c>
      <c r="AA567" s="832">
        <v>23</v>
      </c>
      <c r="AB567" s="832">
        <v>23</v>
      </c>
      <c r="AC567" s="832">
        <v>23</v>
      </c>
      <c r="AD567" s="832">
        <v>0</v>
      </c>
      <c r="AE567" s="832">
        <v>0</v>
      </c>
      <c r="AF567" s="832">
        <v>0</v>
      </c>
      <c r="AG567" s="832">
        <v>0</v>
      </c>
      <c r="AH567" s="832">
        <v>3</v>
      </c>
      <c r="AI567" s="832">
        <v>3</v>
      </c>
      <c r="AJ567" s="1030" t="str">
        <f t="shared" si="54"/>
        <v>H31301</v>
      </c>
      <c r="AK567" s="1030" t="str">
        <f t="shared" si="55"/>
        <v>VTE TUCSON HYBRIDE</v>
      </c>
      <c r="AL567" s="1030" t="str">
        <f>IFERROR(INDEX(G567:R567,1,MATCH(Parametres!$B$3,G$1:R$1,0)-1)*IF(OR(F567="L",F567="S",F567="I"),-1,1),"")</f>
        <v/>
      </c>
      <c r="AM567" s="1030">
        <f t="shared" si="50"/>
        <v>-235113.3</v>
      </c>
      <c r="AN567" s="1030">
        <f>INDEX(G567:R567,1,MATCH(Parametres!$B$3,G$1:R$1,0))*IF(OR(F567="L",F567="S",F567="I"),-1,1)</f>
        <v>-235113.3</v>
      </c>
      <c r="AO567" s="598" t="str">
        <f>+VLOOKUP($AJ567,Data_Validation!$A:$D,1,0)</f>
        <v>H31301</v>
      </c>
      <c r="AP567" s="598" t="str">
        <f>+VLOOKUP($AJ567,Data_Validation!$A:$D,3,0)</f>
        <v>Véhicules neufs</v>
      </c>
      <c r="AQ567" s="598" t="str">
        <f>+VLOOKUP($AJ567,Data_Validation!$A:$D,4,0)</f>
        <v>Camions détail</v>
      </c>
      <c r="AR567" s="598" t="s">
        <v>299</v>
      </c>
      <c r="AS567" s="598" t="str">
        <f>+VLOOKUP($AJ567,Data_Validation!$A:$E,5,0)</f>
        <v>Oui</v>
      </c>
      <c r="AT567" s="1036" t="str">
        <f t="shared" si="51"/>
        <v>H31301</v>
      </c>
      <c r="AU567" s="599" t="str">
        <f t="shared" si="52"/>
        <v>VTE TUCSON HYBRIDE</v>
      </c>
      <c r="AV567" s="1030" t="str">
        <f>IFERROR(INDEX(V567:AG567,1,MATCH(Parametres!$B$3,V$1:AG$1,0)-1)*IF(OR(C567="L",C567="S",C567="I"),-1,1),"")</f>
        <v/>
      </c>
      <c r="AW567" s="1030">
        <f t="shared" si="53"/>
        <v>5</v>
      </c>
      <c r="AX567" s="1030">
        <f>INDEX(V567:AG567,1,MATCH(Parametres!$B$3,V$1:AG$1,0))*IF(OR(C567="L",C567="S",C567="I"),-1,1)</f>
        <v>5</v>
      </c>
      <c r="AY567" s="598" t="s">
        <v>337</v>
      </c>
      <c r="AZ567" s="598" t="str">
        <f>+VLOOKUP($AJ567,Data_Validation!$A:$E,5,0)</f>
        <v>Oui</v>
      </c>
    </row>
    <row r="568" spans="1:52" ht="15" customHeight="1">
      <c r="A568" s="832" t="s">
        <v>1150</v>
      </c>
      <c r="B568" s="832">
        <v>2026</v>
      </c>
      <c r="C568" s="832" t="s">
        <v>2276</v>
      </c>
      <c r="D568" s="832" t="s">
        <v>2277</v>
      </c>
      <c r="E568" s="832" t="s">
        <v>2226</v>
      </c>
      <c r="F568" s="832" t="s">
        <v>2226</v>
      </c>
      <c r="G568" s="832">
        <v>0</v>
      </c>
      <c r="H568" s="832">
        <v>102040.83</v>
      </c>
      <c r="I568" s="832">
        <v>524554.73</v>
      </c>
      <c r="J568" s="832">
        <v>562283.32999999996</v>
      </c>
      <c r="K568" s="832">
        <v>562283.32999999996</v>
      </c>
      <c r="L568" s="832">
        <v>562283.32999999996</v>
      </c>
      <c r="M568" s="832">
        <v>562283.32999999996</v>
      </c>
      <c r="N568" s="832">
        <v>562283.32999999996</v>
      </c>
      <c r="O568" s="832">
        <v>0</v>
      </c>
      <c r="P568" s="832">
        <v>0</v>
      </c>
      <c r="Q568" s="832">
        <v>0</v>
      </c>
      <c r="R568" s="832">
        <v>0</v>
      </c>
      <c r="S568" s="832">
        <v>80326.19</v>
      </c>
      <c r="T568" s="832">
        <v>80326.19</v>
      </c>
      <c r="U568" s="832">
        <v>0</v>
      </c>
      <c r="V568" s="832">
        <v>0</v>
      </c>
      <c r="W568" s="832">
        <v>2</v>
      </c>
      <c r="X568" s="832">
        <v>10</v>
      </c>
      <c r="Y568" s="832">
        <v>11</v>
      </c>
      <c r="Z568" s="832">
        <v>11</v>
      </c>
      <c r="AA568" s="832">
        <v>11</v>
      </c>
      <c r="AB568" s="832">
        <v>11</v>
      </c>
      <c r="AC568" s="832">
        <v>11</v>
      </c>
      <c r="AD568" s="832">
        <v>0</v>
      </c>
      <c r="AE568" s="832">
        <v>0</v>
      </c>
      <c r="AF568" s="832">
        <v>0</v>
      </c>
      <c r="AG568" s="832">
        <v>0</v>
      </c>
      <c r="AH568" s="832">
        <v>2</v>
      </c>
      <c r="AI568" s="832">
        <v>2</v>
      </c>
      <c r="AJ568" s="1030" t="str">
        <f t="shared" si="54"/>
        <v>H31302</v>
      </c>
      <c r="AK568" s="1030" t="str">
        <f t="shared" si="55"/>
        <v>VTE TUCSON PHEV</v>
      </c>
      <c r="AL568" s="1030" t="str">
        <f>IFERROR(INDEX(G568:R568,1,MATCH(Parametres!$B$3,G$1:R$1,0)-1)*IF(OR(F568="L",F568="S",F568="I"),-1,1),"")</f>
        <v/>
      </c>
      <c r="AM568" s="1030">
        <f t="shared" si="50"/>
        <v>0</v>
      </c>
      <c r="AN568" s="1030">
        <f>INDEX(G568:R568,1,MATCH(Parametres!$B$3,G$1:R$1,0))*IF(OR(F568="L",F568="S",F568="I"),-1,1)</f>
        <v>0</v>
      </c>
      <c r="AO568" s="598" t="str">
        <f>+VLOOKUP($AJ568,Data_Validation!$A:$D,1,0)</f>
        <v>H31302</v>
      </c>
      <c r="AP568" s="598" t="str">
        <f>+VLOOKUP($AJ568,Data_Validation!$A:$D,3,0)</f>
        <v>Véhicules neufs</v>
      </c>
      <c r="AQ568" s="598" t="str">
        <f>+VLOOKUP($AJ568,Data_Validation!$A:$D,4,0)</f>
        <v>Voitures electriques</v>
      </c>
      <c r="AR568" s="598" t="s">
        <v>299</v>
      </c>
      <c r="AS568" s="598" t="str">
        <f>+VLOOKUP($AJ568,Data_Validation!$A:$E,5,0)</f>
        <v>Oui</v>
      </c>
      <c r="AT568" s="1036" t="str">
        <f t="shared" si="51"/>
        <v>H31302</v>
      </c>
      <c r="AU568" s="599" t="str">
        <f t="shared" si="52"/>
        <v>VTE TUCSON PHEV</v>
      </c>
      <c r="AV568" s="1030" t="str">
        <f>IFERROR(INDEX(V568:AG568,1,MATCH(Parametres!$B$3,V$1:AG$1,0)-1)*IF(OR(C568="L",C568="S",C568="I"),-1,1),"")</f>
        <v/>
      </c>
      <c r="AW568" s="1030">
        <f t="shared" si="53"/>
        <v>0</v>
      </c>
      <c r="AX568" s="1030">
        <f>INDEX(V568:AG568,1,MATCH(Parametres!$B$3,V$1:AG$1,0))*IF(OR(C568="L",C568="S",C568="I"),-1,1)</f>
        <v>0</v>
      </c>
      <c r="AY568" s="598" t="s">
        <v>337</v>
      </c>
      <c r="AZ568" s="598" t="str">
        <f>+VLOOKUP($AJ568,Data_Validation!$A:$E,5,0)</f>
        <v>Oui</v>
      </c>
    </row>
    <row r="569" spans="1:52" ht="15" customHeight="1">
      <c r="A569" s="832" t="s">
        <v>1150</v>
      </c>
      <c r="B569" s="832">
        <v>2026</v>
      </c>
      <c r="C569" s="832" t="s">
        <v>2278</v>
      </c>
      <c r="D569" s="832" t="s">
        <v>2279</v>
      </c>
      <c r="E569" s="832" t="s">
        <v>333</v>
      </c>
      <c r="F569" s="832" t="s">
        <v>2226</v>
      </c>
      <c r="G569" s="832">
        <v>0</v>
      </c>
      <c r="H569" s="832">
        <v>0</v>
      </c>
      <c r="I569" s="832">
        <v>0</v>
      </c>
      <c r="J569" s="832">
        <v>0</v>
      </c>
      <c r="K569" s="832">
        <v>0</v>
      </c>
      <c r="L569" s="832">
        <v>0</v>
      </c>
      <c r="M569" s="832">
        <v>0</v>
      </c>
      <c r="N569" s="832">
        <v>0</v>
      </c>
      <c r="O569" s="832">
        <v>0</v>
      </c>
      <c r="P569" s="832">
        <v>0</v>
      </c>
      <c r="Q569" s="832">
        <v>0</v>
      </c>
      <c r="R569" s="832">
        <v>0</v>
      </c>
      <c r="S569" s="832">
        <v>0</v>
      </c>
      <c r="T569" s="832">
        <v>0</v>
      </c>
      <c r="U569" s="832">
        <v>0</v>
      </c>
      <c r="V569" s="832">
        <v>0</v>
      </c>
      <c r="W569" s="832">
        <v>0</v>
      </c>
      <c r="X569" s="832">
        <v>0</v>
      </c>
      <c r="Y569" s="832">
        <v>0</v>
      </c>
      <c r="Z569" s="832">
        <v>0</v>
      </c>
      <c r="AA569" s="832">
        <v>0</v>
      </c>
      <c r="AB569" s="832">
        <v>0</v>
      </c>
      <c r="AC569" s="832">
        <v>0</v>
      </c>
      <c r="AD569" s="832">
        <v>0</v>
      </c>
      <c r="AE569" s="832">
        <v>0</v>
      </c>
      <c r="AF569" s="832">
        <v>0</v>
      </c>
      <c r="AG569" s="832">
        <v>0</v>
      </c>
      <c r="AH569" s="832">
        <v>0</v>
      </c>
      <c r="AI569" s="832">
        <v>0</v>
      </c>
      <c r="AJ569" s="1030" t="str">
        <f t="shared" si="54"/>
        <v>H31400</v>
      </c>
      <c r="AK569" s="1030" t="str">
        <f t="shared" si="55"/>
        <v>VTE ACCESSOIRES INSTALL.</v>
      </c>
      <c r="AL569" s="1030" t="str">
        <f>IFERROR(INDEX(G569:R569,1,MATCH(Parametres!$B$3,G$1:R$1,0)-1)*IF(OR(F569="L",F569="S",F569="I"),-1,1),"")</f>
        <v/>
      </c>
      <c r="AM569" s="1030">
        <f t="shared" si="50"/>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t="str">
        <f t="shared" si="51"/>
        <v>H31400</v>
      </c>
      <c r="AU569" s="599" t="str">
        <f t="shared" si="52"/>
        <v>VTE ACCESSOIRES INSTALL.</v>
      </c>
      <c r="AV569" s="1030" t="str">
        <f>IFERROR(INDEX(V569:AG569,1,MATCH(Parametres!$B$3,V$1:AG$1,0)-1)*IF(OR(C569="L",C569="S",C569="I"),-1,1),"")</f>
        <v/>
      </c>
      <c r="AW569" s="1030">
        <f t="shared" si="53"/>
        <v>0</v>
      </c>
      <c r="AX569" s="1030">
        <f>INDEX(V569:AG569,1,MATCH(Parametres!$B$3,V$1:AG$1,0))*IF(OR(C569="L",C569="S",C569="I"),-1,1)</f>
        <v>0</v>
      </c>
      <c r="AY569" s="598" t="s">
        <v>337</v>
      </c>
      <c r="AZ569" s="598" t="e">
        <f>+VLOOKUP($AJ569,Data_Validation!$A:$E,5,0)</f>
        <v>#N/A</v>
      </c>
    </row>
    <row r="570" spans="1:52" ht="15" customHeight="1">
      <c r="A570" s="832" t="s">
        <v>1150</v>
      </c>
      <c r="B570" s="832">
        <v>2026</v>
      </c>
      <c r="C570" s="832" t="s">
        <v>2280</v>
      </c>
      <c r="D570" s="832" t="s">
        <v>2281</v>
      </c>
      <c r="E570" s="832" t="s">
        <v>333</v>
      </c>
      <c r="F570" s="832" t="s">
        <v>2226</v>
      </c>
      <c r="G570" s="832">
        <v>46558</v>
      </c>
      <c r="H570" s="832">
        <v>78602</v>
      </c>
      <c r="I570" s="832">
        <v>151605</v>
      </c>
      <c r="J570" s="832">
        <v>193332</v>
      </c>
      <c r="K570" s="832">
        <v>227014.51</v>
      </c>
      <c r="L570" s="832">
        <v>227014.51</v>
      </c>
      <c r="M570" s="832">
        <v>227014.51</v>
      </c>
      <c r="N570" s="832">
        <v>227014.51</v>
      </c>
      <c r="O570" s="832">
        <v>0</v>
      </c>
      <c r="P570" s="832">
        <v>0</v>
      </c>
      <c r="Q570" s="832">
        <v>0</v>
      </c>
      <c r="R570" s="832">
        <v>0</v>
      </c>
      <c r="S570" s="832">
        <v>32430.639999999999</v>
      </c>
      <c r="T570" s="832">
        <v>32430.639999999999</v>
      </c>
      <c r="U570" s="832">
        <v>0</v>
      </c>
      <c r="V570" s="832">
        <v>17</v>
      </c>
      <c r="W570" s="832">
        <v>29</v>
      </c>
      <c r="X570" s="832">
        <v>62</v>
      </c>
      <c r="Y570" s="832">
        <v>78</v>
      </c>
      <c r="Z570" s="832">
        <v>93</v>
      </c>
      <c r="AA570" s="832">
        <v>93</v>
      </c>
      <c r="AB570" s="832">
        <v>93</v>
      </c>
      <c r="AC570" s="832">
        <v>93</v>
      </c>
      <c r="AD570" s="832">
        <v>0</v>
      </c>
      <c r="AE570" s="832">
        <v>0</v>
      </c>
      <c r="AF570" s="832">
        <v>0</v>
      </c>
      <c r="AG570" s="832">
        <v>0</v>
      </c>
      <c r="AH570" s="832">
        <v>13</v>
      </c>
      <c r="AI570" s="832">
        <v>13</v>
      </c>
      <c r="AJ570" s="1030" t="str">
        <f t="shared" si="54"/>
        <v>H31500</v>
      </c>
      <c r="AK570" s="1030" t="str">
        <f t="shared" si="55"/>
        <v>VTE P.P.H.</v>
      </c>
      <c r="AL570" s="1030" t="str">
        <f>IFERROR(INDEX(G570:R570,1,MATCH(Parametres!$B$3,G$1:R$1,0)-1)*IF(OR(F570="L",F570="S",F570="I"),-1,1),"")</f>
        <v/>
      </c>
      <c r="AM570" s="1030">
        <f t="shared" si="50"/>
        <v>-46558</v>
      </c>
      <c r="AN570" s="1030">
        <f>INDEX(G570:R570,1,MATCH(Parametres!$B$3,G$1:R$1,0))*IF(OR(F570="L",F570="S",F570="I"),-1,1)</f>
        <v>-46558</v>
      </c>
      <c r="AO570" s="598" t="str">
        <f>+VLOOKUP($AJ570,Data_Validation!$A:$D,1,0)</f>
        <v>H31500</v>
      </c>
      <c r="AP570" s="598" t="str">
        <f>+VLOOKUP($AJ570,Data_Validation!$A:$D,3,0)</f>
        <v>Véhicules neufs</v>
      </c>
      <c r="AQ570" s="598" t="str">
        <f>+VLOOKUP($AJ570,Data_Validation!$A:$D,4,0)</f>
        <v>Rev. Protections</v>
      </c>
      <c r="AR570" s="598" t="s">
        <v>299</v>
      </c>
      <c r="AS570" s="598" t="str">
        <f>+VLOOKUP($AJ570,Data_Validation!$A:$E,5,0)</f>
        <v>Oui</v>
      </c>
      <c r="AT570" s="1036" t="str">
        <f t="shared" si="51"/>
        <v>H31500</v>
      </c>
      <c r="AU570" s="599" t="str">
        <f t="shared" si="52"/>
        <v>VTE P.P.H.</v>
      </c>
      <c r="AV570" s="1030" t="str">
        <f>IFERROR(INDEX(V570:AG570,1,MATCH(Parametres!$B$3,V$1:AG$1,0)-1)*IF(OR(C570="L",C570="S",C570="I"),-1,1),"")</f>
        <v/>
      </c>
      <c r="AW570" s="1030">
        <f t="shared" si="53"/>
        <v>17</v>
      </c>
      <c r="AX570" s="1030">
        <f>INDEX(V570:AG570,1,MATCH(Parametres!$B$3,V$1:AG$1,0))*IF(OR(C570="L",C570="S",C570="I"),-1,1)</f>
        <v>17</v>
      </c>
      <c r="AY570" s="598" t="s">
        <v>337</v>
      </c>
      <c r="AZ570" s="598" t="str">
        <f>+VLOOKUP($AJ570,Data_Validation!$A:$E,5,0)</f>
        <v>Oui</v>
      </c>
    </row>
    <row r="571" spans="1:52" ht="15" customHeight="1">
      <c r="A571" s="832" t="s">
        <v>1150</v>
      </c>
      <c r="B571" s="832">
        <v>2026</v>
      </c>
      <c r="C571" s="832" t="s">
        <v>2282</v>
      </c>
      <c r="D571" s="832" t="s">
        <v>2283</v>
      </c>
      <c r="E571" s="832" t="s">
        <v>333</v>
      </c>
      <c r="F571" s="832" t="s">
        <v>2226</v>
      </c>
      <c r="G571" s="832">
        <v>0</v>
      </c>
      <c r="H571" s="832">
        <v>0</v>
      </c>
      <c r="I571" s="832">
        <v>13610.96</v>
      </c>
      <c r="J571" s="832">
        <v>17925.98</v>
      </c>
      <c r="K571" s="832">
        <v>21620.720000000001</v>
      </c>
      <c r="L571" s="832">
        <v>21620.720000000001</v>
      </c>
      <c r="M571" s="832">
        <v>21620.720000000001</v>
      </c>
      <c r="N571" s="832">
        <v>21620.720000000001</v>
      </c>
      <c r="O571" s="832">
        <v>0</v>
      </c>
      <c r="P571" s="832">
        <v>0</v>
      </c>
      <c r="Q571" s="832">
        <v>0</v>
      </c>
      <c r="R571" s="832">
        <v>0</v>
      </c>
      <c r="S571" s="832">
        <v>3088.67</v>
      </c>
      <c r="T571" s="832">
        <v>3088.67</v>
      </c>
      <c r="U571" s="832">
        <v>0</v>
      </c>
      <c r="V571" s="832">
        <v>0</v>
      </c>
      <c r="W571" s="832">
        <v>0</v>
      </c>
      <c r="X571" s="832">
        <v>5</v>
      </c>
      <c r="Y571" s="832">
        <v>7</v>
      </c>
      <c r="Z571" s="832">
        <v>8</v>
      </c>
      <c r="AA571" s="832">
        <v>8</v>
      </c>
      <c r="AB571" s="832">
        <v>8</v>
      </c>
      <c r="AC571" s="832">
        <v>8</v>
      </c>
      <c r="AD571" s="832">
        <v>0</v>
      </c>
      <c r="AE571" s="832">
        <v>0</v>
      </c>
      <c r="AF571" s="832">
        <v>0</v>
      </c>
      <c r="AG571" s="832">
        <v>0</v>
      </c>
      <c r="AH571" s="832">
        <v>1</v>
      </c>
      <c r="AI571" s="832">
        <v>1</v>
      </c>
      <c r="AJ571" s="1030" t="str">
        <f t="shared" si="54"/>
        <v>H31600</v>
      </c>
      <c r="AK571" s="1030" t="str">
        <f t="shared" si="55"/>
        <v>VTE ASSURANCE</v>
      </c>
      <c r="AL571" s="1030" t="str">
        <f>IFERROR(INDEX(G571:R571,1,MATCH(Parametres!$B$3,G$1:R$1,0)-1)*IF(OR(F571="L",F571="S",F571="I"),-1,1),"")</f>
        <v/>
      </c>
      <c r="AM571" s="1030">
        <f t="shared" si="50"/>
        <v>0</v>
      </c>
      <c r="AN571" s="1030">
        <f>INDEX(G571:R571,1,MATCH(Parametres!$B$3,G$1:R$1,0))*IF(OR(F571="L",F571="S",F571="I"),-1,1)</f>
        <v>0</v>
      </c>
      <c r="AO571" s="598" t="str">
        <f>+VLOOKUP($AJ571,Data_Validation!$A:$D,1,0)</f>
        <v>H31600</v>
      </c>
      <c r="AP571" s="598" t="str">
        <f>+VLOOKUP($AJ571,Data_Validation!$A:$D,3,0)</f>
        <v>Véhicules neufs</v>
      </c>
      <c r="AQ571" s="598" t="str">
        <f>+VLOOKUP($AJ571,Data_Validation!$A:$D,4,0)</f>
        <v>Rev. Protections</v>
      </c>
      <c r="AR571" s="598" t="s">
        <v>299</v>
      </c>
      <c r="AS571" s="598" t="str">
        <f>+VLOOKUP($AJ571,Data_Validation!$A:$E,5,0)</f>
        <v>Oui</v>
      </c>
      <c r="AT571" s="1036" t="str">
        <f t="shared" si="51"/>
        <v>H31600</v>
      </c>
      <c r="AU571" s="599" t="str">
        <f t="shared" si="52"/>
        <v>VTE ASSURANCE</v>
      </c>
      <c r="AV571" s="1030" t="str">
        <f>IFERROR(INDEX(V571:AG571,1,MATCH(Parametres!$B$3,V$1:AG$1,0)-1)*IF(OR(C571="L",C571="S",C571="I"),-1,1),"")</f>
        <v/>
      </c>
      <c r="AW571" s="1030">
        <f t="shared" si="53"/>
        <v>0</v>
      </c>
      <c r="AX571" s="1030">
        <f>INDEX(V571:AG571,1,MATCH(Parametres!$B$3,V$1:AG$1,0))*IF(OR(C571="L",C571="S",C571="I"),-1,1)</f>
        <v>0</v>
      </c>
      <c r="AY571" s="598" t="s">
        <v>337</v>
      </c>
      <c r="AZ571" s="598" t="str">
        <f>+VLOOKUP($AJ571,Data_Validation!$A:$E,5,0)</f>
        <v>Oui</v>
      </c>
    </row>
    <row r="572" spans="1:52" ht="15" customHeight="1">
      <c r="A572" s="832" t="s">
        <v>1150</v>
      </c>
      <c r="B572" s="832">
        <v>2026</v>
      </c>
      <c r="C572" s="832" t="s">
        <v>2284</v>
      </c>
      <c r="D572" s="832" t="s">
        <v>2285</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30" t="str">
        <f t="shared" si="54"/>
        <v>H31610</v>
      </c>
      <c r="AK572" s="1030" t="str">
        <f t="shared" si="55"/>
        <v>VTE ASSURANCE ROUTIERE</v>
      </c>
      <c r="AL572" s="1030" t="str">
        <f>IFERROR(INDEX(G572:R572,1,MATCH(Parametres!$B$3,G$1:R$1,0)-1)*IF(OR(F572="L",F572="S",F572="I"),-1,1),"")</f>
        <v/>
      </c>
      <c r="AM572" s="1030">
        <f t="shared" si="50"/>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t="str">
        <f t="shared" si="51"/>
        <v>H31610</v>
      </c>
      <c r="AU572" s="599" t="str">
        <f t="shared" si="52"/>
        <v>VTE ASSURANCE ROUTIERE</v>
      </c>
      <c r="AV572" s="1030" t="str">
        <f>IFERROR(INDEX(V572:AG572,1,MATCH(Parametres!$B$3,V$1:AG$1,0)-1)*IF(OR(C572="L",C572="S",C572="I"),-1,1),"")</f>
        <v/>
      </c>
      <c r="AW572" s="1030">
        <f t="shared" si="53"/>
        <v>0</v>
      </c>
      <c r="AX572" s="1030">
        <f>INDEX(V572:AG572,1,MATCH(Parametres!$B$3,V$1:AG$1,0))*IF(OR(C572="L",C572="S",C572="I"),-1,1)</f>
        <v>0</v>
      </c>
      <c r="AY572" s="598" t="s">
        <v>337</v>
      </c>
      <c r="AZ572" s="598" t="e">
        <f>+VLOOKUP($AJ572,Data_Validation!$A:$E,5,0)</f>
        <v>#N/A</v>
      </c>
    </row>
    <row r="573" spans="1:52" ht="15" customHeight="1">
      <c r="A573" s="832" t="s">
        <v>1150</v>
      </c>
      <c r="B573" s="832">
        <v>2026</v>
      </c>
      <c r="C573" s="832" t="s">
        <v>2286</v>
      </c>
      <c r="D573" s="832" t="s">
        <v>2285</v>
      </c>
      <c r="E573" s="832" t="s">
        <v>333</v>
      </c>
      <c r="F573" s="832" t="s">
        <v>2226</v>
      </c>
      <c r="G573" s="832">
        <v>0</v>
      </c>
      <c r="H573" s="832">
        <v>2398</v>
      </c>
      <c r="I573" s="832">
        <v>2398</v>
      </c>
      <c r="J573" s="832">
        <v>2398</v>
      </c>
      <c r="K573" s="832">
        <v>2398</v>
      </c>
      <c r="L573" s="832">
        <v>2398</v>
      </c>
      <c r="M573" s="832">
        <v>2398</v>
      </c>
      <c r="N573" s="832">
        <v>2398</v>
      </c>
      <c r="O573" s="832">
        <v>0</v>
      </c>
      <c r="P573" s="832">
        <v>0</v>
      </c>
      <c r="Q573" s="832">
        <v>0</v>
      </c>
      <c r="R573" s="832">
        <v>0</v>
      </c>
      <c r="S573" s="832">
        <v>342.57</v>
      </c>
      <c r="T573" s="832">
        <v>342.57</v>
      </c>
      <c r="U573" s="832">
        <v>0</v>
      </c>
      <c r="V573" s="832">
        <v>0</v>
      </c>
      <c r="W573" s="832">
        <v>1</v>
      </c>
      <c r="X573" s="832">
        <v>1</v>
      </c>
      <c r="Y573" s="832">
        <v>1</v>
      </c>
      <c r="Z573" s="832">
        <v>1</v>
      </c>
      <c r="AA573" s="832">
        <v>1</v>
      </c>
      <c r="AB573" s="832">
        <v>1</v>
      </c>
      <c r="AC573" s="832">
        <v>1</v>
      </c>
      <c r="AD573" s="832">
        <v>0</v>
      </c>
      <c r="AE573" s="832">
        <v>0</v>
      </c>
      <c r="AF573" s="832">
        <v>0</v>
      </c>
      <c r="AG573" s="832">
        <v>0</v>
      </c>
      <c r="AH573" s="832">
        <v>0</v>
      </c>
      <c r="AI573" s="832">
        <v>0</v>
      </c>
      <c r="AJ573" s="1030" t="str">
        <f t="shared" si="54"/>
        <v>H31640</v>
      </c>
      <c r="AK573" s="1030" t="str">
        <f t="shared" si="55"/>
        <v>VTE ASSURANCE ROUTIERE</v>
      </c>
      <c r="AL573" s="1030" t="str">
        <f>IFERROR(INDEX(G573:R573,1,MATCH(Parametres!$B$3,G$1:R$1,0)-1)*IF(OR(F573="L",F573="S",F573="I"),-1,1),"")</f>
        <v/>
      </c>
      <c r="AM573" s="1030">
        <f t="shared" si="50"/>
        <v>0</v>
      </c>
      <c r="AN573" s="1030">
        <f>INDEX(G573:R573,1,MATCH(Parametres!$B$3,G$1:R$1,0))*IF(OR(F573="L",F573="S",F573="I"),-1,1)</f>
        <v>0</v>
      </c>
      <c r="AO573" s="598" t="str">
        <f>+VLOOKUP($AJ573,Data_Validation!$A:$D,1,0)</f>
        <v>H31640</v>
      </c>
      <c r="AP573" s="598" t="str">
        <f>+VLOOKUP($AJ573,Data_Validation!$A:$D,3,0)</f>
        <v>Véhicules neufs</v>
      </c>
      <c r="AQ573" s="598" t="str">
        <f>+VLOOKUP($AJ573,Data_Validation!$A:$D,4,0)</f>
        <v>Rev. Protections</v>
      </c>
      <c r="AR573" s="598" t="s">
        <v>299</v>
      </c>
      <c r="AS573" s="598" t="str">
        <f>+VLOOKUP($AJ573,Data_Validation!$A:$E,5,0)</f>
        <v>Oui</v>
      </c>
      <c r="AT573" s="1036" t="str">
        <f t="shared" si="51"/>
        <v>H31640</v>
      </c>
      <c r="AU573" s="599" t="str">
        <f t="shared" si="52"/>
        <v>VTE ASSURANCE ROUTIERE</v>
      </c>
      <c r="AV573" s="1030" t="str">
        <f>IFERROR(INDEX(V573:AG573,1,MATCH(Parametres!$B$3,V$1:AG$1,0)-1)*IF(OR(C573="L",C573="S",C573="I"),-1,1),"")</f>
        <v/>
      </c>
      <c r="AW573" s="1030">
        <f t="shared" si="53"/>
        <v>0</v>
      </c>
      <c r="AX573" s="1030">
        <f>INDEX(V573:AG573,1,MATCH(Parametres!$B$3,V$1:AG$1,0))*IF(OR(C573="L",C573="S",C573="I"),-1,1)</f>
        <v>0</v>
      </c>
      <c r="AY573" s="598" t="s">
        <v>337</v>
      </c>
      <c r="AZ573" s="598" t="str">
        <f>+VLOOKUP($AJ573,Data_Validation!$A:$E,5,0)</f>
        <v>Oui</v>
      </c>
    </row>
    <row r="574" spans="1:52" ht="15" customHeight="1">
      <c r="A574" s="832" t="s">
        <v>1150</v>
      </c>
      <c r="B574" s="832">
        <v>2026</v>
      </c>
      <c r="C574" s="832" t="s">
        <v>2287</v>
      </c>
      <c r="D574" s="832" t="s">
        <v>2288</v>
      </c>
      <c r="E574" s="832" t="s">
        <v>333</v>
      </c>
      <c r="F574" s="832" t="s">
        <v>2226</v>
      </c>
      <c r="G574" s="832">
        <v>2602.2399999999998</v>
      </c>
      <c r="H574" s="832">
        <v>6477.08</v>
      </c>
      <c r="I574" s="832">
        <v>13468.13</v>
      </c>
      <c r="J574" s="832">
        <v>14410.78</v>
      </c>
      <c r="K574" s="832">
        <v>14410.78</v>
      </c>
      <c r="L574" s="832">
        <v>14410.78</v>
      </c>
      <c r="M574" s="832">
        <v>14410.78</v>
      </c>
      <c r="N574" s="832">
        <v>14410.78</v>
      </c>
      <c r="O574" s="832">
        <v>0</v>
      </c>
      <c r="P574" s="832">
        <v>0</v>
      </c>
      <c r="Q574" s="832">
        <v>0</v>
      </c>
      <c r="R574" s="832">
        <v>0</v>
      </c>
      <c r="S574" s="832">
        <v>2058.6799999999998</v>
      </c>
      <c r="T574" s="832">
        <v>2058.6799999999998</v>
      </c>
      <c r="U574" s="832">
        <v>0</v>
      </c>
      <c r="V574" s="832">
        <v>2</v>
      </c>
      <c r="W574" s="832">
        <v>7</v>
      </c>
      <c r="X574" s="832">
        <v>15</v>
      </c>
      <c r="Y574" s="832">
        <v>16</v>
      </c>
      <c r="Z574" s="832">
        <v>16</v>
      </c>
      <c r="AA574" s="832">
        <v>16</v>
      </c>
      <c r="AB574" s="832">
        <v>16</v>
      </c>
      <c r="AC574" s="832">
        <v>16</v>
      </c>
      <c r="AD574" s="832">
        <v>0</v>
      </c>
      <c r="AE574" s="832">
        <v>0</v>
      </c>
      <c r="AF574" s="832">
        <v>0</v>
      </c>
      <c r="AG574" s="832">
        <v>0</v>
      </c>
      <c r="AH574" s="832">
        <v>2</v>
      </c>
      <c r="AI574" s="832">
        <v>2</v>
      </c>
      <c r="AJ574" s="1030" t="str">
        <f t="shared" si="54"/>
        <v>H31700</v>
      </c>
      <c r="AK574" s="1030" t="str">
        <f t="shared" si="55"/>
        <v>VTE REVENUS FINANCE</v>
      </c>
      <c r="AL574" s="1030" t="str">
        <f>IFERROR(INDEX(G574:R574,1,MATCH(Parametres!$B$3,G$1:R$1,0)-1)*IF(OR(F574="L",F574="S",F574="I"),-1,1),"")</f>
        <v/>
      </c>
      <c r="AM574" s="1030">
        <f t="shared" si="50"/>
        <v>-2602.2399999999998</v>
      </c>
      <c r="AN574" s="1030">
        <f>INDEX(G574:R574,1,MATCH(Parametres!$B$3,G$1:R$1,0))*IF(OR(F574="L",F574="S",F574="I"),-1,1)</f>
        <v>-2602.2399999999998</v>
      </c>
      <c r="AO574" s="598" t="str">
        <f>+VLOOKUP($AJ574,Data_Validation!$A:$D,1,0)</f>
        <v>H31700</v>
      </c>
      <c r="AP574" s="598" t="str">
        <f>+VLOOKUP($AJ574,Data_Validation!$A:$D,3,0)</f>
        <v>Véhicules neufs</v>
      </c>
      <c r="AQ574" s="598" t="str">
        <f>+VLOOKUP($AJ574,Data_Validation!$A:$D,4,0)</f>
        <v>Rev. Finances</v>
      </c>
      <c r="AR574" s="598" t="s">
        <v>299</v>
      </c>
      <c r="AS574" s="598" t="str">
        <f>+VLOOKUP($AJ574,Data_Validation!$A:$E,5,0)</f>
        <v>Oui</v>
      </c>
      <c r="AT574" s="1036" t="str">
        <f t="shared" si="51"/>
        <v>H31700</v>
      </c>
      <c r="AU574" s="599" t="str">
        <f t="shared" si="52"/>
        <v>VTE REVENUS FINANCE</v>
      </c>
      <c r="AV574" s="1030" t="str">
        <f>IFERROR(INDEX(V574:AG574,1,MATCH(Parametres!$B$3,V$1:AG$1,0)-1)*IF(OR(C574="L",C574="S",C574="I"),-1,1),"")</f>
        <v/>
      </c>
      <c r="AW574" s="1030">
        <f t="shared" si="53"/>
        <v>2</v>
      </c>
      <c r="AX574" s="1030">
        <f>INDEX(V574:AG574,1,MATCH(Parametres!$B$3,V$1:AG$1,0))*IF(OR(C574="L",C574="S",C574="I"),-1,1)</f>
        <v>2</v>
      </c>
      <c r="AY574" s="598" t="s">
        <v>337</v>
      </c>
      <c r="AZ574" s="598" t="str">
        <f>+VLOOKUP($AJ574,Data_Validation!$A:$E,5,0)</f>
        <v>Oui</v>
      </c>
    </row>
    <row r="575" spans="1:52" ht="15" customHeight="1">
      <c r="A575" s="832" t="s">
        <v>1150</v>
      </c>
      <c r="B575" s="832">
        <v>2026</v>
      </c>
      <c r="C575" s="832" t="s">
        <v>2289</v>
      </c>
      <c r="D575" s="832" t="s">
        <v>2290</v>
      </c>
      <c r="E575" s="832" t="s">
        <v>333</v>
      </c>
      <c r="F575" s="832" t="s">
        <v>2226</v>
      </c>
      <c r="G575" s="832">
        <v>41865</v>
      </c>
      <c r="H575" s="832">
        <v>61734</v>
      </c>
      <c r="I575" s="832">
        <v>127108.42</v>
      </c>
      <c r="J575" s="832">
        <v>171278.42</v>
      </c>
      <c r="K575" s="832">
        <v>199602.27</v>
      </c>
      <c r="L575" s="832">
        <v>199602.27</v>
      </c>
      <c r="M575" s="832">
        <v>199602.27</v>
      </c>
      <c r="N575" s="832">
        <v>199602.27</v>
      </c>
      <c r="O575" s="832">
        <v>0</v>
      </c>
      <c r="P575" s="832">
        <v>0</v>
      </c>
      <c r="Q575" s="832">
        <v>0</v>
      </c>
      <c r="R575" s="832">
        <v>0</v>
      </c>
      <c r="S575" s="832">
        <v>28514.61</v>
      </c>
      <c r="T575" s="832">
        <v>28514.61</v>
      </c>
      <c r="U575" s="832">
        <v>0</v>
      </c>
      <c r="V575" s="832">
        <v>34</v>
      </c>
      <c r="W575" s="832">
        <v>55</v>
      </c>
      <c r="X575" s="832">
        <v>118</v>
      </c>
      <c r="Y575" s="832">
        <v>161</v>
      </c>
      <c r="Z575" s="832">
        <v>185</v>
      </c>
      <c r="AA575" s="832">
        <v>185</v>
      </c>
      <c r="AB575" s="832">
        <v>185</v>
      </c>
      <c r="AC575" s="832">
        <v>185</v>
      </c>
      <c r="AD575" s="832">
        <v>0</v>
      </c>
      <c r="AE575" s="832">
        <v>0</v>
      </c>
      <c r="AF575" s="832">
        <v>0</v>
      </c>
      <c r="AG575" s="832">
        <v>0</v>
      </c>
      <c r="AH575" s="832">
        <v>26</v>
      </c>
      <c r="AI575" s="832">
        <v>26</v>
      </c>
      <c r="AJ575" s="1030" t="str">
        <f t="shared" si="54"/>
        <v>H31800</v>
      </c>
      <c r="AK575" s="1030" t="str">
        <f t="shared" si="55"/>
        <v>VTE CHIMIQUES</v>
      </c>
      <c r="AL575" s="1030" t="str">
        <f>IFERROR(INDEX(G575:R575,1,MATCH(Parametres!$B$3,G$1:R$1,0)-1)*IF(OR(F575="L",F575="S",F575="I"),-1,1),"")</f>
        <v/>
      </c>
      <c r="AM575" s="1030">
        <f t="shared" si="50"/>
        <v>-41865</v>
      </c>
      <c r="AN575" s="1030">
        <f>INDEX(G575:R575,1,MATCH(Parametres!$B$3,G$1:R$1,0))*IF(OR(F575="L",F575="S",F575="I"),-1,1)</f>
        <v>-41865</v>
      </c>
      <c r="AO575" s="598" t="str">
        <f>+VLOOKUP($AJ575,Data_Validation!$A:$D,1,0)</f>
        <v>H31800</v>
      </c>
      <c r="AP575" s="598" t="str">
        <f>+VLOOKUP($AJ575,Data_Validation!$A:$D,3,0)</f>
        <v>Véhicules neufs</v>
      </c>
      <c r="AQ575" s="598" t="str">
        <f>+VLOOKUP($AJ575,Data_Validation!$A:$D,4,0)</f>
        <v>Rev. Protections</v>
      </c>
      <c r="AR575" s="598" t="s">
        <v>299</v>
      </c>
      <c r="AS575" s="598" t="str">
        <f>+VLOOKUP($AJ575,Data_Validation!$A:$E,5,0)</f>
        <v>Oui</v>
      </c>
      <c r="AT575" s="1036" t="str">
        <f t="shared" si="51"/>
        <v>H31800</v>
      </c>
      <c r="AU575" s="599" t="str">
        <f t="shared" si="52"/>
        <v>VTE CHIMIQUES</v>
      </c>
      <c r="AV575" s="1030" t="str">
        <f>IFERROR(INDEX(V575:AG575,1,MATCH(Parametres!$B$3,V$1:AG$1,0)-1)*IF(OR(C575="L",C575="S",C575="I"),-1,1),"")</f>
        <v/>
      </c>
      <c r="AW575" s="1030">
        <f t="shared" si="53"/>
        <v>34</v>
      </c>
      <c r="AX575" s="1030">
        <f>INDEX(V575:AG575,1,MATCH(Parametres!$B$3,V$1:AG$1,0))*IF(OR(C575="L",C575="S",C575="I"),-1,1)</f>
        <v>34</v>
      </c>
      <c r="AY575" s="598" t="s">
        <v>337</v>
      </c>
      <c r="AZ575" s="598" t="str">
        <f>+VLOOKUP($AJ575,Data_Validation!$A:$E,5,0)</f>
        <v>Oui</v>
      </c>
    </row>
    <row r="576" spans="1:52" ht="15" customHeight="1">
      <c r="A576" s="832" t="s">
        <v>1150</v>
      </c>
      <c r="B576" s="832">
        <v>2026</v>
      </c>
      <c r="C576" s="832" t="s">
        <v>2291</v>
      </c>
      <c r="D576" s="832" t="s">
        <v>2292</v>
      </c>
      <c r="E576" s="832" t="s">
        <v>333</v>
      </c>
      <c r="F576" s="832" t="s">
        <v>2226</v>
      </c>
      <c r="G576" s="832">
        <v>0</v>
      </c>
      <c r="H576" s="832">
        <v>0</v>
      </c>
      <c r="I576" s="832">
        <v>0</v>
      </c>
      <c r="J576" s="832">
        <v>0</v>
      </c>
      <c r="K576" s="832">
        <v>0</v>
      </c>
      <c r="L576" s="832">
        <v>0</v>
      </c>
      <c r="M576" s="832">
        <v>0</v>
      </c>
      <c r="N576" s="832">
        <v>0</v>
      </c>
      <c r="O576" s="832">
        <v>0</v>
      </c>
      <c r="P576" s="832">
        <v>0</v>
      </c>
      <c r="Q576" s="832">
        <v>0</v>
      </c>
      <c r="R576" s="832">
        <v>0</v>
      </c>
      <c r="S576" s="832">
        <v>0</v>
      </c>
      <c r="T576" s="832">
        <v>0</v>
      </c>
      <c r="U576" s="832">
        <v>0</v>
      </c>
      <c r="V576" s="832">
        <v>0</v>
      </c>
      <c r="W576" s="832">
        <v>0</v>
      </c>
      <c r="X576" s="832">
        <v>0</v>
      </c>
      <c r="Y576" s="832">
        <v>0</v>
      </c>
      <c r="Z576" s="832">
        <v>0</v>
      </c>
      <c r="AA576" s="832">
        <v>0</v>
      </c>
      <c r="AB576" s="832">
        <v>0</v>
      </c>
      <c r="AC576" s="832">
        <v>0</v>
      </c>
      <c r="AD576" s="832">
        <v>0</v>
      </c>
      <c r="AE576" s="832">
        <v>0</v>
      </c>
      <c r="AF576" s="832">
        <v>0</v>
      </c>
      <c r="AG576" s="832">
        <v>0</v>
      </c>
      <c r="AH576" s="832">
        <v>0</v>
      </c>
      <c r="AI576" s="832">
        <v>0</v>
      </c>
      <c r="AJ576" s="1030" t="str">
        <f t="shared" si="54"/>
        <v>H31810</v>
      </c>
      <c r="AK576" s="1030" t="str">
        <f t="shared" si="55"/>
        <v>VTE ENREGISTR &amp; LICENSE</v>
      </c>
      <c r="AL576" s="1030" t="str">
        <f>IFERROR(INDEX(G576:R576,1,MATCH(Parametres!$B$3,G$1:R$1,0)-1)*IF(OR(F576="L",F576="S",F576="I"),-1,1),"")</f>
        <v/>
      </c>
      <c r="AM576" s="1030">
        <f t="shared" si="50"/>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t="str">
        <f t="shared" si="51"/>
        <v>H31810</v>
      </c>
      <c r="AU576" s="599" t="str">
        <f t="shared" si="52"/>
        <v>VTE ENREGISTR &amp; LICENSE</v>
      </c>
      <c r="AV576" s="1030" t="str">
        <f>IFERROR(INDEX(V576:AG576,1,MATCH(Parametres!$B$3,V$1:AG$1,0)-1)*IF(OR(C576="L",C576="S",C576="I"),-1,1),"")</f>
        <v/>
      </c>
      <c r="AW576" s="1030">
        <f t="shared" si="53"/>
        <v>0</v>
      </c>
      <c r="AX576" s="1030">
        <f>INDEX(V576:AG576,1,MATCH(Parametres!$B$3,V$1:AG$1,0))*IF(OR(C576="L",C576="S",C576="I"),-1,1)</f>
        <v>0</v>
      </c>
      <c r="AY576" s="598" t="s">
        <v>337</v>
      </c>
      <c r="AZ576" s="598" t="e">
        <f>+VLOOKUP($AJ576,Data_Validation!$A:$E,5,0)</f>
        <v>#N/A</v>
      </c>
    </row>
    <row r="577" spans="1:52" ht="15" customHeight="1">
      <c r="A577" s="832" t="s">
        <v>1150</v>
      </c>
      <c r="B577" s="832">
        <v>2026</v>
      </c>
      <c r="C577" s="832" t="s">
        <v>2293</v>
      </c>
      <c r="D577" s="832" t="s">
        <v>2294</v>
      </c>
      <c r="E577" s="832" t="s">
        <v>333</v>
      </c>
      <c r="F577" s="832" t="s">
        <v>2226</v>
      </c>
      <c r="G577" s="832">
        <v>21858</v>
      </c>
      <c r="H577" s="832">
        <v>38065</v>
      </c>
      <c r="I577" s="832">
        <v>65072</v>
      </c>
      <c r="J577" s="832">
        <v>86458</v>
      </c>
      <c r="K577" s="832">
        <v>104827</v>
      </c>
      <c r="L577" s="832">
        <v>104827</v>
      </c>
      <c r="M577" s="832">
        <v>104827</v>
      </c>
      <c r="N577" s="832">
        <v>104827</v>
      </c>
      <c r="O577" s="832">
        <v>0</v>
      </c>
      <c r="P577" s="832">
        <v>0</v>
      </c>
      <c r="Q577" s="832">
        <v>0</v>
      </c>
      <c r="R577" s="832">
        <v>0</v>
      </c>
      <c r="S577" s="832">
        <v>14975.29</v>
      </c>
      <c r="T577" s="832">
        <v>14975.29</v>
      </c>
      <c r="U577" s="832">
        <v>0</v>
      </c>
      <c r="V577" s="832">
        <v>14</v>
      </c>
      <c r="W577" s="832">
        <v>25</v>
      </c>
      <c r="X577" s="832">
        <v>42</v>
      </c>
      <c r="Y577" s="832">
        <v>57</v>
      </c>
      <c r="Z577" s="832">
        <v>69</v>
      </c>
      <c r="AA577" s="832">
        <v>69</v>
      </c>
      <c r="AB577" s="832">
        <v>69</v>
      </c>
      <c r="AC577" s="832">
        <v>69</v>
      </c>
      <c r="AD577" s="832">
        <v>0</v>
      </c>
      <c r="AE577" s="832">
        <v>0</v>
      </c>
      <c r="AF577" s="832">
        <v>0</v>
      </c>
      <c r="AG577" s="832">
        <v>0</v>
      </c>
      <c r="AH577" s="832">
        <v>10</v>
      </c>
      <c r="AI577" s="832">
        <v>10</v>
      </c>
      <c r="AJ577" s="1030" t="str">
        <f t="shared" si="54"/>
        <v>H31811</v>
      </c>
      <c r="AK577" s="1030" t="str">
        <f t="shared" si="55"/>
        <v>VTE ASS. USURE</v>
      </c>
      <c r="AL577" s="1030" t="str">
        <f>IFERROR(INDEX(G577:R577,1,MATCH(Parametres!$B$3,G$1:R$1,0)-1)*IF(OR(F577="L",F577="S",F577="I"),-1,1),"")</f>
        <v/>
      </c>
      <c r="AM577" s="1030">
        <f t="shared" si="50"/>
        <v>-21858</v>
      </c>
      <c r="AN577" s="1030">
        <f>INDEX(G577:R577,1,MATCH(Parametres!$B$3,G$1:R$1,0))*IF(OR(F577="L",F577="S",F577="I"),-1,1)</f>
        <v>-21858</v>
      </c>
      <c r="AO577" s="598" t="str">
        <f>+VLOOKUP($AJ577,Data_Validation!$A:$D,1,0)</f>
        <v>H31811</v>
      </c>
      <c r="AP577" s="598" t="str">
        <f>+VLOOKUP($AJ577,Data_Validation!$A:$D,3,0)</f>
        <v>Véhicules neufs</v>
      </c>
      <c r="AQ577" s="598" t="str">
        <f>+VLOOKUP($AJ577,Data_Validation!$A:$D,4,0)</f>
        <v>Rev. Protections</v>
      </c>
      <c r="AR577" s="598" t="s">
        <v>299</v>
      </c>
      <c r="AS577" s="598" t="str">
        <f>+VLOOKUP($AJ577,Data_Validation!$A:$E,5,0)</f>
        <v>Oui</v>
      </c>
      <c r="AT577" s="1036" t="str">
        <f t="shared" si="51"/>
        <v>H31811</v>
      </c>
      <c r="AU577" s="599" t="str">
        <f t="shared" si="52"/>
        <v>VTE ASS. USURE</v>
      </c>
      <c r="AV577" s="1030" t="str">
        <f>IFERROR(INDEX(V577:AG577,1,MATCH(Parametres!$B$3,V$1:AG$1,0)-1)*IF(OR(C577="L",C577="S",C577="I"),-1,1),"")</f>
        <v/>
      </c>
      <c r="AW577" s="1030">
        <f t="shared" si="53"/>
        <v>14</v>
      </c>
      <c r="AX577" s="1030">
        <f>INDEX(V577:AG577,1,MATCH(Parametres!$B$3,V$1:AG$1,0))*IF(OR(C577="L",C577="S",C577="I"),-1,1)</f>
        <v>14</v>
      </c>
      <c r="AY577" s="598" t="s">
        <v>337</v>
      </c>
      <c r="AZ577" s="598" t="str">
        <f>+VLOOKUP($AJ577,Data_Validation!$A:$E,5,0)</f>
        <v>Oui</v>
      </c>
    </row>
    <row r="578" spans="1:52" ht="15" customHeight="1">
      <c r="A578" s="832" t="s">
        <v>1150</v>
      </c>
      <c r="B578" s="832">
        <v>2026</v>
      </c>
      <c r="C578" s="832" t="s">
        <v>2295</v>
      </c>
      <c r="D578" s="832" t="s">
        <v>2296</v>
      </c>
      <c r="E578" s="832" t="s">
        <v>2226</v>
      </c>
      <c r="F578" s="832" t="s">
        <v>2226</v>
      </c>
      <c r="G578" s="832">
        <v>0</v>
      </c>
      <c r="H578" s="832">
        <v>0</v>
      </c>
      <c r="I578" s="832">
        <v>0</v>
      </c>
      <c r="J578" s="832">
        <v>0</v>
      </c>
      <c r="K578" s="832">
        <v>0</v>
      </c>
      <c r="L578" s="832">
        <v>0</v>
      </c>
      <c r="M578" s="832">
        <v>0</v>
      </c>
      <c r="N578" s="832">
        <v>0</v>
      </c>
      <c r="O578" s="832">
        <v>0</v>
      </c>
      <c r="P578" s="832">
        <v>0</v>
      </c>
      <c r="Q578" s="832">
        <v>0</v>
      </c>
      <c r="R578" s="832">
        <v>0</v>
      </c>
      <c r="S578" s="832">
        <v>0</v>
      </c>
      <c r="T578" s="832">
        <v>0</v>
      </c>
      <c r="U578" s="832">
        <v>0</v>
      </c>
      <c r="V578" s="832">
        <v>0</v>
      </c>
      <c r="W578" s="832">
        <v>0</v>
      </c>
      <c r="X578" s="832">
        <v>0</v>
      </c>
      <c r="Y578" s="832">
        <v>0</v>
      </c>
      <c r="Z578" s="832">
        <v>0</v>
      </c>
      <c r="AA578" s="832">
        <v>0</v>
      </c>
      <c r="AB578" s="832">
        <v>0</v>
      </c>
      <c r="AC578" s="832">
        <v>0</v>
      </c>
      <c r="AD578" s="832">
        <v>0</v>
      </c>
      <c r="AE578" s="832">
        <v>0</v>
      </c>
      <c r="AF578" s="832">
        <v>0</v>
      </c>
      <c r="AG578" s="832">
        <v>0</v>
      </c>
      <c r="AH578" s="832">
        <v>0</v>
      </c>
      <c r="AI578" s="832">
        <v>0</v>
      </c>
      <c r="AJ578" s="1030" t="str">
        <f t="shared" si="54"/>
        <v>H31900</v>
      </c>
      <c r="AK578" s="1030" t="str">
        <f t="shared" si="55"/>
        <v>VTE PARCS NEUF</v>
      </c>
      <c r="AL578" s="1030" t="str">
        <f>IFERROR(INDEX(G578:R578,1,MATCH(Parametres!$B$3,G$1:R$1,0)-1)*IF(OR(F578="L",F578="S",F578="I"),-1,1),"")</f>
        <v/>
      </c>
      <c r="AM578" s="1030">
        <f t="shared" si="50"/>
        <v>0</v>
      </c>
      <c r="AN578" s="1030">
        <f>INDEX(G578:R578,1,MATCH(Parametres!$B$3,G$1:R$1,0))*IF(OR(F578="L",F578="S",F578="I"),-1,1)</f>
        <v>0</v>
      </c>
      <c r="AO578" s="598" t="str">
        <f>+VLOOKUP($AJ578,Data_Validation!$A:$D,1,0)</f>
        <v>H31900</v>
      </c>
      <c r="AP578" s="598" t="str">
        <f>+VLOOKUP($AJ578,Data_Validation!$A:$D,3,0)</f>
        <v>Véhicules neufs</v>
      </c>
      <c r="AQ578" s="598" t="str">
        <f>+VLOOKUP($AJ578,Data_Validation!$A:$D,4,0)</f>
        <v>Flottes</v>
      </c>
      <c r="AR578" s="598" t="s">
        <v>299</v>
      </c>
      <c r="AS578" s="598" t="str">
        <f>+VLOOKUP($AJ578,Data_Validation!$A:$E,5,0)</f>
        <v>Oui</v>
      </c>
      <c r="AT578" s="1036" t="str">
        <f t="shared" si="51"/>
        <v>H31900</v>
      </c>
      <c r="AU578" s="599" t="str">
        <f t="shared" si="52"/>
        <v>VTE PARCS NEUF</v>
      </c>
      <c r="AV578" s="1030" t="str">
        <f>IFERROR(INDEX(V578:AG578,1,MATCH(Parametres!$B$3,V$1:AG$1,0)-1)*IF(OR(C578="L",C578="S",C578="I"),-1,1),"")</f>
        <v/>
      </c>
      <c r="AW578" s="1030">
        <f t="shared" si="53"/>
        <v>0</v>
      </c>
      <c r="AX578" s="1030">
        <f>INDEX(V578:AG578,1,MATCH(Parametres!$B$3,V$1:AG$1,0))*IF(OR(C578="L",C578="S",C578="I"),-1,1)</f>
        <v>0</v>
      </c>
      <c r="AY578" s="598" t="s">
        <v>337</v>
      </c>
      <c r="AZ578" s="598" t="str">
        <f>+VLOOKUP($AJ578,Data_Validation!$A:$E,5,0)</f>
        <v>Oui</v>
      </c>
    </row>
    <row r="579" spans="1:52" ht="15" customHeight="1">
      <c r="A579" s="832" t="s">
        <v>1150</v>
      </c>
      <c r="B579" s="832">
        <v>2026</v>
      </c>
      <c r="C579" s="832" t="s">
        <v>2297</v>
      </c>
      <c r="D579" s="832" t="s">
        <v>2298</v>
      </c>
      <c r="E579" s="832" t="s">
        <v>2226</v>
      </c>
      <c r="F579" s="832" t="s">
        <v>2226</v>
      </c>
      <c r="G579" s="832">
        <v>359469.53</v>
      </c>
      <c r="H579" s="832">
        <v>581294.32999999996</v>
      </c>
      <c r="I579" s="832">
        <v>699797.13</v>
      </c>
      <c r="J579" s="832">
        <v>793829.13</v>
      </c>
      <c r="K579" s="832">
        <v>793829.13</v>
      </c>
      <c r="L579" s="832">
        <v>793829.13</v>
      </c>
      <c r="M579" s="832">
        <v>793829.13</v>
      </c>
      <c r="N579" s="832">
        <v>793829.13</v>
      </c>
      <c r="O579" s="832">
        <v>0</v>
      </c>
      <c r="P579" s="832">
        <v>0</v>
      </c>
      <c r="Q579" s="832">
        <v>0</v>
      </c>
      <c r="R579" s="832">
        <v>0</v>
      </c>
      <c r="S579" s="832">
        <v>113404.16</v>
      </c>
      <c r="T579" s="832">
        <v>113404.16</v>
      </c>
      <c r="U579" s="832">
        <v>0</v>
      </c>
      <c r="V579" s="832">
        <v>8</v>
      </c>
      <c r="W579" s="832">
        <v>13</v>
      </c>
      <c r="X579" s="832">
        <v>16</v>
      </c>
      <c r="Y579" s="832">
        <v>20</v>
      </c>
      <c r="Z579" s="832">
        <v>20</v>
      </c>
      <c r="AA579" s="832">
        <v>20</v>
      </c>
      <c r="AB579" s="832">
        <v>20</v>
      </c>
      <c r="AC579" s="832">
        <v>20</v>
      </c>
      <c r="AD579" s="832">
        <v>0</v>
      </c>
      <c r="AE579" s="832">
        <v>0</v>
      </c>
      <c r="AF579" s="832">
        <v>0</v>
      </c>
      <c r="AG579" s="832">
        <v>0</v>
      </c>
      <c r="AH579" s="832">
        <v>3</v>
      </c>
      <c r="AI579" s="832">
        <v>3</v>
      </c>
      <c r="AJ579" s="1030" t="str">
        <f t="shared" si="54"/>
        <v>H31910</v>
      </c>
      <c r="AK579" s="1030" t="str">
        <f t="shared" si="55"/>
        <v>VTE PARC CAMIONS</v>
      </c>
      <c r="AL579" s="1030" t="str">
        <f>IFERROR(INDEX(G579:R579,1,MATCH(Parametres!$B$3,G$1:R$1,0)-1)*IF(OR(F579="L",F579="S",F579="I"),-1,1),"")</f>
        <v/>
      </c>
      <c r="AM579" s="1030">
        <f t="shared" si="50"/>
        <v>-359469.53</v>
      </c>
      <c r="AN579" s="1030">
        <f>INDEX(G579:R579,1,MATCH(Parametres!$B$3,G$1:R$1,0))*IF(OR(F579="L",F579="S",F579="I"),-1,1)</f>
        <v>-359469.53</v>
      </c>
      <c r="AO579" s="598" t="str">
        <f>+VLOOKUP($AJ579,Data_Validation!$A:$D,1,0)</f>
        <v>H31910</v>
      </c>
      <c r="AP579" s="598" t="str">
        <f>+VLOOKUP($AJ579,Data_Validation!$A:$D,3,0)</f>
        <v>Véhicules neufs</v>
      </c>
      <c r="AQ579" s="598" t="str">
        <f>+VLOOKUP($AJ579,Data_Validation!$A:$D,4,0)</f>
        <v>Flottes</v>
      </c>
      <c r="AR579" s="598" t="s">
        <v>299</v>
      </c>
      <c r="AS579" s="598" t="str">
        <f>+VLOOKUP($AJ579,Data_Validation!$A:$E,5,0)</f>
        <v>Oui</v>
      </c>
      <c r="AT579" s="1036" t="str">
        <f t="shared" si="51"/>
        <v>H31910</v>
      </c>
      <c r="AU579" s="599" t="str">
        <f t="shared" si="52"/>
        <v>VTE PARC CAMIONS</v>
      </c>
      <c r="AV579" s="1030" t="str">
        <f>IFERROR(INDEX(V579:AG579,1,MATCH(Parametres!$B$3,V$1:AG$1,0)-1)*IF(OR(C579="L",C579="S",C579="I"),-1,1),"")</f>
        <v/>
      </c>
      <c r="AW579" s="1030">
        <f t="shared" si="53"/>
        <v>8</v>
      </c>
      <c r="AX579" s="1030">
        <f>INDEX(V579:AG579,1,MATCH(Parametres!$B$3,V$1:AG$1,0))*IF(OR(C579="L",C579="S",C579="I"),-1,1)</f>
        <v>8</v>
      </c>
      <c r="AY579" s="598" t="s">
        <v>337</v>
      </c>
      <c r="AZ579" s="598" t="str">
        <f>+VLOOKUP($AJ579,Data_Validation!$A:$E,5,0)</f>
        <v>Oui</v>
      </c>
    </row>
    <row r="580" spans="1:52" ht="15" customHeight="1">
      <c r="A580" s="832" t="s">
        <v>1150</v>
      </c>
      <c r="B580" s="832">
        <v>2026</v>
      </c>
      <c r="C580" s="832" t="s">
        <v>2299</v>
      </c>
      <c r="D580" s="832" t="s">
        <v>2300</v>
      </c>
      <c r="E580" s="832" t="s">
        <v>2226</v>
      </c>
      <c r="F580" s="832" t="s">
        <v>2226</v>
      </c>
      <c r="G580" s="832">
        <v>17273.32</v>
      </c>
      <c r="H580" s="832">
        <v>104884.48</v>
      </c>
      <c r="I580" s="832">
        <v>151522.22</v>
      </c>
      <c r="J580" s="832">
        <v>254533.27</v>
      </c>
      <c r="K580" s="832">
        <v>254533.27</v>
      </c>
      <c r="L580" s="832">
        <v>254533.27</v>
      </c>
      <c r="M580" s="832">
        <v>254533.27</v>
      </c>
      <c r="N580" s="832">
        <v>254533.27</v>
      </c>
      <c r="O580" s="832">
        <v>0</v>
      </c>
      <c r="P580" s="832">
        <v>0</v>
      </c>
      <c r="Q580" s="832">
        <v>0</v>
      </c>
      <c r="R580" s="832">
        <v>0</v>
      </c>
      <c r="S580" s="832">
        <v>36361.9</v>
      </c>
      <c r="T580" s="832">
        <v>36361.9</v>
      </c>
      <c r="U580" s="832">
        <v>0</v>
      </c>
      <c r="V580" s="832">
        <v>1</v>
      </c>
      <c r="W580" s="832">
        <v>6</v>
      </c>
      <c r="X580" s="832">
        <v>9</v>
      </c>
      <c r="Y580" s="832">
        <v>14</v>
      </c>
      <c r="Z580" s="832">
        <v>14</v>
      </c>
      <c r="AA580" s="832">
        <v>14</v>
      </c>
      <c r="AB580" s="832">
        <v>14</v>
      </c>
      <c r="AC580" s="832">
        <v>14</v>
      </c>
      <c r="AD580" s="832">
        <v>0</v>
      </c>
      <c r="AE580" s="832">
        <v>0</v>
      </c>
      <c r="AF580" s="832">
        <v>0</v>
      </c>
      <c r="AG580" s="832">
        <v>0</v>
      </c>
      <c r="AH580" s="832">
        <v>2</v>
      </c>
      <c r="AI580" s="832">
        <v>2</v>
      </c>
      <c r="AJ580" s="1030" t="str">
        <f t="shared" si="54"/>
        <v>H32000</v>
      </c>
      <c r="AK580" s="1030" t="str">
        <f t="shared" si="55"/>
        <v>VTE RACHAT LOCATION</v>
      </c>
      <c r="AL580" s="1030" t="str">
        <f>IFERROR(INDEX(G580:R580,1,MATCH(Parametres!$B$3,G$1:R$1,0)-1)*IF(OR(F580="L",F580="S",F580="I"),-1,1),"")</f>
        <v/>
      </c>
      <c r="AM580" s="1030">
        <f t="shared" ref="AM580:AM643" si="56">AN580-N(AL580)</f>
        <v>-17273.32</v>
      </c>
      <c r="AN580" s="1030">
        <f>INDEX(G580:R580,1,MATCH(Parametres!$B$3,G$1:R$1,0))*IF(OR(F580="L",F580="S",F580="I"),-1,1)</f>
        <v>-17273.32</v>
      </c>
      <c r="AO580" s="598" t="str">
        <f>+VLOOKUP($AJ580,Data_Validation!$A:$D,1,0)</f>
        <v>H32000</v>
      </c>
      <c r="AP580" s="598" t="str">
        <f>+VLOOKUP($AJ580,Data_Validation!$A:$D,3,0)</f>
        <v>Véhicules usagés</v>
      </c>
      <c r="AQ580" s="598" t="str">
        <f>+VLOOKUP($AJ580,Data_Validation!$A:$D,4,0)</f>
        <v>Rachat bail</v>
      </c>
      <c r="AR580" s="598" t="s">
        <v>299</v>
      </c>
      <c r="AS580" s="598" t="str">
        <f>+VLOOKUP($AJ580,Data_Validation!$A:$E,5,0)</f>
        <v>Oui</v>
      </c>
      <c r="AT580" s="1036" t="str">
        <f t="shared" ref="AT580:AT643" si="57">C580</f>
        <v>H32000</v>
      </c>
      <c r="AU580" s="599" t="str">
        <f t="shared" ref="AU580:AU643" si="58">D580</f>
        <v>VTE RACHAT LOCATION</v>
      </c>
      <c r="AV580" s="1030" t="str">
        <f>IFERROR(INDEX(V580:AG580,1,MATCH(Parametres!$B$3,V$1:AG$1,0)-1)*IF(OR(C580="L",C580="S",C580="I"),-1,1),"")</f>
        <v/>
      </c>
      <c r="AW580" s="1030">
        <f t="shared" ref="AW580:AW643" si="59">AX580-N(AV580)</f>
        <v>1</v>
      </c>
      <c r="AX580" s="1030">
        <f>INDEX(V580:AG580,1,MATCH(Parametres!$B$3,V$1:AG$1,0))*IF(OR(C580="L",C580="S",C580="I"),-1,1)</f>
        <v>1</v>
      </c>
      <c r="AY580" s="598" t="s">
        <v>337</v>
      </c>
      <c r="AZ580" s="598" t="str">
        <f>+VLOOKUP($AJ580,Data_Validation!$A:$E,5,0)</f>
        <v>Oui</v>
      </c>
    </row>
    <row r="581" spans="1:52" ht="15" customHeight="1">
      <c r="A581" s="832" t="s">
        <v>1150</v>
      </c>
      <c r="B581" s="832">
        <v>2026</v>
      </c>
      <c r="C581" s="832" t="s">
        <v>2301</v>
      </c>
      <c r="D581" s="832" t="s">
        <v>2302</v>
      </c>
      <c r="E581" s="832" t="s">
        <v>2226</v>
      </c>
      <c r="F581" s="832" t="s">
        <v>2226</v>
      </c>
      <c r="G581" s="832">
        <v>131240.01999999999</v>
      </c>
      <c r="H581" s="832">
        <v>327401.09000000003</v>
      </c>
      <c r="I581" s="832">
        <v>327401.09000000003</v>
      </c>
      <c r="J581" s="832">
        <v>327401.09000000003</v>
      </c>
      <c r="K581" s="832">
        <v>327401.09000000003</v>
      </c>
      <c r="L581" s="832">
        <v>327401.09000000003</v>
      </c>
      <c r="M581" s="832">
        <v>327401.09000000003</v>
      </c>
      <c r="N581" s="832">
        <v>327401.09000000003</v>
      </c>
      <c r="O581" s="832">
        <v>0</v>
      </c>
      <c r="P581" s="832">
        <v>0</v>
      </c>
      <c r="Q581" s="832">
        <v>0</v>
      </c>
      <c r="R581" s="832">
        <v>0</v>
      </c>
      <c r="S581" s="832">
        <v>46771.58</v>
      </c>
      <c r="T581" s="832">
        <v>46771.58</v>
      </c>
      <c r="U581" s="832">
        <v>0</v>
      </c>
      <c r="V581" s="832">
        <v>2</v>
      </c>
      <c r="W581" s="832">
        <v>5</v>
      </c>
      <c r="X581" s="832">
        <v>5</v>
      </c>
      <c r="Y581" s="832">
        <v>5</v>
      </c>
      <c r="Z581" s="832">
        <v>5</v>
      </c>
      <c r="AA581" s="832">
        <v>5</v>
      </c>
      <c r="AB581" s="832">
        <v>5</v>
      </c>
      <c r="AC581" s="832">
        <v>5</v>
      </c>
      <c r="AD581" s="832">
        <v>0</v>
      </c>
      <c r="AE581" s="832">
        <v>0</v>
      </c>
      <c r="AF581" s="832">
        <v>0</v>
      </c>
      <c r="AG581" s="832">
        <v>0</v>
      </c>
      <c r="AH581" s="832">
        <v>1</v>
      </c>
      <c r="AI581" s="832">
        <v>1</v>
      </c>
      <c r="AJ581" s="1030" t="str">
        <f t="shared" si="54"/>
        <v>H32100</v>
      </c>
      <c r="AK581" s="1030" t="str">
        <f t="shared" si="55"/>
        <v>VTE PALISADE</v>
      </c>
      <c r="AL581" s="1030" t="str">
        <f>IFERROR(INDEX(G581:R581,1,MATCH(Parametres!$B$3,G$1:R$1,0)-1)*IF(OR(F581="L",F581="S",F581="I"),-1,1),"")</f>
        <v/>
      </c>
      <c r="AM581" s="1030">
        <f t="shared" si="56"/>
        <v>-131240.01999999999</v>
      </c>
      <c r="AN581" s="1030">
        <f>INDEX(G581:R581,1,MATCH(Parametres!$B$3,G$1:R$1,0))*IF(OR(F581="L",F581="S",F581="I"),-1,1)</f>
        <v>-131240.01999999999</v>
      </c>
      <c r="AO581" s="598" t="str">
        <f>+VLOOKUP($AJ581,Data_Validation!$A:$D,1,0)</f>
        <v>H32100</v>
      </c>
      <c r="AP581" s="598" t="str">
        <f>+VLOOKUP($AJ581,Data_Validation!$A:$D,3,0)</f>
        <v>Véhicules neufs</v>
      </c>
      <c r="AQ581" s="598" t="str">
        <f>+VLOOKUP($AJ581,Data_Validation!$A:$D,4,0)</f>
        <v>Camions détail</v>
      </c>
      <c r="AR581" s="598" t="s">
        <v>299</v>
      </c>
      <c r="AS581" s="598" t="str">
        <f>+VLOOKUP($AJ581,Data_Validation!$A:$E,5,0)</f>
        <v>Oui</v>
      </c>
      <c r="AT581" s="1036" t="str">
        <f t="shared" si="57"/>
        <v>H32100</v>
      </c>
      <c r="AU581" s="599" t="str">
        <f t="shared" si="58"/>
        <v>VTE PALISADE</v>
      </c>
      <c r="AV581" s="1030" t="str">
        <f>IFERROR(INDEX(V581:AG581,1,MATCH(Parametres!$B$3,V$1:AG$1,0)-1)*IF(OR(C581="L",C581="S",C581="I"),-1,1),"")</f>
        <v/>
      </c>
      <c r="AW581" s="1030">
        <f t="shared" si="59"/>
        <v>2</v>
      </c>
      <c r="AX581" s="1030">
        <f>INDEX(V581:AG581,1,MATCH(Parametres!$B$3,V$1:AG$1,0))*IF(OR(C581="L",C581="S",C581="I"),-1,1)</f>
        <v>2</v>
      </c>
      <c r="AY581" s="598" t="s">
        <v>337</v>
      </c>
      <c r="AZ581" s="598" t="str">
        <f>+VLOOKUP($AJ581,Data_Validation!$A:$E,5,0)</f>
        <v>Oui</v>
      </c>
    </row>
    <row r="582" spans="1:52" ht="15" customHeight="1">
      <c r="A582" s="832" t="s">
        <v>1150</v>
      </c>
      <c r="B582" s="832">
        <v>2026</v>
      </c>
      <c r="C582" s="832" t="s">
        <v>2303</v>
      </c>
      <c r="D582" s="832" t="s">
        <v>2304</v>
      </c>
      <c r="E582" s="832" t="s">
        <v>2226</v>
      </c>
      <c r="F582" s="832" t="s">
        <v>2226</v>
      </c>
      <c r="G582" s="832">
        <v>221214.37</v>
      </c>
      <c r="H582" s="832">
        <v>377102.26</v>
      </c>
      <c r="I582" s="832">
        <v>656599.89</v>
      </c>
      <c r="J582" s="832">
        <v>908526.28</v>
      </c>
      <c r="K582" s="832">
        <v>1173175.83</v>
      </c>
      <c r="L582" s="832">
        <v>1173175.83</v>
      </c>
      <c r="M582" s="832">
        <v>1173175.83</v>
      </c>
      <c r="N582" s="832">
        <v>1173175.83</v>
      </c>
      <c r="O582" s="832">
        <v>0</v>
      </c>
      <c r="P582" s="832">
        <v>0</v>
      </c>
      <c r="Q582" s="832">
        <v>0</v>
      </c>
      <c r="R582" s="832">
        <v>0</v>
      </c>
      <c r="S582" s="832">
        <v>167596.54999999999</v>
      </c>
      <c r="T582" s="832">
        <v>167596.54999999999</v>
      </c>
      <c r="U582" s="832">
        <v>0</v>
      </c>
      <c r="V582" s="832">
        <v>8</v>
      </c>
      <c r="W582" s="832">
        <v>13</v>
      </c>
      <c r="X582" s="832">
        <v>23</v>
      </c>
      <c r="Y582" s="832">
        <v>33</v>
      </c>
      <c r="Z582" s="832">
        <v>43</v>
      </c>
      <c r="AA582" s="832">
        <v>43</v>
      </c>
      <c r="AB582" s="832">
        <v>43</v>
      </c>
      <c r="AC582" s="832">
        <v>43</v>
      </c>
      <c r="AD582" s="832">
        <v>0</v>
      </c>
      <c r="AE582" s="832">
        <v>0</v>
      </c>
      <c r="AF582" s="832">
        <v>0</v>
      </c>
      <c r="AG582" s="832">
        <v>0</v>
      </c>
      <c r="AH582" s="832">
        <v>6</v>
      </c>
      <c r="AI582" s="832">
        <v>6</v>
      </c>
      <c r="AJ582" s="1030" t="str">
        <f t="shared" si="54"/>
        <v>H32200</v>
      </c>
      <c r="AK582" s="1030" t="str">
        <f t="shared" si="55"/>
        <v>VTE VENUE</v>
      </c>
      <c r="AL582" s="1030" t="str">
        <f>IFERROR(INDEX(G582:R582,1,MATCH(Parametres!$B$3,G$1:R$1,0)-1)*IF(OR(F582="L",F582="S",F582="I"),-1,1),"")</f>
        <v/>
      </c>
      <c r="AM582" s="1030">
        <f t="shared" si="56"/>
        <v>-221214.37</v>
      </c>
      <c r="AN582" s="1030">
        <f>INDEX(G582:R582,1,MATCH(Parametres!$B$3,G$1:R$1,0))*IF(OR(F582="L",F582="S",F582="I"),-1,1)</f>
        <v>-221214.37</v>
      </c>
      <c r="AO582" s="598" t="str">
        <f>+VLOOKUP($AJ582,Data_Validation!$A:$D,1,0)</f>
        <v>H32200</v>
      </c>
      <c r="AP582" s="598" t="str">
        <f>+VLOOKUP($AJ582,Data_Validation!$A:$D,3,0)</f>
        <v>Véhicules neufs</v>
      </c>
      <c r="AQ582" s="598" t="str">
        <f>+VLOOKUP($AJ582,Data_Validation!$A:$D,4,0)</f>
        <v>Camions détail</v>
      </c>
      <c r="AR582" s="598" t="s">
        <v>299</v>
      </c>
      <c r="AS582" s="598" t="str">
        <f>+VLOOKUP($AJ582,Data_Validation!$A:$E,5,0)</f>
        <v>Oui</v>
      </c>
      <c r="AT582" s="1036" t="str">
        <f t="shared" si="57"/>
        <v>H32200</v>
      </c>
      <c r="AU582" s="599" t="str">
        <f t="shared" si="58"/>
        <v>VTE VENUE</v>
      </c>
      <c r="AV582" s="1030" t="str">
        <f>IFERROR(INDEX(V582:AG582,1,MATCH(Parametres!$B$3,V$1:AG$1,0)-1)*IF(OR(C582="L",C582="S",C582="I"),-1,1),"")</f>
        <v/>
      </c>
      <c r="AW582" s="1030">
        <f t="shared" si="59"/>
        <v>8</v>
      </c>
      <c r="AX582" s="1030">
        <f>INDEX(V582:AG582,1,MATCH(Parametres!$B$3,V$1:AG$1,0))*IF(OR(C582="L",C582="S",C582="I"),-1,1)</f>
        <v>8</v>
      </c>
      <c r="AY582" s="598" t="s">
        <v>337</v>
      </c>
      <c r="AZ582" s="598" t="str">
        <f>+VLOOKUP($AJ582,Data_Validation!$A:$E,5,0)</f>
        <v>Oui</v>
      </c>
    </row>
    <row r="583" spans="1:52" ht="15" customHeight="1">
      <c r="A583" s="832" t="s">
        <v>1150</v>
      </c>
      <c r="B583" s="832">
        <v>2026</v>
      </c>
      <c r="C583" s="832" t="s">
        <v>2305</v>
      </c>
      <c r="D583" s="832" t="s">
        <v>2306</v>
      </c>
      <c r="E583" s="832" t="s">
        <v>2226</v>
      </c>
      <c r="F583" s="832" t="s">
        <v>2226</v>
      </c>
      <c r="G583" s="832">
        <v>193973.34</v>
      </c>
      <c r="H583" s="832">
        <v>418500.26</v>
      </c>
      <c r="I583" s="832">
        <v>640246.54</v>
      </c>
      <c r="J583" s="832">
        <v>668046.54</v>
      </c>
      <c r="K583" s="832">
        <v>668046.54</v>
      </c>
      <c r="L583" s="832">
        <v>668046.54</v>
      </c>
      <c r="M583" s="832">
        <v>668046.54</v>
      </c>
      <c r="N583" s="832">
        <v>668046.54</v>
      </c>
      <c r="O583" s="832">
        <v>0</v>
      </c>
      <c r="P583" s="832">
        <v>0</v>
      </c>
      <c r="Q583" s="832">
        <v>0</v>
      </c>
      <c r="R583" s="832">
        <v>0</v>
      </c>
      <c r="S583" s="832">
        <v>95435.22</v>
      </c>
      <c r="T583" s="832">
        <v>95435.22</v>
      </c>
      <c r="U583" s="832">
        <v>0</v>
      </c>
      <c r="V583" s="832">
        <v>8</v>
      </c>
      <c r="W583" s="832">
        <v>18</v>
      </c>
      <c r="X583" s="832">
        <v>27</v>
      </c>
      <c r="Y583" s="832">
        <v>28</v>
      </c>
      <c r="Z583" s="832">
        <v>28</v>
      </c>
      <c r="AA583" s="832">
        <v>28</v>
      </c>
      <c r="AB583" s="832">
        <v>28</v>
      </c>
      <c r="AC583" s="832">
        <v>28</v>
      </c>
      <c r="AD583" s="832">
        <v>0</v>
      </c>
      <c r="AE583" s="832">
        <v>0</v>
      </c>
      <c r="AF583" s="832">
        <v>0</v>
      </c>
      <c r="AG583" s="832">
        <v>0</v>
      </c>
      <c r="AH583" s="832">
        <v>4</v>
      </c>
      <c r="AI583" s="832">
        <v>4</v>
      </c>
      <c r="AJ583" s="1030" t="str">
        <f t="shared" si="54"/>
        <v>H32300</v>
      </c>
      <c r="AK583" s="1030" t="str">
        <f t="shared" si="55"/>
        <v>VTE USAGES CERTIFIES</v>
      </c>
      <c r="AL583" s="1030" t="str">
        <f>IFERROR(INDEX(G583:R583,1,MATCH(Parametres!$B$3,G$1:R$1,0)-1)*IF(OR(F583="L",F583="S",F583="I"),-1,1),"")</f>
        <v/>
      </c>
      <c r="AM583" s="1030">
        <f t="shared" si="56"/>
        <v>-193973.34</v>
      </c>
      <c r="AN583" s="1030">
        <f>INDEX(G583:R583,1,MATCH(Parametres!$B$3,G$1:R$1,0))*IF(OR(F583="L",F583="S",F583="I"),-1,1)</f>
        <v>-193973.34</v>
      </c>
      <c r="AO583" s="598" t="str">
        <f>+VLOOKUP($AJ583,Data_Validation!$A:$D,1,0)</f>
        <v>H32300</v>
      </c>
      <c r="AP583" s="598" t="str">
        <f>+VLOOKUP($AJ583,Data_Validation!$A:$D,3,0)</f>
        <v>Véhicules usagés</v>
      </c>
      <c r="AQ583" s="598" t="str">
        <f>+VLOOKUP($AJ583,Data_Validation!$A:$D,4,0)</f>
        <v>Certifié</v>
      </c>
      <c r="AR583" s="598" t="s">
        <v>299</v>
      </c>
      <c r="AS583" s="598" t="str">
        <f>+VLOOKUP($AJ583,Data_Validation!$A:$E,5,0)</f>
        <v>Oui</v>
      </c>
      <c r="AT583" s="1036" t="str">
        <f t="shared" si="57"/>
        <v>H32300</v>
      </c>
      <c r="AU583" s="599" t="str">
        <f t="shared" si="58"/>
        <v>VTE USAGES CERTIFIES</v>
      </c>
      <c r="AV583" s="1030" t="str">
        <f>IFERROR(INDEX(V583:AG583,1,MATCH(Parametres!$B$3,V$1:AG$1,0)-1)*IF(OR(C583="L",C583="S",C583="I"),-1,1),"")</f>
        <v/>
      </c>
      <c r="AW583" s="1030">
        <f t="shared" si="59"/>
        <v>8</v>
      </c>
      <c r="AX583" s="1030">
        <f>INDEX(V583:AG583,1,MATCH(Parametres!$B$3,V$1:AG$1,0))*IF(OR(C583="L",C583="S",C583="I"),-1,1)</f>
        <v>8</v>
      </c>
      <c r="AY583" s="598" t="s">
        <v>337</v>
      </c>
      <c r="AZ583" s="598" t="str">
        <f>+VLOOKUP($AJ583,Data_Validation!$A:$E,5,0)</f>
        <v>Oui</v>
      </c>
    </row>
    <row r="584" spans="1:52" ht="15" customHeight="1">
      <c r="A584" s="832" t="s">
        <v>1150</v>
      </c>
      <c r="B584" s="832">
        <v>2026</v>
      </c>
      <c r="C584" s="832" t="s">
        <v>2307</v>
      </c>
      <c r="D584" s="832" t="s">
        <v>2308</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H32400</v>
      </c>
      <c r="AK584" s="1030" t="str">
        <f t="shared" si="55"/>
        <v>VTE OCC CERTIF HYUNDAI</v>
      </c>
      <c r="AL584" s="1030" t="str">
        <f>IFERROR(INDEX(G584:R584,1,MATCH(Parametres!$B$3,G$1:R$1,0)-1)*IF(OR(F584="L",F584="S",F584="I"),-1,1),"")</f>
        <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H32400</v>
      </c>
      <c r="AU584" s="599" t="str">
        <f t="shared" si="58"/>
        <v>VTE OCC CERTIF HYUNDAI</v>
      </c>
      <c r="AV584" s="1030" t="str">
        <f>IFERROR(INDEX(V584:AG584,1,MATCH(Parametres!$B$3,V$1:AG$1,0)-1)*IF(OR(C584="L",C584="S",C584="I"),-1,1),"")</f>
        <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2026</v>
      </c>
      <c r="C585" s="832" t="s">
        <v>2309</v>
      </c>
      <c r="D585" s="832" t="s">
        <v>2310</v>
      </c>
      <c r="E585" s="832" t="s">
        <v>2226</v>
      </c>
      <c r="F585" s="832" t="s">
        <v>2226</v>
      </c>
      <c r="G585" s="832">
        <v>230958.9</v>
      </c>
      <c r="H585" s="832">
        <v>288983.13</v>
      </c>
      <c r="I585" s="832">
        <v>473111.82</v>
      </c>
      <c r="J585" s="832">
        <v>1012226.13</v>
      </c>
      <c r="K585" s="832">
        <v>1261335.22</v>
      </c>
      <c r="L585" s="832">
        <v>1261335.22</v>
      </c>
      <c r="M585" s="832">
        <v>1261335.22</v>
      </c>
      <c r="N585" s="832">
        <v>1261335.22</v>
      </c>
      <c r="O585" s="832">
        <v>0</v>
      </c>
      <c r="P585" s="832">
        <v>0</v>
      </c>
      <c r="Q585" s="832">
        <v>0</v>
      </c>
      <c r="R585" s="832">
        <v>0</v>
      </c>
      <c r="S585" s="832">
        <v>180190.75</v>
      </c>
      <c r="T585" s="832">
        <v>180190.75</v>
      </c>
      <c r="U585" s="832">
        <v>0</v>
      </c>
      <c r="V585" s="832">
        <v>9</v>
      </c>
      <c r="W585" s="832">
        <v>12</v>
      </c>
      <c r="X585" s="832">
        <v>17</v>
      </c>
      <c r="Y585" s="832">
        <v>39</v>
      </c>
      <c r="Z585" s="832">
        <v>50</v>
      </c>
      <c r="AA585" s="832">
        <v>50</v>
      </c>
      <c r="AB585" s="832">
        <v>50</v>
      </c>
      <c r="AC585" s="832">
        <v>50</v>
      </c>
      <c r="AD585" s="832">
        <v>0</v>
      </c>
      <c r="AE585" s="832">
        <v>0</v>
      </c>
      <c r="AF585" s="832">
        <v>0</v>
      </c>
      <c r="AG585" s="832">
        <v>0</v>
      </c>
      <c r="AH585" s="832">
        <v>7</v>
      </c>
      <c r="AI585" s="832">
        <v>7</v>
      </c>
      <c r="AJ585" s="1030" t="str">
        <f t="shared" si="54"/>
        <v>H32500</v>
      </c>
      <c r="AK585" s="1030" t="str">
        <f t="shared" si="55"/>
        <v>VTE OCC DETAIL</v>
      </c>
      <c r="AL585" s="1030" t="str">
        <f>IFERROR(INDEX(G585:R585,1,MATCH(Parametres!$B$3,G$1:R$1,0)-1)*IF(OR(F585="L",F585="S",F585="I"),-1,1),"")</f>
        <v/>
      </c>
      <c r="AM585" s="1030">
        <f t="shared" si="56"/>
        <v>-230958.9</v>
      </c>
      <c r="AN585" s="1030">
        <f>INDEX(G585:R585,1,MATCH(Parametres!$B$3,G$1:R$1,0))*IF(OR(F585="L",F585="S",F585="I"),-1,1)</f>
        <v>-230958.9</v>
      </c>
      <c r="AO585" s="598" t="str">
        <f>+VLOOKUP($AJ585,Data_Validation!$A:$D,1,0)</f>
        <v>H32500</v>
      </c>
      <c r="AP585" s="598" t="str">
        <f>+VLOOKUP($AJ585,Data_Validation!$A:$D,3,0)</f>
        <v>Véhicules usagés</v>
      </c>
      <c r="AQ585" s="598" t="str">
        <f>+VLOOKUP($AJ585,Data_Validation!$A:$D,4,0)</f>
        <v>Non Certifié</v>
      </c>
      <c r="AR585" s="598" t="s">
        <v>299</v>
      </c>
      <c r="AS585" s="598" t="str">
        <f>+VLOOKUP($AJ585,Data_Validation!$A:$E,5,0)</f>
        <v>Oui</v>
      </c>
      <c r="AT585" s="1036" t="str">
        <f t="shared" si="57"/>
        <v>H32500</v>
      </c>
      <c r="AU585" s="599" t="str">
        <f t="shared" si="58"/>
        <v>VTE OCC DETAIL</v>
      </c>
      <c r="AV585" s="1030" t="str">
        <f>IFERROR(INDEX(V585:AG585,1,MATCH(Parametres!$B$3,V$1:AG$1,0)-1)*IF(OR(C585="L",C585="S",C585="I"),-1,1),"")</f>
        <v/>
      </c>
      <c r="AW585" s="1030">
        <f t="shared" si="59"/>
        <v>9</v>
      </c>
      <c r="AX585" s="1030">
        <f>INDEX(V585:AG585,1,MATCH(Parametres!$B$3,V$1:AG$1,0))*IF(OR(C585="L",C585="S",C585="I"),-1,1)</f>
        <v>9</v>
      </c>
      <c r="AY585" s="598" t="s">
        <v>337</v>
      </c>
      <c r="AZ585" s="598" t="str">
        <f>+VLOOKUP($AJ585,Data_Validation!$A:$E,5,0)</f>
        <v>Oui</v>
      </c>
    </row>
    <row r="586" spans="1:52" ht="15" customHeight="1">
      <c r="A586" s="832" t="s">
        <v>1150</v>
      </c>
      <c r="B586" s="832">
        <v>2026</v>
      </c>
      <c r="C586" s="832" t="s">
        <v>2311</v>
      </c>
      <c r="D586" s="832" t="s">
        <v>2312</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H32600</v>
      </c>
      <c r="AK586" s="1030" t="str">
        <f t="shared" si="55"/>
        <v>REMISE EN ETAT VEH OCCASS</v>
      </c>
      <c r="AL586" s="1030" t="str">
        <f>IFERROR(INDEX(G586:R586,1,MATCH(Parametres!$B$3,G$1:R$1,0)-1)*IF(OR(F586="L",F586="S",F586="I"),-1,1),"")</f>
        <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H32600</v>
      </c>
      <c r="AU586" s="599" t="str">
        <f t="shared" si="58"/>
        <v>REMISE EN ETAT VEH OCCASS</v>
      </c>
      <c r="AV586" s="1030" t="str">
        <f>IFERROR(INDEX(V586:AG586,1,MATCH(Parametres!$B$3,V$1:AG$1,0)-1)*IF(OR(C586="L",C586="S",C586="I"),-1,1),"")</f>
        <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2026</v>
      </c>
      <c r="C587" s="832" t="s">
        <v>2313</v>
      </c>
      <c r="D587" s="832" t="s">
        <v>2314</v>
      </c>
      <c r="E587" s="832" t="s">
        <v>2226</v>
      </c>
      <c r="F587" s="832" t="s">
        <v>2226</v>
      </c>
      <c r="G587" s="832">
        <v>0</v>
      </c>
      <c r="H587" s="832">
        <v>27500</v>
      </c>
      <c r="I587" s="832">
        <v>27500</v>
      </c>
      <c r="J587" s="832">
        <v>27500</v>
      </c>
      <c r="K587" s="832">
        <v>27500</v>
      </c>
      <c r="L587" s="832">
        <v>27500</v>
      </c>
      <c r="M587" s="832">
        <v>27500</v>
      </c>
      <c r="N587" s="832">
        <v>27500</v>
      </c>
      <c r="O587" s="832">
        <v>0</v>
      </c>
      <c r="P587" s="832">
        <v>0</v>
      </c>
      <c r="Q587" s="832">
        <v>0</v>
      </c>
      <c r="R587" s="832">
        <v>0</v>
      </c>
      <c r="S587" s="832">
        <v>3928.57</v>
      </c>
      <c r="T587" s="832">
        <v>3928.57</v>
      </c>
      <c r="U587" s="832">
        <v>0</v>
      </c>
      <c r="V587" s="832">
        <v>0</v>
      </c>
      <c r="W587" s="832">
        <v>1</v>
      </c>
      <c r="X587" s="832">
        <v>1</v>
      </c>
      <c r="Y587" s="832">
        <v>1</v>
      </c>
      <c r="Z587" s="832">
        <v>1</v>
      </c>
      <c r="AA587" s="832">
        <v>1</v>
      </c>
      <c r="AB587" s="832">
        <v>1</v>
      </c>
      <c r="AC587" s="832">
        <v>1</v>
      </c>
      <c r="AD587" s="832">
        <v>0</v>
      </c>
      <c r="AE587" s="832">
        <v>0</v>
      </c>
      <c r="AF587" s="832">
        <v>0</v>
      </c>
      <c r="AG587" s="832">
        <v>0</v>
      </c>
      <c r="AH587" s="832">
        <v>0</v>
      </c>
      <c r="AI587" s="832">
        <v>0</v>
      </c>
      <c r="AJ587" s="1030" t="str">
        <f t="shared" si="54"/>
        <v>H32700</v>
      </c>
      <c r="AK587" s="1030" t="str">
        <f t="shared" si="55"/>
        <v>VTE OCC AUTRE DETAIL</v>
      </c>
      <c r="AL587" s="1030" t="str">
        <f>IFERROR(INDEX(G587:R587,1,MATCH(Parametres!$B$3,G$1:R$1,0)-1)*IF(OR(F587="L",F587="S",F587="I"),-1,1),"")</f>
        <v/>
      </c>
      <c r="AM587" s="1030">
        <f t="shared" si="56"/>
        <v>0</v>
      </c>
      <c r="AN587" s="1030">
        <f>INDEX(G587:R587,1,MATCH(Parametres!$B$3,G$1:R$1,0))*IF(OR(F587="L",F587="S",F587="I"),-1,1)</f>
        <v>0</v>
      </c>
      <c r="AO587" s="598" t="str">
        <f>+VLOOKUP($AJ587,Data_Validation!$A:$D,1,0)</f>
        <v>H32700</v>
      </c>
      <c r="AP587" s="598" t="str">
        <f>+VLOOKUP($AJ587,Data_Validation!$A:$D,3,0)</f>
        <v>Véhicules usagés</v>
      </c>
      <c r="AQ587" s="598" t="str">
        <f>+VLOOKUP($AJ587,Data_Validation!$A:$D,4,0)</f>
        <v>Autres Marques</v>
      </c>
      <c r="AR587" s="598" t="s">
        <v>299</v>
      </c>
      <c r="AS587" s="598" t="str">
        <f>+VLOOKUP($AJ587,Data_Validation!$A:$E,5,0)</f>
        <v>Oui</v>
      </c>
      <c r="AT587" s="1036" t="str">
        <f t="shared" si="57"/>
        <v>H32700</v>
      </c>
      <c r="AU587" s="599" t="str">
        <f t="shared" si="58"/>
        <v>VTE OCC AUTRE DETAIL</v>
      </c>
      <c r="AV587" s="1030" t="str">
        <f>IFERROR(INDEX(V587:AG587,1,MATCH(Parametres!$B$3,V$1:AG$1,0)-1)*IF(OR(C587="L",C587="S",C587="I"),-1,1),"")</f>
        <v/>
      </c>
      <c r="AW587" s="1030">
        <f t="shared" si="59"/>
        <v>0</v>
      </c>
      <c r="AX587" s="1030">
        <f>INDEX(V587:AG587,1,MATCH(Parametres!$B$3,V$1:AG$1,0))*IF(OR(C587="L",C587="S",C587="I"),-1,1)</f>
        <v>0</v>
      </c>
      <c r="AY587" s="598" t="s">
        <v>337</v>
      </c>
      <c r="AZ587" s="598" t="str">
        <f>+VLOOKUP($AJ587,Data_Validation!$A:$E,5,0)</f>
        <v>Oui</v>
      </c>
    </row>
    <row r="588" spans="1:52" ht="15" customHeight="1">
      <c r="A588" s="832" t="s">
        <v>1150</v>
      </c>
      <c r="B588" s="832">
        <v>2026</v>
      </c>
      <c r="C588" s="832" t="s">
        <v>2315</v>
      </c>
      <c r="D588" s="832" t="s">
        <v>2316</v>
      </c>
      <c r="E588" s="832" t="s">
        <v>333</v>
      </c>
      <c r="F588" s="832" t="s">
        <v>2226</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H32800</v>
      </c>
      <c r="AK588" s="1030" t="str">
        <f t="shared" si="55"/>
        <v>REMISE ETAT VEH OCC AUTRE</v>
      </c>
      <c r="AL588" s="1030" t="str">
        <f>IFERROR(INDEX(G588:R588,1,MATCH(Parametres!$B$3,G$1:R$1,0)-1)*IF(OR(F588="L",F588="S",F588="I"),-1,1),"")</f>
        <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H32800</v>
      </c>
      <c r="AU588" s="599" t="str">
        <f t="shared" si="58"/>
        <v>REMISE ETAT VEH OCC AUTRE</v>
      </c>
      <c r="AV588" s="1030" t="str">
        <f>IFERROR(INDEX(V588:AG588,1,MATCH(Parametres!$B$3,V$1:AG$1,0)-1)*IF(OR(C588="L",C588="S",C588="I"),-1,1),"")</f>
        <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2026</v>
      </c>
      <c r="C589" s="832" t="s">
        <v>2317</v>
      </c>
      <c r="D589" s="832" t="s">
        <v>2318</v>
      </c>
      <c r="E589" s="832" t="s">
        <v>2226</v>
      </c>
      <c r="F589" s="832" t="s">
        <v>2226</v>
      </c>
      <c r="G589" s="832">
        <v>0</v>
      </c>
      <c r="H589" s="832">
        <v>14529.28</v>
      </c>
      <c r="I589" s="832">
        <v>72896.58</v>
      </c>
      <c r="J589" s="832">
        <v>94509.08</v>
      </c>
      <c r="K589" s="832">
        <v>94509.08</v>
      </c>
      <c r="L589" s="832">
        <v>94509.08</v>
      </c>
      <c r="M589" s="832">
        <v>94509.08</v>
      </c>
      <c r="N589" s="832">
        <v>94509.08</v>
      </c>
      <c r="O589" s="832">
        <v>0</v>
      </c>
      <c r="P589" s="832">
        <v>0</v>
      </c>
      <c r="Q589" s="832">
        <v>0</v>
      </c>
      <c r="R589" s="832">
        <v>0</v>
      </c>
      <c r="S589" s="832">
        <v>13501.3</v>
      </c>
      <c r="T589" s="832">
        <v>13501.3</v>
      </c>
      <c r="U589" s="832">
        <v>0</v>
      </c>
      <c r="V589" s="832">
        <v>0</v>
      </c>
      <c r="W589" s="832">
        <v>2</v>
      </c>
      <c r="X589" s="832">
        <v>5</v>
      </c>
      <c r="Y589" s="832">
        <v>6</v>
      </c>
      <c r="Z589" s="832">
        <v>6</v>
      </c>
      <c r="AA589" s="832">
        <v>6</v>
      </c>
      <c r="AB589" s="832">
        <v>6</v>
      </c>
      <c r="AC589" s="832">
        <v>6</v>
      </c>
      <c r="AD589" s="832">
        <v>0</v>
      </c>
      <c r="AE589" s="832">
        <v>0</v>
      </c>
      <c r="AF589" s="832">
        <v>0</v>
      </c>
      <c r="AG589" s="832">
        <v>0</v>
      </c>
      <c r="AH589" s="832">
        <v>1</v>
      </c>
      <c r="AI589" s="832">
        <v>1</v>
      </c>
      <c r="AJ589" s="1030" t="str">
        <f t="shared" si="54"/>
        <v>H32900</v>
      </c>
      <c r="AK589" s="1030" t="str">
        <f t="shared" si="55"/>
        <v>VTE ACCOMODATION</v>
      </c>
      <c r="AL589" s="1030" t="str">
        <f>IFERROR(INDEX(G589:R589,1,MATCH(Parametres!$B$3,G$1:R$1,0)-1)*IF(OR(F589="L",F589="S",F589="I"),-1,1),"")</f>
        <v/>
      </c>
      <c r="AM589" s="1030">
        <f t="shared" si="56"/>
        <v>0</v>
      </c>
      <c r="AN589" s="1030">
        <f>INDEX(G589:R589,1,MATCH(Parametres!$B$3,G$1:R$1,0))*IF(OR(F589="L",F589="S",F589="I"),-1,1)</f>
        <v>0</v>
      </c>
      <c r="AO589" s="598" t="str">
        <f>+VLOOKUP($AJ589,Data_Validation!$A:$D,1,0)</f>
        <v>H32900</v>
      </c>
      <c r="AP589" s="598" t="str">
        <f>+VLOOKUP($AJ589,Data_Validation!$A:$D,3,0)</f>
        <v>Véhicules usagés</v>
      </c>
      <c r="AQ589" s="598" t="str">
        <f>+VLOOKUP($AJ589,Data_Validation!$A:$D,4,0)</f>
        <v>Non Certifié</v>
      </c>
      <c r="AR589" s="598" t="s">
        <v>299</v>
      </c>
      <c r="AS589" s="598" t="str">
        <f>+VLOOKUP($AJ589,Data_Validation!$A:$E,5,0)</f>
        <v>Oui</v>
      </c>
      <c r="AT589" s="1036" t="str">
        <f t="shared" si="57"/>
        <v>H32900</v>
      </c>
      <c r="AU589" s="599" t="str">
        <f t="shared" si="58"/>
        <v>VTE ACCOMODATION</v>
      </c>
      <c r="AV589" s="1030" t="str">
        <f>IFERROR(INDEX(V589:AG589,1,MATCH(Parametres!$B$3,V$1:AG$1,0)-1)*IF(OR(C589="L",C589="S",C589="I"),-1,1),"")</f>
        <v/>
      </c>
      <c r="AW589" s="1030">
        <f t="shared" si="59"/>
        <v>0</v>
      </c>
      <c r="AX589" s="1030">
        <f>INDEX(V589:AG589,1,MATCH(Parametres!$B$3,V$1:AG$1,0))*IF(OR(C589="L",C589="S",C589="I"),-1,1)</f>
        <v>0</v>
      </c>
      <c r="AY589" s="598" t="s">
        <v>337</v>
      </c>
      <c r="AZ589" s="598" t="str">
        <f>+VLOOKUP($AJ589,Data_Validation!$A:$E,5,0)</f>
        <v>Oui</v>
      </c>
    </row>
    <row r="590" spans="1:52" ht="15" customHeight="1">
      <c r="A590" s="832" t="s">
        <v>1150</v>
      </c>
      <c r="B590" s="832">
        <v>2026</v>
      </c>
      <c r="C590" s="832" t="s">
        <v>2319</v>
      </c>
      <c r="D590" s="832" t="s">
        <v>2320</v>
      </c>
      <c r="E590" s="832" t="s">
        <v>333</v>
      </c>
      <c r="F590" s="832" t="s">
        <v>2321</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H32950</v>
      </c>
      <c r="AK590" s="1030" t="str">
        <f t="shared" si="55"/>
        <v>DIS INC GENESIS SUV</v>
      </c>
      <c r="AL590" s="1030" t="str">
        <f>IFERROR(INDEX(G590:R590,1,MATCH(Parametres!$B$3,G$1:R$1,0)-1)*IF(OR(F590="L",F590="S",F590="I"),-1,1),"")</f>
        <v/>
      </c>
      <c r="AM590" s="1030">
        <f t="shared" si="56"/>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t="str">
        <f t="shared" si="57"/>
        <v>H32950</v>
      </c>
      <c r="AU590" s="599" t="str">
        <f t="shared" si="58"/>
        <v>DIS INC GENESIS SUV</v>
      </c>
      <c r="AV590" s="1030" t="str">
        <f>IFERROR(INDEX(V590:AG590,1,MATCH(Parametres!$B$3,V$1:AG$1,0)-1)*IF(OR(C590="L",C590="S",C590="I"),-1,1),"")</f>
        <v/>
      </c>
      <c r="AW590" s="1030">
        <f t="shared" si="59"/>
        <v>0</v>
      </c>
      <c r="AX590" s="1030">
        <f>INDEX(V590:AG590,1,MATCH(Parametres!$B$3,V$1:AG$1,0))*IF(OR(C590="L",C590="S",C590="I"),-1,1)</f>
        <v>0</v>
      </c>
      <c r="AY590" s="598" t="s">
        <v>337</v>
      </c>
      <c r="AZ590" s="598" t="e">
        <f>+VLOOKUP($AJ590,Data_Validation!$A:$E,5,0)</f>
        <v>#N/A</v>
      </c>
    </row>
    <row r="591" spans="1:52" ht="15" customHeight="1">
      <c r="A591" s="832" t="s">
        <v>1150</v>
      </c>
      <c r="B591" s="832">
        <v>2026</v>
      </c>
      <c r="C591" s="832" t="s">
        <v>2322</v>
      </c>
      <c r="D591" s="832" t="s">
        <v>2323</v>
      </c>
      <c r="E591" s="832" t="s">
        <v>2226</v>
      </c>
      <c r="F591" s="832" t="s">
        <v>2226</v>
      </c>
      <c r="G591" s="832">
        <v>0</v>
      </c>
      <c r="H591" s="832">
        <v>472728.12</v>
      </c>
      <c r="I591" s="832">
        <v>844876.43</v>
      </c>
      <c r="J591" s="832">
        <v>1318137.47</v>
      </c>
      <c r="K591" s="832">
        <v>1318137.47</v>
      </c>
      <c r="L591" s="832">
        <v>1318137.47</v>
      </c>
      <c r="M591" s="832">
        <v>1318137.47</v>
      </c>
      <c r="N591" s="832">
        <v>1318137.47</v>
      </c>
      <c r="O591" s="832">
        <v>0</v>
      </c>
      <c r="P591" s="832">
        <v>0</v>
      </c>
      <c r="Q591" s="832">
        <v>0</v>
      </c>
      <c r="R591" s="832">
        <v>0</v>
      </c>
      <c r="S591" s="832">
        <v>188305.35</v>
      </c>
      <c r="T591" s="832">
        <v>188305.35</v>
      </c>
      <c r="U591" s="832">
        <v>0</v>
      </c>
      <c r="V591" s="832">
        <v>0</v>
      </c>
      <c r="W591" s="832">
        <v>10</v>
      </c>
      <c r="X591" s="832">
        <v>19</v>
      </c>
      <c r="Y591" s="832">
        <v>29</v>
      </c>
      <c r="Z591" s="832">
        <v>29</v>
      </c>
      <c r="AA591" s="832">
        <v>29</v>
      </c>
      <c r="AB591" s="832">
        <v>29</v>
      </c>
      <c r="AC591" s="832">
        <v>29</v>
      </c>
      <c r="AD591" s="832">
        <v>0</v>
      </c>
      <c r="AE591" s="832">
        <v>0</v>
      </c>
      <c r="AF591" s="832">
        <v>0</v>
      </c>
      <c r="AG591" s="832">
        <v>0</v>
      </c>
      <c r="AH591" s="832">
        <v>4</v>
      </c>
      <c r="AI591" s="832">
        <v>4</v>
      </c>
      <c r="AJ591" s="1030" t="str">
        <f t="shared" si="54"/>
        <v>H32999</v>
      </c>
      <c r="AK591" s="1030" t="str">
        <f t="shared" si="55"/>
        <v>ECHANGE CONCESSIONNAIRE</v>
      </c>
      <c r="AL591" s="1030" t="str">
        <f>IFERROR(INDEX(G591:R591,1,MATCH(Parametres!$B$3,G$1:R$1,0)-1)*IF(OR(F591="L",F591="S",F591="I"),-1,1),"")</f>
        <v/>
      </c>
      <c r="AM591" s="1030">
        <f t="shared" si="56"/>
        <v>0</v>
      </c>
      <c r="AN591" s="1030">
        <f>INDEX(G591:R591,1,MATCH(Parametres!$B$3,G$1:R$1,0))*IF(OR(F591="L",F591="S",F591="I"),-1,1)</f>
        <v>0</v>
      </c>
      <c r="AO591" s="598" t="str">
        <f>+VLOOKUP($AJ591,Data_Validation!$A:$D,1,0)</f>
        <v>H32999</v>
      </c>
      <c r="AP591" s="598" t="str">
        <f>+VLOOKUP($AJ591,Data_Validation!$A:$D,3,0)</f>
        <v>Véhicules neufs</v>
      </c>
      <c r="AQ591" s="598" t="str">
        <f>+VLOOKUP($AJ591,Data_Validation!$A:$D,4,0)</f>
        <v>Dealer trade</v>
      </c>
      <c r="AR591" s="598" t="s">
        <v>299</v>
      </c>
      <c r="AS591" s="598">
        <f>+VLOOKUP($AJ591,Data_Validation!$A:$E,5,0)</f>
        <v>0</v>
      </c>
      <c r="AT591" s="1036" t="str">
        <f t="shared" si="57"/>
        <v>H32999</v>
      </c>
      <c r="AU591" s="599" t="str">
        <f t="shared" si="58"/>
        <v>ECHANGE CONCESSIONNAIRE</v>
      </c>
      <c r="AV591" s="1030" t="str">
        <f>IFERROR(INDEX(V591:AG591,1,MATCH(Parametres!$B$3,V$1:AG$1,0)-1)*IF(OR(C591="L",C591="S",C591="I"),-1,1),"")</f>
        <v/>
      </c>
      <c r="AW591" s="1030">
        <f t="shared" si="59"/>
        <v>0</v>
      </c>
      <c r="AX591" s="1030">
        <f>INDEX(V591:AG591,1,MATCH(Parametres!$B$3,V$1:AG$1,0))*IF(OR(C591="L",C591="S",C591="I"),-1,1)</f>
        <v>0</v>
      </c>
      <c r="AY591" s="598" t="s">
        <v>337</v>
      </c>
      <c r="AZ591" s="598">
        <f>+VLOOKUP($AJ591,Data_Validation!$A:$E,5,0)</f>
        <v>0</v>
      </c>
    </row>
    <row r="592" spans="1:52" ht="15" customHeight="1">
      <c r="A592" s="832" t="s">
        <v>1150</v>
      </c>
      <c r="B592" s="832">
        <v>2026</v>
      </c>
      <c r="C592" s="832" t="s">
        <v>2324</v>
      </c>
      <c r="D592" s="832" t="s">
        <v>2248</v>
      </c>
      <c r="E592" s="832" t="s">
        <v>2226</v>
      </c>
      <c r="F592" s="832" t="s">
        <v>2226</v>
      </c>
      <c r="G592" s="832">
        <v>0</v>
      </c>
      <c r="H592" s="832">
        <v>0</v>
      </c>
      <c r="I592" s="832">
        <v>0</v>
      </c>
      <c r="J592" s="832">
        <v>0</v>
      </c>
      <c r="K592" s="832">
        <v>26076.560000000001</v>
      </c>
      <c r="L592" s="832">
        <v>26076.560000000001</v>
      </c>
      <c r="M592" s="832">
        <v>26076.560000000001</v>
      </c>
      <c r="N592" s="832">
        <v>26076.560000000001</v>
      </c>
      <c r="O592" s="832">
        <v>0</v>
      </c>
      <c r="P592" s="832">
        <v>0</v>
      </c>
      <c r="Q592" s="832">
        <v>0</v>
      </c>
      <c r="R592" s="832">
        <v>0</v>
      </c>
      <c r="S592" s="832">
        <v>3725.22</v>
      </c>
      <c r="T592" s="832">
        <v>3725.22</v>
      </c>
      <c r="U592" s="832">
        <v>0</v>
      </c>
      <c r="V592" s="832">
        <v>0</v>
      </c>
      <c r="W592" s="832">
        <v>0</v>
      </c>
      <c r="X592" s="832">
        <v>0</v>
      </c>
      <c r="Y592" s="832">
        <v>0</v>
      </c>
      <c r="Z592" s="832">
        <v>1</v>
      </c>
      <c r="AA592" s="832">
        <v>1</v>
      </c>
      <c r="AB592" s="832">
        <v>1</v>
      </c>
      <c r="AC592" s="832">
        <v>1</v>
      </c>
      <c r="AD592" s="832">
        <v>0</v>
      </c>
      <c r="AE592" s="832">
        <v>0</v>
      </c>
      <c r="AF592" s="832">
        <v>0</v>
      </c>
      <c r="AG592" s="832">
        <v>0</v>
      </c>
      <c r="AH592" s="832">
        <v>0</v>
      </c>
      <c r="AI592" s="832">
        <v>0</v>
      </c>
      <c r="AJ592" s="1030" t="str">
        <f t="shared" si="54"/>
        <v>H33000</v>
      </c>
      <c r="AK592" s="1030" t="str">
        <f t="shared" si="55"/>
        <v>VTE ELANTRA</v>
      </c>
      <c r="AL592" s="1030" t="str">
        <f>IFERROR(INDEX(G592:R592,1,MATCH(Parametres!$B$3,G$1:R$1,0)-1)*IF(OR(F592="L",F592="S",F592="I"),-1,1),"")</f>
        <v/>
      </c>
      <c r="AM592" s="1030">
        <f t="shared" si="56"/>
        <v>0</v>
      </c>
      <c r="AN592" s="1030">
        <f>INDEX(G592:R592,1,MATCH(Parametres!$B$3,G$1:R$1,0))*IF(OR(F592="L",F592="S",F592="I"),-1,1)</f>
        <v>0</v>
      </c>
      <c r="AO592" s="598" t="str">
        <f>+VLOOKUP($AJ592,Data_Validation!$A:$D,1,0)</f>
        <v>H33000</v>
      </c>
      <c r="AP592" s="598" t="str">
        <f>+VLOOKUP($AJ592,Data_Validation!$A:$D,3,0)</f>
        <v>Véhicules neufs</v>
      </c>
      <c r="AQ592" s="598" t="str">
        <f>+VLOOKUP($AJ592,Data_Validation!$A:$D,4,0)</f>
        <v>Autos détail</v>
      </c>
      <c r="AR592" s="598" t="s">
        <v>299</v>
      </c>
      <c r="AS592" s="598" t="str">
        <f>+VLOOKUP($AJ592,Data_Validation!$A:$E,5,0)</f>
        <v>Oui</v>
      </c>
      <c r="AT592" s="1036" t="str">
        <f t="shared" si="57"/>
        <v>H33000</v>
      </c>
      <c r="AU592" s="599" t="str">
        <f t="shared" si="58"/>
        <v>VTE ELANTRA</v>
      </c>
      <c r="AV592" s="1030" t="str">
        <f>IFERROR(INDEX(V592:AG592,1,MATCH(Parametres!$B$3,V$1:AG$1,0)-1)*IF(OR(C592="L",C592="S",C592="I"),-1,1),"")</f>
        <v/>
      </c>
      <c r="AW592" s="1030">
        <f t="shared" si="59"/>
        <v>0</v>
      </c>
      <c r="AX592" s="1030">
        <f>INDEX(V592:AG592,1,MATCH(Parametres!$B$3,V$1:AG$1,0))*IF(OR(C592="L",C592="S",C592="I"),-1,1)</f>
        <v>0</v>
      </c>
      <c r="AY592" s="598" t="s">
        <v>337</v>
      </c>
      <c r="AZ592" s="598" t="str">
        <f>+VLOOKUP($AJ592,Data_Validation!$A:$E,5,0)</f>
        <v>Oui</v>
      </c>
    </row>
    <row r="593" spans="1:52" ht="15" customHeight="1">
      <c r="A593" s="832" t="s">
        <v>1150</v>
      </c>
      <c r="B593" s="832">
        <v>2026</v>
      </c>
      <c r="C593" s="832" t="s">
        <v>2325</v>
      </c>
      <c r="D593" s="832" t="s">
        <v>2326</v>
      </c>
      <c r="E593" s="832" t="s">
        <v>2226</v>
      </c>
      <c r="F593" s="832" t="s">
        <v>2226</v>
      </c>
      <c r="G593" s="832">
        <v>1200</v>
      </c>
      <c r="H593" s="832">
        <v>1200</v>
      </c>
      <c r="I593" s="832">
        <v>18213</v>
      </c>
      <c r="J593" s="832">
        <v>77230</v>
      </c>
      <c r="K593" s="832">
        <v>77230</v>
      </c>
      <c r="L593" s="832">
        <v>77230</v>
      </c>
      <c r="M593" s="832">
        <v>77230</v>
      </c>
      <c r="N593" s="832">
        <v>77230</v>
      </c>
      <c r="O593" s="832">
        <v>0</v>
      </c>
      <c r="P593" s="832">
        <v>0</v>
      </c>
      <c r="Q593" s="832">
        <v>0</v>
      </c>
      <c r="R593" s="832">
        <v>0</v>
      </c>
      <c r="S593" s="832">
        <v>11032.86</v>
      </c>
      <c r="T593" s="832">
        <v>11032.86</v>
      </c>
      <c r="U593" s="832">
        <v>0</v>
      </c>
      <c r="V593" s="832">
        <v>1</v>
      </c>
      <c r="W593" s="832">
        <v>1</v>
      </c>
      <c r="X593" s="832">
        <v>2</v>
      </c>
      <c r="Y593" s="832">
        <v>5</v>
      </c>
      <c r="Z593" s="832">
        <v>5</v>
      </c>
      <c r="AA593" s="832">
        <v>5</v>
      </c>
      <c r="AB593" s="832">
        <v>5</v>
      </c>
      <c r="AC593" s="832">
        <v>5</v>
      </c>
      <c r="AD593" s="832">
        <v>0</v>
      </c>
      <c r="AE593" s="832">
        <v>0</v>
      </c>
      <c r="AF593" s="832">
        <v>0</v>
      </c>
      <c r="AG593" s="832">
        <v>0</v>
      </c>
      <c r="AH593" s="832">
        <v>1</v>
      </c>
      <c r="AI593" s="832">
        <v>1</v>
      </c>
      <c r="AJ593" s="1030" t="str">
        <f t="shared" si="54"/>
        <v>H33200</v>
      </c>
      <c r="AK593" s="1030" t="str">
        <f t="shared" si="55"/>
        <v>VTE OCC EN GROS</v>
      </c>
      <c r="AL593" s="1030" t="str">
        <f>IFERROR(INDEX(G593:R593,1,MATCH(Parametres!$B$3,G$1:R$1,0)-1)*IF(OR(F593="L",F593="S",F593="I"),-1,1),"")</f>
        <v/>
      </c>
      <c r="AM593" s="1030">
        <f t="shared" si="56"/>
        <v>-1200</v>
      </c>
      <c r="AN593" s="1030">
        <f>INDEX(G593:R593,1,MATCH(Parametres!$B$3,G$1:R$1,0))*IF(OR(F593="L",F593="S",F593="I"),-1,1)</f>
        <v>-1200</v>
      </c>
      <c r="AO593" s="598" t="str">
        <f>+VLOOKUP($AJ593,Data_Validation!$A:$D,1,0)</f>
        <v>H33200</v>
      </c>
      <c r="AP593" s="598" t="str">
        <f>+VLOOKUP($AJ593,Data_Validation!$A:$D,3,0)</f>
        <v>Véhicules usagés</v>
      </c>
      <c r="AQ593" s="598" t="str">
        <f>+VLOOKUP($AJ593,Data_Validation!$A:$D,4,0)</f>
        <v>Ventes au Gros</v>
      </c>
      <c r="AR593" s="598" t="s">
        <v>299</v>
      </c>
      <c r="AS593" s="598" t="str">
        <f>+VLOOKUP($AJ593,Data_Validation!$A:$E,5,0)</f>
        <v>Oui</v>
      </c>
      <c r="AT593" s="1036" t="str">
        <f t="shared" si="57"/>
        <v>H33200</v>
      </c>
      <c r="AU593" s="599" t="str">
        <f t="shared" si="58"/>
        <v>VTE OCC EN GROS</v>
      </c>
      <c r="AV593" s="1030" t="str">
        <f>IFERROR(INDEX(V593:AG593,1,MATCH(Parametres!$B$3,V$1:AG$1,0)-1)*IF(OR(C593="L",C593="S",C593="I"),-1,1),"")</f>
        <v/>
      </c>
      <c r="AW593" s="1030">
        <f t="shared" si="59"/>
        <v>1</v>
      </c>
      <c r="AX593" s="1030">
        <f>INDEX(V593:AG593,1,MATCH(Parametres!$B$3,V$1:AG$1,0))*IF(OR(C593="L",C593="S",C593="I"),-1,1)</f>
        <v>1</v>
      </c>
      <c r="AY593" s="598" t="s">
        <v>337</v>
      </c>
      <c r="AZ593" s="598" t="str">
        <f>+VLOOKUP($AJ593,Data_Validation!$A:$E,5,0)</f>
        <v>Oui</v>
      </c>
    </row>
    <row r="594" spans="1:52" ht="15" customHeight="1">
      <c r="A594" s="832" t="s">
        <v>1150</v>
      </c>
      <c r="B594" s="832">
        <v>2026</v>
      </c>
      <c r="C594" s="832" t="s">
        <v>2327</v>
      </c>
      <c r="D594" s="832" t="s">
        <v>2328</v>
      </c>
      <c r="E594" s="832" t="s">
        <v>2226</v>
      </c>
      <c r="F594" s="832" t="s">
        <v>2226</v>
      </c>
      <c r="G594" s="832">
        <v>236560</v>
      </c>
      <c r="H594" s="832">
        <v>447308</v>
      </c>
      <c r="I594" s="832">
        <v>785360</v>
      </c>
      <c r="J594" s="832">
        <v>1088021</v>
      </c>
      <c r="K594" s="832">
        <v>1089622</v>
      </c>
      <c r="L594" s="832">
        <v>1089622</v>
      </c>
      <c r="M594" s="832">
        <v>1089622</v>
      </c>
      <c r="N594" s="832">
        <v>1089622</v>
      </c>
      <c r="O594" s="832">
        <v>0</v>
      </c>
      <c r="P594" s="832">
        <v>0</v>
      </c>
      <c r="Q594" s="832">
        <v>0</v>
      </c>
      <c r="R594" s="832">
        <v>0</v>
      </c>
      <c r="S594" s="832">
        <v>155660.29</v>
      </c>
      <c r="T594" s="832">
        <v>155660.29</v>
      </c>
      <c r="U594" s="832">
        <v>0</v>
      </c>
      <c r="V594" s="832">
        <v>30</v>
      </c>
      <c r="W594" s="832">
        <v>50</v>
      </c>
      <c r="X594" s="832">
        <v>79</v>
      </c>
      <c r="Y594" s="832">
        <v>102</v>
      </c>
      <c r="Z594" s="832">
        <v>103</v>
      </c>
      <c r="AA594" s="832">
        <v>103</v>
      </c>
      <c r="AB594" s="832">
        <v>103</v>
      </c>
      <c r="AC594" s="832">
        <v>103</v>
      </c>
      <c r="AD594" s="832">
        <v>0</v>
      </c>
      <c r="AE594" s="832">
        <v>0</v>
      </c>
      <c r="AF594" s="832">
        <v>0</v>
      </c>
      <c r="AG594" s="832">
        <v>0</v>
      </c>
      <c r="AH594" s="832">
        <v>15</v>
      </c>
      <c r="AI594" s="832">
        <v>15</v>
      </c>
      <c r="AJ594" s="1030" t="str">
        <f t="shared" si="54"/>
        <v>H33201</v>
      </c>
      <c r="AK594" s="1030" t="str">
        <f t="shared" si="55"/>
        <v>VTE EBLOCK - EN GROS</v>
      </c>
      <c r="AL594" s="1030" t="str">
        <f>IFERROR(INDEX(G594:R594,1,MATCH(Parametres!$B$3,G$1:R$1,0)-1)*IF(OR(F594="L",F594="S",F594="I"),-1,1),"")</f>
        <v/>
      </c>
      <c r="AM594" s="1030">
        <f t="shared" si="56"/>
        <v>-236560</v>
      </c>
      <c r="AN594" s="1030">
        <f>INDEX(G594:R594,1,MATCH(Parametres!$B$3,G$1:R$1,0))*IF(OR(F594="L",F594="S",F594="I"),-1,1)</f>
        <v>-236560</v>
      </c>
      <c r="AO594" s="598" t="str">
        <f>+VLOOKUP($AJ594,Data_Validation!$A:$D,1,0)</f>
        <v>H33201</v>
      </c>
      <c r="AP594" s="598" t="str">
        <f>+VLOOKUP($AJ594,Data_Validation!$A:$D,3,0)</f>
        <v>Véhicules usagés</v>
      </c>
      <c r="AQ594" s="598" t="str">
        <f>+VLOOKUP($AJ594,Data_Validation!$A:$D,4,0)</f>
        <v>Ventes au Gros</v>
      </c>
      <c r="AR594" s="598" t="s">
        <v>299</v>
      </c>
      <c r="AS594" s="598" t="str">
        <f>+VLOOKUP($AJ594,Data_Validation!$A:$E,5,0)</f>
        <v>Oui</v>
      </c>
      <c r="AT594" s="1036" t="str">
        <f t="shared" si="57"/>
        <v>H33201</v>
      </c>
      <c r="AU594" s="599" t="str">
        <f t="shared" si="58"/>
        <v>VTE EBLOCK - EN GROS</v>
      </c>
      <c r="AV594" s="1030" t="str">
        <f>IFERROR(INDEX(V594:AG594,1,MATCH(Parametres!$B$3,V$1:AG$1,0)-1)*IF(OR(C594="L",C594="S",C594="I"),-1,1),"")</f>
        <v/>
      </c>
      <c r="AW594" s="1030">
        <f t="shared" si="59"/>
        <v>30</v>
      </c>
      <c r="AX594" s="1030">
        <f>INDEX(V594:AG594,1,MATCH(Parametres!$B$3,V$1:AG$1,0))*IF(OR(C594="L",C594="S",C594="I"),-1,1)</f>
        <v>30</v>
      </c>
      <c r="AY594" s="598" t="s">
        <v>337</v>
      </c>
      <c r="AZ594" s="598" t="str">
        <f>+VLOOKUP($AJ594,Data_Validation!$A:$E,5,0)</f>
        <v>Oui</v>
      </c>
    </row>
    <row r="595" spans="1:52" ht="15" customHeight="1">
      <c r="A595" s="832" t="s">
        <v>1150</v>
      </c>
      <c r="B595" s="832">
        <v>2026</v>
      </c>
      <c r="C595" s="832" t="s">
        <v>2329</v>
      </c>
      <c r="D595" s="832" t="s">
        <v>2330</v>
      </c>
      <c r="E595" s="832" t="s">
        <v>2226</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H33202</v>
      </c>
      <c r="AK595" s="1030" t="str">
        <f t="shared" ref="AK595:AK658" si="61">D595</f>
        <v>WHOLESALE-HW</v>
      </c>
      <c r="AL595" s="1030" t="str">
        <f>IFERROR(INDEX(G595:R595,1,MATCH(Parametres!$B$3,G$1:R$1,0)-1)*IF(OR(F595="L",F595="S",F595="I"),-1,1),"")</f>
        <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H33202</v>
      </c>
      <c r="AU595" s="599" t="str">
        <f t="shared" si="58"/>
        <v>WHOLESALE-HW</v>
      </c>
      <c r="AV595" s="1030" t="str">
        <f>IFERROR(INDEX(V595:AG595,1,MATCH(Parametres!$B$3,V$1:AG$1,0)-1)*IF(OR(C595="L",C595="S",C595="I"),-1,1),"")</f>
        <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2026</v>
      </c>
      <c r="C596" s="832" t="s">
        <v>2331</v>
      </c>
      <c r="D596" s="832" t="s">
        <v>2332</v>
      </c>
      <c r="E596" s="832" t="s">
        <v>2226</v>
      </c>
      <c r="F596" s="832" t="s">
        <v>2226</v>
      </c>
      <c r="G596" s="832">
        <v>0</v>
      </c>
      <c r="H596" s="832">
        <v>0</v>
      </c>
      <c r="I596" s="832">
        <v>0</v>
      </c>
      <c r="J596" s="832">
        <v>9330.36</v>
      </c>
      <c r="K596" s="832">
        <v>9330.36</v>
      </c>
      <c r="L596" s="832">
        <v>9330.36</v>
      </c>
      <c r="M596" s="832">
        <v>9330.36</v>
      </c>
      <c r="N596" s="832">
        <v>9330.36</v>
      </c>
      <c r="O596" s="832">
        <v>0</v>
      </c>
      <c r="P596" s="832">
        <v>0</v>
      </c>
      <c r="Q596" s="832">
        <v>0</v>
      </c>
      <c r="R596" s="832">
        <v>0</v>
      </c>
      <c r="S596" s="832">
        <v>1332.91</v>
      </c>
      <c r="T596" s="832">
        <v>1332.91</v>
      </c>
      <c r="U596" s="832">
        <v>0</v>
      </c>
      <c r="V596" s="832">
        <v>0</v>
      </c>
      <c r="W596" s="832">
        <v>0</v>
      </c>
      <c r="X596" s="832">
        <v>0</v>
      </c>
      <c r="Y596" s="832">
        <v>1</v>
      </c>
      <c r="Z596" s="832">
        <v>1</v>
      </c>
      <c r="AA596" s="832">
        <v>1</v>
      </c>
      <c r="AB596" s="832">
        <v>1</v>
      </c>
      <c r="AC596" s="832">
        <v>1</v>
      </c>
      <c r="AD596" s="832">
        <v>0</v>
      </c>
      <c r="AE596" s="832">
        <v>0</v>
      </c>
      <c r="AF596" s="832">
        <v>0</v>
      </c>
      <c r="AG596" s="832">
        <v>0</v>
      </c>
      <c r="AH596" s="832">
        <v>0</v>
      </c>
      <c r="AI596" s="832">
        <v>0</v>
      </c>
      <c r="AJ596" s="1030" t="str">
        <f t="shared" si="60"/>
        <v>H33300</v>
      </c>
      <c r="AK596" s="1030" t="str">
        <f t="shared" si="61"/>
        <v>VTE USAGE RACHAT LOCATION</v>
      </c>
      <c r="AL596" s="1030" t="str">
        <f>IFERROR(INDEX(G596:R596,1,MATCH(Parametres!$B$3,G$1:R$1,0)-1)*IF(OR(F596="L",F596="S",F596="I"),-1,1),"")</f>
        <v/>
      </c>
      <c r="AM596" s="1030">
        <f t="shared" si="56"/>
        <v>0</v>
      </c>
      <c r="AN596" s="1030">
        <f>INDEX(G596:R596,1,MATCH(Parametres!$B$3,G$1:R$1,0))*IF(OR(F596="L",F596="S",F596="I"),-1,1)</f>
        <v>0</v>
      </c>
      <c r="AO596" s="598" t="str">
        <f>+VLOOKUP($AJ596,Data_Validation!$A:$D,1,0)</f>
        <v>H33300</v>
      </c>
      <c r="AP596" s="598" t="str">
        <f>+VLOOKUP($AJ596,Data_Validation!$A:$D,3,0)</f>
        <v>Véhicules usagés</v>
      </c>
      <c r="AQ596" s="598" t="str">
        <f>+VLOOKUP($AJ596,Data_Validation!$A:$D,4,0)</f>
        <v>Rachat bail</v>
      </c>
      <c r="AR596" s="598" t="s">
        <v>299</v>
      </c>
      <c r="AS596" s="598" t="str">
        <f>+VLOOKUP($AJ596,Data_Validation!$A:$E,5,0)</f>
        <v>Oui</v>
      </c>
      <c r="AT596" s="1036" t="str">
        <f t="shared" si="57"/>
        <v>H33300</v>
      </c>
      <c r="AU596" s="599" t="str">
        <f t="shared" si="58"/>
        <v>VTE USAGE RACHAT LOCATION</v>
      </c>
      <c r="AV596" s="1030" t="str">
        <f>IFERROR(INDEX(V596:AG596,1,MATCH(Parametres!$B$3,V$1:AG$1,0)-1)*IF(OR(C596="L",C596="S",C596="I"),-1,1),"")</f>
        <v/>
      </c>
      <c r="AW596" s="1030">
        <f t="shared" si="59"/>
        <v>0</v>
      </c>
      <c r="AX596" s="1030">
        <f>INDEX(V596:AG596,1,MATCH(Parametres!$B$3,V$1:AG$1,0))*IF(OR(C596="L",C596="S",C596="I"),-1,1)</f>
        <v>0</v>
      </c>
      <c r="AY596" s="598" t="s">
        <v>337</v>
      </c>
      <c r="AZ596" s="598" t="str">
        <f>+VLOOKUP($AJ596,Data_Validation!$A:$E,5,0)</f>
        <v>Oui</v>
      </c>
    </row>
    <row r="597" spans="1:52" ht="15" customHeight="1">
      <c r="A597" s="832" t="s">
        <v>1150</v>
      </c>
      <c r="B597" s="832">
        <v>2026</v>
      </c>
      <c r="C597" s="832" t="s">
        <v>2333</v>
      </c>
      <c r="D597" s="832" t="s">
        <v>2334</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H33310</v>
      </c>
      <c r="AK597" s="1030" t="str">
        <f t="shared" si="61"/>
        <v>VTE P.P.H./REVENU FINANCE</v>
      </c>
      <c r="AL597" s="1030" t="str">
        <f>IFERROR(INDEX(G597:R597,1,MATCH(Parametres!$B$3,G$1:R$1,0)-1)*IF(OR(F597="L",F597="S",F597="I"),-1,1),"")</f>
        <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H33310</v>
      </c>
      <c r="AU597" s="599" t="str">
        <f t="shared" si="58"/>
        <v>VTE P.P.H./REVENU FINANCE</v>
      </c>
      <c r="AV597" s="1030" t="str">
        <f>IFERROR(INDEX(V597:AG597,1,MATCH(Parametres!$B$3,V$1:AG$1,0)-1)*IF(OR(C597="L",C597="S",C597="I"),-1,1),"")</f>
        <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2026</v>
      </c>
      <c r="C598" s="832" t="s">
        <v>2335</v>
      </c>
      <c r="D598" s="832" t="s">
        <v>2336</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H33320</v>
      </c>
      <c r="AK598" s="1030" t="str">
        <f t="shared" si="61"/>
        <v>VTE ASSURANCE USAGES</v>
      </c>
      <c r="AL598" s="1030" t="str">
        <f>IFERROR(INDEX(G598:R598,1,MATCH(Parametres!$B$3,G$1:R$1,0)-1)*IF(OR(F598="L",F598="S",F598="I"),-1,1),"")</f>
        <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H33320</v>
      </c>
      <c r="AU598" s="599" t="str">
        <f t="shared" si="58"/>
        <v>VTE ASSURANCE USAGES</v>
      </c>
      <c r="AV598" s="1030" t="str">
        <f>IFERROR(INDEX(V598:AG598,1,MATCH(Parametres!$B$3,V$1:AG$1,0)-1)*IF(OR(C598="L",C598="S",C598="I"),-1,1),"")</f>
        <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2026</v>
      </c>
      <c r="C599" s="832" t="s">
        <v>2337</v>
      </c>
      <c r="D599" s="832" t="s">
        <v>2338</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H33330</v>
      </c>
      <c r="AK599" s="1030" t="str">
        <f t="shared" si="61"/>
        <v>VTE OCC REVENU FINANCE</v>
      </c>
      <c r="AL599" s="1030" t="str">
        <f>IFERROR(INDEX(G599:R599,1,MATCH(Parametres!$B$3,G$1:R$1,0)-1)*IF(OR(F599="L",F599="S",F599="I"),-1,1),"")</f>
        <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H33330</v>
      </c>
      <c r="AU599" s="599" t="str">
        <f t="shared" si="58"/>
        <v>VTE OCC REVENU FINANCE</v>
      </c>
      <c r="AV599" s="1030" t="str">
        <f>IFERROR(INDEX(V599:AG599,1,MATCH(Parametres!$B$3,V$1:AG$1,0)-1)*IF(OR(C599="L",C599="S",C599="I"),-1,1),"")</f>
        <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2026</v>
      </c>
      <c r="C600" s="832" t="s">
        <v>2339</v>
      </c>
      <c r="D600" s="832" t="s">
        <v>2340</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H33340</v>
      </c>
      <c r="AK600" s="1030" t="str">
        <f t="shared" si="61"/>
        <v>VTE OCC CHIMIQUES</v>
      </c>
      <c r="AL600" s="1030" t="str">
        <f>IFERROR(INDEX(G600:R600,1,MATCH(Parametres!$B$3,G$1:R$1,0)-1)*IF(OR(F600="L",F600="S",F600="I"),-1,1),"")</f>
        <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H33340</v>
      </c>
      <c r="AU600" s="599" t="str">
        <f t="shared" si="58"/>
        <v>VTE OCC CHIMIQUES</v>
      </c>
      <c r="AV600" s="1030" t="str">
        <f>IFERROR(INDEX(V600:AG600,1,MATCH(Parametres!$B$3,V$1:AG$1,0)-1)*IF(OR(C600="L",C600="S",C600="I"),-1,1),"")</f>
        <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2026</v>
      </c>
      <c r="C601" s="832" t="s">
        <v>2341</v>
      </c>
      <c r="D601" s="832" t="s">
        <v>2342</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H33350</v>
      </c>
      <c r="AK601" s="1030" t="str">
        <f t="shared" si="61"/>
        <v>VTE OCC ANTIVOL</v>
      </c>
      <c r="AL601" s="1030" t="str">
        <f>IFERROR(INDEX(G601:R601,1,MATCH(Parametres!$B$3,G$1:R$1,0)-1)*IF(OR(F601="L",F601="S",F601="I"),-1,1),"")</f>
        <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H33350</v>
      </c>
      <c r="AU601" s="599" t="str">
        <f t="shared" si="58"/>
        <v>VTE OCC ANTIVOL</v>
      </c>
      <c r="AV601" s="1030" t="str">
        <f>IFERROR(INDEX(V601:AG601,1,MATCH(Parametres!$B$3,V$1:AG$1,0)-1)*IF(OR(C601="L",C601="S",C601="I"),-1,1),"")</f>
        <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2026</v>
      </c>
      <c r="C602" s="832" t="s">
        <v>2343</v>
      </c>
      <c r="D602" s="832" t="s">
        <v>2344</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30" t="str">
        <f t="shared" si="60"/>
        <v>H33360</v>
      </c>
      <c r="AK602" s="1030" t="str">
        <f t="shared" si="61"/>
        <v>VTE OCC AUTRE PRODUIT</v>
      </c>
      <c r="AL602" s="1030" t="str">
        <f>IFERROR(INDEX(G602:R602,1,MATCH(Parametres!$B$3,G$1:R$1,0)-1)*IF(OR(F602="L",F602="S",F602="I"),-1,1),"")</f>
        <v/>
      </c>
      <c r="AM602" s="1030">
        <f t="shared" si="56"/>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t="str">
        <f t="shared" si="57"/>
        <v>H33360</v>
      </c>
      <c r="AU602" s="599" t="str">
        <f t="shared" si="58"/>
        <v>VTE OCC AUTRE PRODUIT</v>
      </c>
      <c r="AV602" s="1030" t="str">
        <f>IFERROR(INDEX(V602:AG602,1,MATCH(Parametres!$B$3,V$1:AG$1,0)-1)*IF(OR(C602="L",C602="S",C602="I"),-1,1),"")</f>
        <v/>
      </c>
      <c r="AW602" s="1030">
        <f t="shared" si="59"/>
        <v>0</v>
      </c>
      <c r="AX602" s="1030">
        <f>INDEX(V602:AG602,1,MATCH(Parametres!$B$3,V$1:AG$1,0))*IF(OR(C602="L",C602="S",C602="I"),-1,1)</f>
        <v>0</v>
      </c>
      <c r="AY602" s="598" t="s">
        <v>337</v>
      </c>
      <c r="AZ602" s="598" t="e">
        <f>+VLOOKUP($AJ602,Data_Validation!$A:$E,5,0)</f>
        <v>#N/A</v>
      </c>
    </row>
    <row r="603" spans="1:52" ht="15" customHeight="1">
      <c r="A603" s="832" t="s">
        <v>1150</v>
      </c>
      <c r="B603" s="832">
        <v>2026</v>
      </c>
      <c r="C603" s="832" t="s">
        <v>2345</v>
      </c>
      <c r="D603" s="832" t="s">
        <v>2346</v>
      </c>
      <c r="E603" s="832" t="s">
        <v>2226</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30" t="str">
        <f t="shared" si="60"/>
        <v>H33390</v>
      </c>
      <c r="AK603" s="1030" t="str">
        <f t="shared" si="61"/>
        <v>VTE OCC RACHAT CONT LOC</v>
      </c>
      <c r="AL603" s="1030" t="str">
        <f>IFERROR(INDEX(G603:R603,1,MATCH(Parametres!$B$3,G$1:R$1,0)-1)*IF(OR(F603="L",F603="S",F603="I"),-1,1),"")</f>
        <v/>
      </c>
      <c r="AM603" s="1030">
        <f t="shared" si="56"/>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t="str">
        <f t="shared" si="57"/>
        <v>H33390</v>
      </c>
      <c r="AU603" s="599" t="str">
        <f t="shared" si="58"/>
        <v>VTE OCC RACHAT CONT LOC</v>
      </c>
      <c r="AV603" s="1030" t="str">
        <f>IFERROR(INDEX(V603:AG603,1,MATCH(Parametres!$B$3,V$1:AG$1,0)-1)*IF(OR(C603="L",C603="S",C603="I"),-1,1),"")</f>
        <v/>
      </c>
      <c r="AW603" s="1030">
        <f t="shared" si="59"/>
        <v>0</v>
      </c>
      <c r="AX603" s="1030">
        <f>INDEX(V603:AG603,1,MATCH(Parametres!$B$3,V$1:AG$1,0))*IF(OR(C603="L",C603="S",C603="I"),-1,1)</f>
        <v>0</v>
      </c>
      <c r="AY603" s="598" t="s">
        <v>337</v>
      </c>
      <c r="AZ603" s="598" t="e">
        <f>+VLOOKUP($AJ603,Data_Validation!$A:$E,5,0)</f>
        <v>#N/A</v>
      </c>
    </row>
    <row r="604" spans="1:52" ht="15" customHeight="1">
      <c r="A604" s="832" t="s">
        <v>1150</v>
      </c>
      <c r="B604" s="832">
        <v>2026</v>
      </c>
      <c r="C604" s="832" t="s">
        <v>2347</v>
      </c>
      <c r="D604" s="832" t="s">
        <v>2348</v>
      </c>
      <c r="E604" s="832" t="s">
        <v>333</v>
      </c>
      <c r="F604" s="832" t="s">
        <v>2226</v>
      </c>
      <c r="G604" s="832">
        <v>30614.76</v>
      </c>
      <c r="H604" s="832">
        <v>65629.759999999995</v>
      </c>
      <c r="I604" s="832">
        <v>96625.74</v>
      </c>
      <c r="J604" s="832">
        <v>144070.74</v>
      </c>
      <c r="K604" s="832">
        <v>164350.74</v>
      </c>
      <c r="L604" s="832">
        <v>164350.74</v>
      </c>
      <c r="M604" s="832">
        <v>164350.74</v>
      </c>
      <c r="N604" s="832">
        <v>164350.74</v>
      </c>
      <c r="O604" s="832">
        <v>0</v>
      </c>
      <c r="P604" s="832">
        <v>0</v>
      </c>
      <c r="Q604" s="832">
        <v>0</v>
      </c>
      <c r="R604" s="832">
        <v>0</v>
      </c>
      <c r="S604" s="832">
        <v>23478.68</v>
      </c>
      <c r="T604" s="832">
        <v>23478.68</v>
      </c>
      <c r="U604" s="832">
        <v>0</v>
      </c>
      <c r="V604" s="832">
        <v>10</v>
      </c>
      <c r="W604" s="832">
        <v>22</v>
      </c>
      <c r="X604" s="832">
        <v>32</v>
      </c>
      <c r="Y604" s="832">
        <v>48</v>
      </c>
      <c r="Z604" s="832">
        <v>55</v>
      </c>
      <c r="AA604" s="832">
        <v>55</v>
      </c>
      <c r="AB604" s="832">
        <v>55</v>
      </c>
      <c r="AC604" s="832">
        <v>55</v>
      </c>
      <c r="AD604" s="832">
        <v>0</v>
      </c>
      <c r="AE604" s="832">
        <v>0</v>
      </c>
      <c r="AF604" s="832">
        <v>0</v>
      </c>
      <c r="AG604" s="832">
        <v>0</v>
      </c>
      <c r="AH604" s="832">
        <v>8</v>
      </c>
      <c r="AI604" s="832">
        <v>8</v>
      </c>
      <c r="AJ604" s="1030" t="str">
        <f t="shared" si="60"/>
        <v>H33400</v>
      </c>
      <c r="AK604" s="1030" t="str">
        <f t="shared" si="61"/>
        <v>VTE OCC MARQUG-ANTVOL-HPP</v>
      </c>
      <c r="AL604" s="1030" t="str">
        <f>IFERROR(INDEX(G604:R604,1,MATCH(Parametres!$B$3,G$1:R$1,0)-1)*IF(OR(F604="L",F604="S",F604="I"),-1,1),"")</f>
        <v/>
      </c>
      <c r="AM604" s="1030">
        <f t="shared" si="56"/>
        <v>-30614.76</v>
      </c>
      <c r="AN604" s="1030">
        <f>INDEX(G604:R604,1,MATCH(Parametres!$B$3,G$1:R$1,0))*IF(OR(F604="L",F604="S",F604="I"),-1,1)</f>
        <v>-30614.76</v>
      </c>
      <c r="AO604" s="598" t="str">
        <f>+VLOOKUP($AJ604,Data_Validation!$A:$D,1,0)</f>
        <v>H33400</v>
      </c>
      <c r="AP604" s="598" t="str">
        <f>+VLOOKUP($AJ604,Data_Validation!$A:$D,3,0)</f>
        <v>Véhicules usagés</v>
      </c>
      <c r="AQ604" s="598" t="str">
        <f>+VLOOKUP($AJ604,Data_Validation!$A:$D,4,0)</f>
        <v>Rev. Protections</v>
      </c>
      <c r="AR604" s="598" t="s">
        <v>299</v>
      </c>
      <c r="AS604" s="598" t="str">
        <f>+VLOOKUP($AJ604,Data_Validation!$A:$E,5,0)</f>
        <v>Oui</v>
      </c>
      <c r="AT604" s="1036" t="str">
        <f t="shared" si="57"/>
        <v>H33400</v>
      </c>
      <c r="AU604" s="599" t="str">
        <f t="shared" si="58"/>
        <v>VTE OCC MARQUG-ANTVOL-HPP</v>
      </c>
      <c r="AV604" s="1030" t="str">
        <f>IFERROR(INDEX(V604:AG604,1,MATCH(Parametres!$B$3,V$1:AG$1,0)-1)*IF(OR(C604="L",C604="S",C604="I"),-1,1),"")</f>
        <v/>
      </c>
      <c r="AW604" s="1030">
        <f t="shared" si="59"/>
        <v>10</v>
      </c>
      <c r="AX604" s="1030">
        <f>INDEX(V604:AG604,1,MATCH(Parametres!$B$3,V$1:AG$1,0))*IF(OR(C604="L",C604="S",C604="I"),-1,1)</f>
        <v>10</v>
      </c>
      <c r="AY604" s="598" t="s">
        <v>337</v>
      </c>
      <c r="AZ604" s="598" t="str">
        <f>+VLOOKUP($AJ604,Data_Validation!$A:$E,5,0)</f>
        <v>Oui</v>
      </c>
    </row>
    <row r="605" spans="1:52" ht="15" customHeight="1">
      <c r="A605" s="832" t="s">
        <v>1150</v>
      </c>
      <c r="B605" s="832">
        <v>2026</v>
      </c>
      <c r="C605" s="832" t="s">
        <v>2349</v>
      </c>
      <c r="D605" s="832" t="s">
        <v>2350</v>
      </c>
      <c r="E605" s="832" t="s">
        <v>333</v>
      </c>
      <c r="F605" s="832" t="s">
        <v>2226</v>
      </c>
      <c r="G605" s="832">
        <v>2844.39</v>
      </c>
      <c r="H605" s="832">
        <v>17210.39</v>
      </c>
      <c r="I605" s="832">
        <v>34569.39</v>
      </c>
      <c r="J605" s="832">
        <v>60118.39</v>
      </c>
      <c r="K605" s="832">
        <v>65744.600000000006</v>
      </c>
      <c r="L605" s="832">
        <v>65744.600000000006</v>
      </c>
      <c r="M605" s="832">
        <v>65744.600000000006</v>
      </c>
      <c r="N605" s="832">
        <v>65744.600000000006</v>
      </c>
      <c r="O605" s="832">
        <v>0</v>
      </c>
      <c r="P605" s="832">
        <v>0</v>
      </c>
      <c r="Q605" s="832">
        <v>0</v>
      </c>
      <c r="R605" s="832">
        <v>0</v>
      </c>
      <c r="S605" s="832">
        <v>9392.09</v>
      </c>
      <c r="T605" s="832">
        <v>9392.09</v>
      </c>
      <c r="U605" s="832">
        <v>0</v>
      </c>
      <c r="V605" s="832">
        <v>2</v>
      </c>
      <c r="W605" s="832">
        <v>8</v>
      </c>
      <c r="X605" s="832">
        <v>15</v>
      </c>
      <c r="Y605" s="832">
        <v>25</v>
      </c>
      <c r="Z605" s="832">
        <v>28</v>
      </c>
      <c r="AA605" s="832">
        <v>28</v>
      </c>
      <c r="AB605" s="832">
        <v>28</v>
      </c>
      <c r="AC605" s="832">
        <v>28</v>
      </c>
      <c r="AD605" s="832">
        <v>0</v>
      </c>
      <c r="AE605" s="832">
        <v>0</v>
      </c>
      <c r="AF605" s="832">
        <v>0</v>
      </c>
      <c r="AG605" s="832">
        <v>0</v>
      </c>
      <c r="AH605" s="832">
        <v>4</v>
      </c>
      <c r="AI605" s="832">
        <v>4</v>
      </c>
      <c r="AJ605" s="1030" t="str">
        <f t="shared" si="60"/>
        <v>H33410</v>
      </c>
      <c r="AK605" s="1030" t="str">
        <f t="shared" si="61"/>
        <v>VTE OCC ASSURANCE</v>
      </c>
      <c r="AL605" s="1030" t="str">
        <f>IFERROR(INDEX(G605:R605,1,MATCH(Parametres!$B$3,G$1:R$1,0)-1)*IF(OR(F605="L",F605="S",F605="I"),-1,1),"")</f>
        <v/>
      </c>
      <c r="AM605" s="1030">
        <f t="shared" si="56"/>
        <v>-2844.39</v>
      </c>
      <c r="AN605" s="1030">
        <f>INDEX(G605:R605,1,MATCH(Parametres!$B$3,G$1:R$1,0))*IF(OR(F605="L",F605="S",F605="I"),-1,1)</f>
        <v>-2844.39</v>
      </c>
      <c r="AO605" s="598" t="str">
        <f>+VLOOKUP($AJ605,Data_Validation!$A:$D,1,0)</f>
        <v>H33410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H33410</v>
      </c>
      <c r="AU605" s="599" t="str">
        <f t="shared" si="58"/>
        <v>VTE OCC ASSURANCE</v>
      </c>
      <c r="AV605" s="1030" t="str">
        <f>IFERROR(INDEX(V605:AG605,1,MATCH(Parametres!$B$3,V$1:AG$1,0)-1)*IF(OR(C605="L",C605="S",C605="I"),-1,1),"")</f>
        <v/>
      </c>
      <c r="AW605" s="1030">
        <f t="shared" si="59"/>
        <v>2</v>
      </c>
      <c r="AX605" s="1030">
        <f>INDEX(V605:AG605,1,MATCH(Parametres!$B$3,V$1:AG$1,0))*IF(OR(C605="L",C605="S",C605="I"),-1,1)</f>
        <v>2</v>
      </c>
      <c r="AY605" s="598" t="s">
        <v>337</v>
      </c>
      <c r="AZ605" s="598" t="str">
        <f>+VLOOKUP($AJ605,Data_Validation!$A:$E,5,0)</f>
        <v>Oui</v>
      </c>
    </row>
    <row r="606" spans="1:52" ht="15" customHeight="1">
      <c r="A606" s="832" t="s">
        <v>1150</v>
      </c>
      <c r="B606" s="832">
        <v>2026</v>
      </c>
      <c r="C606" s="832" t="s">
        <v>2351</v>
      </c>
      <c r="D606" s="832" t="s">
        <v>2338</v>
      </c>
      <c r="E606" s="832" t="s">
        <v>333</v>
      </c>
      <c r="F606" s="832" t="s">
        <v>2226</v>
      </c>
      <c r="G606" s="832">
        <v>6541.58</v>
      </c>
      <c r="H606" s="832">
        <v>15464.47</v>
      </c>
      <c r="I606" s="832">
        <v>21610.33</v>
      </c>
      <c r="J606" s="832">
        <v>36222.57</v>
      </c>
      <c r="K606" s="832">
        <v>41087.29</v>
      </c>
      <c r="L606" s="832">
        <v>41087.29</v>
      </c>
      <c r="M606" s="832">
        <v>41087.29</v>
      </c>
      <c r="N606" s="832">
        <v>41087.29</v>
      </c>
      <c r="O606" s="832">
        <v>0</v>
      </c>
      <c r="P606" s="832">
        <v>0</v>
      </c>
      <c r="Q606" s="832">
        <v>0</v>
      </c>
      <c r="R606" s="832">
        <v>0</v>
      </c>
      <c r="S606" s="832">
        <v>5869.61</v>
      </c>
      <c r="T606" s="832">
        <v>5869.61</v>
      </c>
      <c r="U606" s="832">
        <v>0</v>
      </c>
      <c r="V606" s="832">
        <v>11</v>
      </c>
      <c r="W606" s="832">
        <v>24</v>
      </c>
      <c r="X606" s="832">
        <v>32</v>
      </c>
      <c r="Y606" s="832">
        <v>49</v>
      </c>
      <c r="Z606" s="832">
        <v>56</v>
      </c>
      <c r="AA606" s="832">
        <v>56</v>
      </c>
      <c r="AB606" s="832">
        <v>56</v>
      </c>
      <c r="AC606" s="832">
        <v>56</v>
      </c>
      <c r="AD606" s="832">
        <v>0</v>
      </c>
      <c r="AE606" s="832">
        <v>0</v>
      </c>
      <c r="AF606" s="832">
        <v>0</v>
      </c>
      <c r="AG606" s="832">
        <v>0</v>
      </c>
      <c r="AH606" s="832">
        <v>8</v>
      </c>
      <c r="AI606" s="832">
        <v>8</v>
      </c>
      <c r="AJ606" s="1030" t="str">
        <f t="shared" si="60"/>
        <v>H33420</v>
      </c>
      <c r="AK606" s="1030" t="str">
        <f t="shared" si="61"/>
        <v>VTE OCC REVENU FINANCE</v>
      </c>
      <c r="AL606" s="1030" t="str">
        <f>IFERROR(INDEX(G606:R606,1,MATCH(Parametres!$B$3,G$1:R$1,0)-1)*IF(OR(F606="L",F606="S",F606="I"),-1,1),"")</f>
        <v/>
      </c>
      <c r="AM606" s="1030">
        <f t="shared" si="56"/>
        <v>-6541.58</v>
      </c>
      <c r="AN606" s="1030">
        <f>INDEX(G606:R606,1,MATCH(Parametres!$B$3,G$1:R$1,0))*IF(OR(F606="L",F606="S",F606="I"),-1,1)</f>
        <v>-6541.58</v>
      </c>
      <c r="AO606" s="598" t="str">
        <f>+VLOOKUP($AJ606,Data_Validation!$A:$D,1,0)</f>
        <v>H33420</v>
      </c>
      <c r="AP606" s="598" t="str">
        <f>+VLOOKUP($AJ606,Data_Validation!$A:$D,3,0)</f>
        <v>Véhicules usagés</v>
      </c>
      <c r="AQ606" s="598" t="str">
        <f>+VLOOKUP($AJ606,Data_Validation!$A:$D,4,0)</f>
        <v>Rev. Finances</v>
      </c>
      <c r="AR606" s="598" t="s">
        <v>299</v>
      </c>
      <c r="AS606" s="598" t="str">
        <f>+VLOOKUP($AJ606,Data_Validation!$A:$E,5,0)</f>
        <v>Oui</v>
      </c>
      <c r="AT606" s="1036" t="str">
        <f t="shared" si="57"/>
        <v>H33420</v>
      </c>
      <c r="AU606" s="599" t="str">
        <f t="shared" si="58"/>
        <v>VTE OCC REVENU FINANCE</v>
      </c>
      <c r="AV606" s="1030" t="str">
        <f>IFERROR(INDEX(V606:AG606,1,MATCH(Parametres!$B$3,V$1:AG$1,0)-1)*IF(OR(C606="L",C606="S",C606="I"),-1,1),"")</f>
        <v/>
      </c>
      <c r="AW606" s="1030">
        <f t="shared" si="59"/>
        <v>11</v>
      </c>
      <c r="AX606" s="1030">
        <f>INDEX(V606:AG606,1,MATCH(Parametres!$B$3,V$1:AG$1,0))*IF(OR(C606="L",C606="S",C606="I"),-1,1)</f>
        <v>11</v>
      </c>
      <c r="AY606" s="598" t="s">
        <v>337</v>
      </c>
      <c r="AZ606" s="598" t="str">
        <f>+VLOOKUP($AJ606,Data_Validation!$A:$E,5,0)</f>
        <v>Oui</v>
      </c>
    </row>
    <row r="607" spans="1:52" ht="15" customHeight="1">
      <c r="A607" s="832" t="s">
        <v>1150</v>
      </c>
      <c r="B607" s="832">
        <v>2026</v>
      </c>
      <c r="C607" s="832" t="s">
        <v>2352</v>
      </c>
      <c r="D607" s="832" t="s">
        <v>2353</v>
      </c>
      <c r="E607" s="832" t="s">
        <v>333</v>
      </c>
      <c r="F607" s="832" t="s">
        <v>2226</v>
      </c>
      <c r="G607" s="832">
        <v>2509</v>
      </c>
      <c r="H607" s="832">
        <v>7677</v>
      </c>
      <c r="I607" s="832">
        <v>9426</v>
      </c>
      <c r="J607" s="832">
        <v>18290</v>
      </c>
      <c r="K607" s="832">
        <v>23574</v>
      </c>
      <c r="L607" s="832">
        <v>23574</v>
      </c>
      <c r="M607" s="832">
        <v>23574</v>
      </c>
      <c r="N607" s="832">
        <v>23574</v>
      </c>
      <c r="O607" s="832">
        <v>0</v>
      </c>
      <c r="P607" s="832">
        <v>0</v>
      </c>
      <c r="Q607" s="832">
        <v>0</v>
      </c>
      <c r="R607" s="832">
        <v>0</v>
      </c>
      <c r="S607" s="832">
        <v>3367.71</v>
      </c>
      <c r="T607" s="832">
        <v>3367.71</v>
      </c>
      <c r="U607" s="832">
        <v>0</v>
      </c>
      <c r="V607" s="832">
        <v>3</v>
      </c>
      <c r="W607" s="832">
        <v>11</v>
      </c>
      <c r="X607" s="832">
        <v>14</v>
      </c>
      <c r="Y607" s="832">
        <v>23</v>
      </c>
      <c r="Z607" s="832">
        <v>31</v>
      </c>
      <c r="AA607" s="832">
        <v>31</v>
      </c>
      <c r="AB607" s="832">
        <v>31</v>
      </c>
      <c r="AC607" s="832">
        <v>31</v>
      </c>
      <c r="AD607" s="832">
        <v>0</v>
      </c>
      <c r="AE607" s="832">
        <v>0</v>
      </c>
      <c r="AF607" s="832">
        <v>0</v>
      </c>
      <c r="AG607" s="832">
        <v>0</v>
      </c>
      <c r="AH607" s="832">
        <v>4</v>
      </c>
      <c r="AI607" s="832">
        <v>4</v>
      </c>
      <c r="AJ607" s="1030" t="str">
        <f t="shared" si="60"/>
        <v>H33430</v>
      </c>
      <c r="AK607" s="1030" t="str">
        <f t="shared" si="61"/>
        <v>VTE OCC PRODUIT CHIMIQUE</v>
      </c>
      <c r="AL607" s="1030" t="str">
        <f>IFERROR(INDEX(G607:R607,1,MATCH(Parametres!$B$3,G$1:R$1,0)-1)*IF(OR(F607="L",F607="S",F607="I"),-1,1),"")</f>
        <v/>
      </c>
      <c r="AM607" s="1030">
        <f t="shared" si="56"/>
        <v>-2509</v>
      </c>
      <c r="AN607" s="1030">
        <f>INDEX(G607:R607,1,MATCH(Parametres!$B$3,G$1:R$1,0))*IF(OR(F607="L",F607="S",F607="I"),-1,1)</f>
        <v>-2509</v>
      </c>
      <c r="AO607" s="598" t="str">
        <f>+VLOOKUP($AJ607,Data_Validation!$A:$D,1,0)</f>
        <v>H33430</v>
      </c>
      <c r="AP607" s="598" t="str">
        <f>+VLOOKUP($AJ607,Data_Validation!$A:$D,3,0)</f>
        <v>Véhicules usagés</v>
      </c>
      <c r="AQ607" s="598" t="str">
        <f>+VLOOKUP($AJ607,Data_Validation!$A:$D,4,0)</f>
        <v>Rev. Protections</v>
      </c>
      <c r="AR607" s="598" t="s">
        <v>299</v>
      </c>
      <c r="AS607" s="598" t="str">
        <f>+VLOOKUP($AJ607,Data_Validation!$A:$E,5,0)</f>
        <v>Oui</v>
      </c>
      <c r="AT607" s="1036" t="str">
        <f t="shared" si="57"/>
        <v>H33430</v>
      </c>
      <c r="AU607" s="599" t="str">
        <f t="shared" si="58"/>
        <v>VTE OCC PRODUIT CHIMIQUE</v>
      </c>
      <c r="AV607" s="1030" t="str">
        <f>IFERROR(INDEX(V607:AG607,1,MATCH(Parametres!$B$3,V$1:AG$1,0)-1)*IF(OR(C607="L",C607="S",C607="I"),-1,1),"")</f>
        <v/>
      </c>
      <c r="AW607" s="1030">
        <f t="shared" si="59"/>
        <v>3</v>
      </c>
      <c r="AX607" s="1030">
        <f>INDEX(V607:AG607,1,MATCH(Parametres!$B$3,V$1:AG$1,0))*IF(OR(C607="L",C607="S",C607="I"),-1,1)</f>
        <v>3</v>
      </c>
      <c r="AY607" s="598" t="s">
        <v>337</v>
      </c>
      <c r="AZ607" s="598" t="str">
        <f>+VLOOKUP($AJ607,Data_Validation!$A:$E,5,0)</f>
        <v>Oui</v>
      </c>
    </row>
    <row r="608" spans="1:52" ht="15" customHeight="1">
      <c r="A608" s="832" t="s">
        <v>1150</v>
      </c>
      <c r="B608" s="832">
        <v>2026</v>
      </c>
      <c r="C608" s="832" t="s">
        <v>2354</v>
      </c>
      <c r="D608" s="832" t="s">
        <v>2285</v>
      </c>
      <c r="E608" s="832" t="s">
        <v>333</v>
      </c>
      <c r="F608" s="832" t="s">
        <v>2226</v>
      </c>
      <c r="G608" s="832">
        <v>0</v>
      </c>
      <c r="H608" s="832">
        <v>0</v>
      </c>
      <c r="I608" s="832">
        <v>1150</v>
      </c>
      <c r="J608" s="832">
        <v>4007</v>
      </c>
      <c r="K608" s="832">
        <v>4007</v>
      </c>
      <c r="L608" s="832">
        <v>4007</v>
      </c>
      <c r="M608" s="832">
        <v>4007</v>
      </c>
      <c r="N608" s="832">
        <v>4007</v>
      </c>
      <c r="O608" s="832">
        <v>0</v>
      </c>
      <c r="P608" s="832">
        <v>0</v>
      </c>
      <c r="Q608" s="832">
        <v>0</v>
      </c>
      <c r="R608" s="832">
        <v>0</v>
      </c>
      <c r="S608" s="832">
        <v>572.42999999999995</v>
      </c>
      <c r="T608" s="832">
        <v>572.42999999999995</v>
      </c>
      <c r="U608" s="832">
        <v>0</v>
      </c>
      <c r="V608" s="832">
        <v>0</v>
      </c>
      <c r="W608" s="832">
        <v>0</v>
      </c>
      <c r="X608" s="832">
        <v>4</v>
      </c>
      <c r="Y608" s="832">
        <v>7</v>
      </c>
      <c r="Z608" s="832">
        <v>7</v>
      </c>
      <c r="AA608" s="832">
        <v>7</v>
      </c>
      <c r="AB608" s="832">
        <v>7</v>
      </c>
      <c r="AC608" s="832">
        <v>7</v>
      </c>
      <c r="AD608" s="832">
        <v>0</v>
      </c>
      <c r="AE608" s="832">
        <v>0</v>
      </c>
      <c r="AF608" s="832">
        <v>0</v>
      </c>
      <c r="AG608" s="832">
        <v>0</v>
      </c>
      <c r="AH608" s="832">
        <v>1</v>
      </c>
      <c r="AI608" s="832">
        <v>1</v>
      </c>
      <c r="AJ608" s="1030" t="str">
        <f t="shared" si="60"/>
        <v>H33440</v>
      </c>
      <c r="AK608" s="1030" t="str">
        <f t="shared" si="61"/>
        <v>VTE ASSURANCE ROUTIERE</v>
      </c>
      <c r="AL608" s="1030" t="str">
        <f>IFERROR(INDEX(G608:R608,1,MATCH(Parametres!$B$3,G$1:R$1,0)-1)*IF(OR(F608="L",F608="S",F608="I"),-1,1),"")</f>
        <v/>
      </c>
      <c r="AM608" s="1030">
        <f t="shared" si="56"/>
        <v>0</v>
      </c>
      <c r="AN608" s="1030">
        <f>INDEX(G608:R608,1,MATCH(Parametres!$B$3,G$1:R$1,0))*IF(OR(F608="L",F608="S",F608="I"),-1,1)</f>
        <v>0</v>
      </c>
      <c r="AO608" s="598" t="str">
        <f>+VLOOKUP($AJ608,Data_Validation!$A:$D,1,0)</f>
        <v>H33440</v>
      </c>
      <c r="AP608" s="598" t="str">
        <f>+VLOOKUP($AJ608,Data_Validation!$A:$D,3,0)</f>
        <v>Véhicules usagés</v>
      </c>
      <c r="AQ608" s="598" t="str">
        <f>+VLOOKUP($AJ608,Data_Validation!$A:$D,4,0)</f>
        <v>Rev. Protections</v>
      </c>
      <c r="AR608" s="598" t="s">
        <v>299</v>
      </c>
      <c r="AS608" s="598" t="str">
        <f>+VLOOKUP($AJ608,Data_Validation!$A:$E,5,0)</f>
        <v>Oui</v>
      </c>
      <c r="AT608" s="1036" t="str">
        <f t="shared" si="57"/>
        <v>H33440</v>
      </c>
      <c r="AU608" s="599" t="str">
        <f t="shared" si="58"/>
        <v>VTE ASSURANCE ROUTIERE</v>
      </c>
      <c r="AV608" s="1030" t="str">
        <f>IFERROR(INDEX(V608:AG608,1,MATCH(Parametres!$B$3,V$1:AG$1,0)-1)*IF(OR(C608="L",C608="S",C608="I"),-1,1),"")</f>
        <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2026</v>
      </c>
      <c r="C609" s="832" t="s">
        <v>2355</v>
      </c>
      <c r="D609" s="832" t="s">
        <v>2356</v>
      </c>
      <c r="E609" s="832" t="s">
        <v>333</v>
      </c>
      <c r="F609" s="832" t="s">
        <v>2226</v>
      </c>
      <c r="G609" s="832">
        <v>0</v>
      </c>
      <c r="H609" s="832">
        <v>0</v>
      </c>
      <c r="I609" s="832">
        <v>0</v>
      </c>
      <c r="J609" s="832">
        <v>0</v>
      </c>
      <c r="K609" s="832">
        <v>0</v>
      </c>
      <c r="L609" s="832">
        <v>0</v>
      </c>
      <c r="M609" s="832">
        <v>0</v>
      </c>
      <c r="N609" s="832">
        <v>0</v>
      </c>
      <c r="O609" s="832">
        <v>0</v>
      </c>
      <c r="P609" s="832">
        <v>0</v>
      </c>
      <c r="Q609" s="832">
        <v>0</v>
      </c>
      <c r="R609" s="832">
        <v>0</v>
      </c>
      <c r="S609" s="832">
        <v>0</v>
      </c>
      <c r="T609" s="832">
        <v>0</v>
      </c>
      <c r="U609" s="832">
        <v>0</v>
      </c>
      <c r="V609" s="832">
        <v>0</v>
      </c>
      <c r="W609" s="832">
        <v>0</v>
      </c>
      <c r="X609" s="832">
        <v>0</v>
      </c>
      <c r="Y609" s="832">
        <v>0</v>
      </c>
      <c r="Z609" s="832">
        <v>0</v>
      </c>
      <c r="AA609" s="832">
        <v>0</v>
      </c>
      <c r="AB609" s="832">
        <v>0</v>
      </c>
      <c r="AC609" s="832">
        <v>0</v>
      </c>
      <c r="AD609" s="832">
        <v>0</v>
      </c>
      <c r="AE609" s="832">
        <v>0</v>
      </c>
      <c r="AF609" s="832">
        <v>0</v>
      </c>
      <c r="AG609" s="832">
        <v>0</v>
      </c>
      <c r="AH609" s="832">
        <v>0</v>
      </c>
      <c r="AI609" s="832">
        <v>0</v>
      </c>
      <c r="AJ609" s="1030" t="str">
        <f t="shared" si="60"/>
        <v>H33500</v>
      </c>
      <c r="AK609" s="1030" t="str">
        <f t="shared" si="61"/>
        <v>REEVALUATION DU STOCK</v>
      </c>
      <c r="AL609" s="1030" t="str">
        <f>IFERROR(INDEX(G609:R609,1,MATCH(Parametres!$B$3,G$1:R$1,0)-1)*IF(OR(F609="L",F609="S",F609="I"),-1,1),"")</f>
        <v/>
      </c>
      <c r="AM609" s="1030">
        <f t="shared" si="56"/>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t="str">
        <f t="shared" si="57"/>
        <v>H33500</v>
      </c>
      <c r="AU609" s="599" t="str">
        <f t="shared" si="58"/>
        <v>REEVALUATION DU STOCK</v>
      </c>
      <c r="AV609" s="1030" t="str">
        <f>IFERROR(INDEX(V609:AG609,1,MATCH(Parametres!$B$3,V$1:AG$1,0)-1)*IF(OR(C609="L",C609="S",C609="I"),-1,1),"")</f>
        <v/>
      </c>
      <c r="AW609" s="1030">
        <f t="shared" si="59"/>
        <v>0</v>
      </c>
      <c r="AX609" s="1030">
        <f>INDEX(V609:AG609,1,MATCH(Parametres!$B$3,V$1:AG$1,0))*IF(OR(C609="L",C609="S",C609="I"),-1,1)</f>
        <v>0</v>
      </c>
      <c r="AY609" s="598" t="s">
        <v>337</v>
      </c>
      <c r="AZ609" s="598" t="e">
        <f>+VLOOKUP($AJ609,Data_Validation!$A:$E,5,0)</f>
        <v>#N/A</v>
      </c>
    </row>
    <row r="610" spans="1:52" ht="15" customHeight="1">
      <c r="A610" s="832" t="s">
        <v>1150</v>
      </c>
      <c r="B610" s="832">
        <v>2026</v>
      </c>
      <c r="C610" s="832" t="s">
        <v>2357</v>
      </c>
      <c r="D610" s="832" t="s">
        <v>2358</v>
      </c>
      <c r="E610" s="832" t="s">
        <v>2226</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30" t="str">
        <f t="shared" si="60"/>
        <v>H33700</v>
      </c>
      <c r="AK610" s="1030" t="str">
        <f t="shared" si="61"/>
        <v>VTE SANTA CRUZ</v>
      </c>
      <c r="AL610" s="1030" t="str">
        <f>IFERROR(INDEX(G610:R610,1,MATCH(Parametres!$B$3,G$1:R$1,0)-1)*IF(OR(F610="L",F610="S",F610="I"),-1,1),"")</f>
        <v/>
      </c>
      <c r="AM610" s="1030">
        <f t="shared" si="56"/>
        <v>0</v>
      </c>
      <c r="AN610" s="1030">
        <f>INDEX(G610:R610,1,MATCH(Parametres!$B$3,G$1:R$1,0))*IF(OR(F610="L",F610="S",F610="I"),-1,1)</f>
        <v>0</v>
      </c>
      <c r="AO610" s="598" t="str">
        <f>+VLOOKUP($AJ610,Data_Validation!$A:$D,1,0)</f>
        <v>H33700</v>
      </c>
      <c r="AP610" s="598" t="str">
        <f>+VLOOKUP($AJ610,Data_Validation!$A:$D,3,0)</f>
        <v>Véhicules neufs</v>
      </c>
      <c r="AQ610" s="598" t="str">
        <f>+VLOOKUP($AJ610,Data_Validation!$A:$D,4,0)</f>
        <v>Camions détail</v>
      </c>
      <c r="AR610" s="598" t="s">
        <v>299</v>
      </c>
      <c r="AS610" s="598" t="str">
        <f>+VLOOKUP($AJ610,Data_Validation!$A:$E,5,0)</f>
        <v>Oui</v>
      </c>
      <c r="AT610" s="1036" t="str">
        <f t="shared" si="57"/>
        <v>H33700</v>
      </c>
      <c r="AU610" s="599" t="str">
        <f t="shared" si="58"/>
        <v>VTE SANTA CRUZ</v>
      </c>
      <c r="AV610" s="1030" t="str">
        <f>IFERROR(INDEX(V610:AG610,1,MATCH(Parametres!$B$3,V$1:AG$1,0)-1)*IF(OR(C610="L",C610="S",C610="I"),-1,1),"")</f>
        <v/>
      </c>
      <c r="AW610" s="1030">
        <f t="shared" si="59"/>
        <v>0</v>
      </c>
      <c r="AX610" s="1030">
        <f>INDEX(V610:AG610,1,MATCH(Parametres!$B$3,V$1:AG$1,0))*IF(OR(C610="L",C610="S",C610="I"),-1,1)</f>
        <v>0</v>
      </c>
      <c r="AY610" s="598" t="s">
        <v>337</v>
      </c>
      <c r="AZ610" s="598" t="str">
        <f>+VLOOKUP($AJ610,Data_Validation!$A:$E,5,0)</f>
        <v>Oui</v>
      </c>
    </row>
    <row r="611" spans="1:52" ht="15" customHeight="1">
      <c r="A611" s="832" t="s">
        <v>1150</v>
      </c>
      <c r="B611" s="832">
        <v>2026</v>
      </c>
      <c r="C611" s="832" t="s">
        <v>2359</v>
      </c>
      <c r="D611" s="832" t="s">
        <v>2360</v>
      </c>
      <c r="E611" s="832" t="s">
        <v>2226</v>
      </c>
      <c r="F611" s="832" t="s">
        <v>2226</v>
      </c>
      <c r="G611" s="832">
        <v>0</v>
      </c>
      <c r="H611" s="832">
        <v>65716.600000000006</v>
      </c>
      <c r="I611" s="832">
        <v>233314.82</v>
      </c>
      <c r="J611" s="832">
        <v>233314.82</v>
      </c>
      <c r="K611" s="832">
        <v>233314.82</v>
      </c>
      <c r="L611" s="832">
        <v>233314.82</v>
      </c>
      <c r="M611" s="832">
        <v>233314.82</v>
      </c>
      <c r="N611" s="832">
        <v>233314.82</v>
      </c>
      <c r="O611" s="832">
        <v>0</v>
      </c>
      <c r="P611" s="832">
        <v>0</v>
      </c>
      <c r="Q611" s="832">
        <v>0</v>
      </c>
      <c r="R611" s="832">
        <v>0</v>
      </c>
      <c r="S611" s="832">
        <v>33330.69</v>
      </c>
      <c r="T611" s="832">
        <v>33330.69</v>
      </c>
      <c r="U611" s="832">
        <v>0</v>
      </c>
      <c r="V611" s="832">
        <v>0</v>
      </c>
      <c r="W611" s="832">
        <v>1</v>
      </c>
      <c r="X611" s="832">
        <v>4</v>
      </c>
      <c r="Y611" s="832">
        <v>4</v>
      </c>
      <c r="Z611" s="832">
        <v>4</v>
      </c>
      <c r="AA611" s="832">
        <v>4</v>
      </c>
      <c r="AB611" s="832">
        <v>4</v>
      </c>
      <c r="AC611" s="832">
        <v>4</v>
      </c>
      <c r="AD611" s="832">
        <v>0</v>
      </c>
      <c r="AE611" s="832">
        <v>0</v>
      </c>
      <c r="AF611" s="832">
        <v>0</v>
      </c>
      <c r="AG611" s="832">
        <v>0</v>
      </c>
      <c r="AH611" s="832">
        <v>1</v>
      </c>
      <c r="AI611" s="832">
        <v>1</v>
      </c>
      <c r="AJ611" s="1030" t="str">
        <f t="shared" si="60"/>
        <v>H33800</v>
      </c>
      <c r="AK611" s="1030" t="str">
        <f t="shared" si="61"/>
        <v>VTE IONIQ 5</v>
      </c>
      <c r="AL611" s="1030" t="str">
        <f>IFERROR(INDEX(G611:R611,1,MATCH(Parametres!$B$3,G$1:R$1,0)-1)*IF(OR(F611="L",F611="S",F611="I"),-1,1),"")</f>
        <v/>
      </c>
      <c r="AM611" s="1030">
        <f t="shared" si="56"/>
        <v>0</v>
      </c>
      <c r="AN611" s="1030">
        <f>INDEX(G611:R611,1,MATCH(Parametres!$B$3,G$1:R$1,0))*IF(OR(F611="L",F611="S",F611="I"),-1,1)</f>
        <v>0</v>
      </c>
      <c r="AO611" s="598" t="str">
        <f>+VLOOKUP($AJ611,Data_Validation!$A:$D,1,0)</f>
        <v>H33800</v>
      </c>
      <c r="AP611" s="598" t="str">
        <f>+VLOOKUP($AJ611,Data_Validation!$A:$D,3,0)</f>
        <v>Véhicules neufs</v>
      </c>
      <c r="AQ611" s="598" t="str">
        <f>+VLOOKUP($AJ611,Data_Validation!$A:$D,4,0)</f>
        <v>Voitures electriques</v>
      </c>
      <c r="AR611" s="598" t="s">
        <v>299</v>
      </c>
      <c r="AS611" s="598" t="str">
        <f>+VLOOKUP($AJ611,Data_Validation!$A:$E,5,0)</f>
        <v>Oui</v>
      </c>
      <c r="AT611" s="1036" t="str">
        <f t="shared" si="57"/>
        <v>H33800</v>
      </c>
      <c r="AU611" s="599" t="str">
        <f t="shared" si="58"/>
        <v>VTE IONIQ 5</v>
      </c>
      <c r="AV611" s="1030" t="str">
        <f>IFERROR(INDEX(V611:AG611,1,MATCH(Parametres!$B$3,V$1:AG$1,0)-1)*IF(OR(C611="L",C611="S",C611="I"),-1,1),"")</f>
        <v/>
      </c>
      <c r="AW611" s="1030">
        <f t="shared" si="59"/>
        <v>0</v>
      </c>
      <c r="AX611" s="1030">
        <f>INDEX(V611:AG611,1,MATCH(Parametres!$B$3,V$1:AG$1,0))*IF(OR(C611="L",C611="S",C611="I"),-1,1)</f>
        <v>0</v>
      </c>
      <c r="AY611" s="598" t="s">
        <v>337</v>
      </c>
      <c r="AZ611" s="598" t="str">
        <f>+VLOOKUP($AJ611,Data_Validation!$A:$E,5,0)</f>
        <v>Oui</v>
      </c>
    </row>
    <row r="612" spans="1:52" ht="15" customHeight="1">
      <c r="A612" s="832" t="s">
        <v>1150</v>
      </c>
      <c r="B612" s="832">
        <v>2026</v>
      </c>
      <c r="C612" s="832" t="s">
        <v>2361</v>
      </c>
      <c r="D612" s="832" t="s">
        <v>2362</v>
      </c>
      <c r="E612" s="832" t="s">
        <v>2226</v>
      </c>
      <c r="F612" s="832" t="s">
        <v>2226</v>
      </c>
      <c r="G612" s="832">
        <v>58868.480000000003</v>
      </c>
      <c r="H612" s="832">
        <v>110666.48</v>
      </c>
      <c r="I612" s="832">
        <v>463784.14</v>
      </c>
      <c r="J612" s="832">
        <v>463784.14</v>
      </c>
      <c r="K612" s="832">
        <v>463784.14</v>
      </c>
      <c r="L612" s="832">
        <v>463784.14</v>
      </c>
      <c r="M612" s="832">
        <v>463784.14</v>
      </c>
      <c r="N612" s="832">
        <v>463784.14</v>
      </c>
      <c r="O612" s="832">
        <v>0</v>
      </c>
      <c r="P612" s="832">
        <v>0</v>
      </c>
      <c r="Q612" s="832">
        <v>0</v>
      </c>
      <c r="R612" s="832">
        <v>0</v>
      </c>
      <c r="S612" s="832">
        <v>66254.880000000005</v>
      </c>
      <c r="T612" s="832">
        <v>66254.880000000005</v>
      </c>
      <c r="U612" s="832">
        <v>0</v>
      </c>
      <c r="V612" s="832">
        <v>1</v>
      </c>
      <c r="W612" s="832">
        <v>2</v>
      </c>
      <c r="X612" s="832">
        <v>9</v>
      </c>
      <c r="Y612" s="832">
        <v>9</v>
      </c>
      <c r="Z612" s="832">
        <v>9</v>
      </c>
      <c r="AA612" s="832">
        <v>9</v>
      </c>
      <c r="AB612" s="832">
        <v>9</v>
      </c>
      <c r="AC612" s="832">
        <v>9</v>
      </c>
      <c r="AD612" s="832">
        <v>0</v>
      </c>
      <c r="AE612" s="832">
        <v>0</v>
      </c>
      <c r="AF612" s="832">
        <v>0</v>
      </c>
      <c r="AG612" s="832">
        <v>0</v>
      </c>
      <c r="AH612" s="832">
        <v>1</v>
      </c>
      <c r="AI612" s="832">
        <v>1</v>
      </c>
      <c r="AJ612" s="1030" t="str">
        <f t="shared" si="60"/>
        <v>H34200</v>
      </c>
      <c r="AK612" s="1030" t="str">
        <f t="shared" si="61"/>
        <v>VTE IONIQ 6</v>
      </c>
      <c r="AL612" s="1030" t="str">
        <f>IFERROR(INDEX(G612:R612,1,MATCH(Parametres!$B$3,G$1:R$1,0)-1)*IF(OR(F612="L",F612="S",F612="I"),-1,1),"")</f>
        <v/>
      </c>
      <c r="AM612" s="1030">
        <f t="shared" si="56"/>
        <v>-58868.480000000003</v>
      </c>
      <c r="AN612" s="1030">
        <f>INDEX(G612:R612,1,MATCH(Parametres!$B$3,G$1:R$1,0))*IF(OR(F612="L",F612="S",F612="I"),-1,1)</f>
        <v>-58868.480000000003</v>
      </c>
      <c r="AO612" s="598" t="str">
        <f>+VLOOKUP($AJ612,Data_Validation!$A:$D,1,0)</f>
        <v>H34200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H34200</v>
      </c>
      <c r="AU612" s="599" t="str">
        <f t="shared" si="58"/>
        <v>VTE IONIQ 6</v>
      </c>
      <c r="AV612" s="1030" t="str">
        <f>IFERROR(INDEX(V612:AG612,1,MATCH(Parametres!$B$3,V$1:AG$1,0)-1)*IF(OR(C612="L",C612="S",C612="I"),-1,1),"")</f>
        <v/>
      </c>
      <c r="AW612" s="1030">
        <f t="shared" si="59"/>
        <v>1</v>
      </c>
      <c r="AX612" s="1030">
        <f>INDEX(V612:AG612,1,MATCH(Parametres!$B$3,V$1:AG$1,0))*IF(OR(C612="L",C612="S",C612="I"),-1,1)</f>
        <v>1</v>
      </c>
      <c r="AY612" s="598" t="s">
        <v>337</v>
      </c>
      <c r="AZ612" s="598" t="str">
        <f>+VLOOKUP($AJ612,Data_Validation!$A:$E,5,0)</f>
        <v>Oui</v>
      </c>
    </row>
    <row r="613" spans="1:52" ht="15" customHeight="1">
      <c r="A613" s="832" t="s">
        <v>1150</v>
      </c>
      <c r="B613" s="832">
        <v>2026</v>
      </c>
      <c r="C613" s="832" t="s">
        <v>2363</v>
      </c>
      <c r="D613" s="832" t="s">
        <v>2360</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30" t="str">
        <f t="shared" si="60"/>
        <v>H34300</v>
      </c>
      <c r="AK613" s="1030" t="str">
        <f t="shared" si="61"/>
        <v>VTE IONIQ 5</v>
      </c>
      <c r="AL613" s="1030" t="str">
        <f>IFERROR(INDEX(G613:R613,1,MATCH(Parametres!$B$3,G$1:R$1,0)-1)*IF(OR(F613="L",F613="S",F613="I"),-1,1),"")</f>
        <v/>
      </c>
      <c r="AM613" s="1030">
        <f t="shared" si="56"/>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t="str">
        <f t="shared" si="57"/>
        <v>H34300</v>
      </c>
      <c r="AU613" s="599" t="str">
        <f t="shared" si="58"/>
        <v>VTE IONIQ 5</v>
      </c>
      <c r="AV613" s="1030" t="str">
        <f>IFERROR(INDEX(V613:AG613,1,MATCH(Parametres!$B$3,V$1:AG$1,0)-1)*IF(OR(C613="L",C613="S",C613="I"),-1,1),"")</f>
        <v/>
      </c>
      <c r="AW613" s="1030">
        <f t="shared" si="59"/>
        <v>0</v>
      </c>
      <c r="AX613" s="1030">
        <f>INDEX(V613:AG613,1,MATCH(Parametres!$B$3,V$1:AG$1,0))*IF(OR(C613="L",C613="S",C613="I"),-1,1)</f>
        <v>0</v>
      </c>
      <c r="AY613" s="598" t="s">
        <v>337</v>
      </c>
      <c r="AZ613" s="598" t="e">
        <f>+VLOOKUP($AJ613,Data_Validation!$A:$E,5,0)</f>
        <v>#N/A</v>
      </c>
    </row>
    <row r="614" spans="1:52" ht="15" customHeight="1">
      <c r="A614" s="832" t="s">
        <v>1150</v>
      </c>
      <c r="B614" s="832">
        <v>2026</v>
      </c>
      <c r="C614" s="832" t="s">
        <v>2364</v>
      </c>
      <c r="D614" s="832" t="s">
        <v>2365</v>
      </c>
      <c r="E614" s="832" t="s">
        <v>2226</v>
      </c>
      <c r="F614" s="832" t="s">
        <v>2226</v>
      </c>
      <c r="G614" s="832">
        <v>109208.59</v>
      </c>
      <c r="H614" s="832">
        <v>248993.41</v>
      </c>
      <c r="I614" s="832">
        <v>248993.41</v>
      </c>
      <c r="J614" s="832">
        <v>248993.41</v>
      </c>
      <c r="K614" s="832">
        <v>248993.41</v>
      </c>
      <c r="L614" s="832">
        <v>248993.41</v>
      </c>
      <c r="M614" s="832">
        <v>248993.41</v>
      </c>
      <c r="N614" s="832">
        <v>248993.41</v>
      </c>
      <c r="O614" s="832">
        <v>0</v>
      </c>
      <c r="P614" s="832">
        <v>0</v>
      </c>
      <c r="Q614" s="832">
        <v>0</v>
      </c>
      <c r="R614" s="832">
        <v>0</v>
      </c>
      <c r="S614" s="832">
        <v>35570.49</v>
      </c>
      <c r="T614" s="832">
        <v>35570.49</v>
      </c>
      <c r="U614" s="832">
        <v>0</v>
      </c>
      <c r="V614" s="832">
        <v>1</v>
      </c>
      <c r="W614" s="832">
        <v>3</v>
      </c>
      <c r="X614" s="832">
        <v>3</v>
      </c>
      <c r="Y614" s="832">
        <v>3</v>
      </c>
      <c r="Z614" s="832">
        <v>3</v>
      </c>
      <c r="AA614" s="832">
        <v>3</v>
      </c>
      <c r="AB614" s="832">
        <v>3</v>
      </c>
      <c r="AC614" s="832">
        <v>3</v>
      </c>
      <c r="AD614" s="832">
        <v>0</v>
      </c>
      <c r="AE614" s="832">
        <v>0</v>
      </c>
      <c r="AF614" s="832">
        <v>0</v>
      </c>
      <c r="AG614" s="832">
        <v>0</v>
      </c>
      <c r="AH614" s="832">
        <v>0</v>
      </c>
      <c r="AI614" s="832">
        <v>0</v>
      </c>
      <c r="AJ614" s="1030" t="str">
        <f t="shared" si="60"/>
        <v>H34400</v>
      </c>
      <c r="AK614" s="1030" t="str">
        <f t="shared" si="61"/>
        <v>VTE IONIQ 9</v>
      </c>
      <c r="AL614" s="1030" t="str">
        <f>IFERROR(INDEX(G614:R614,1,MATCH(Parametres!$B$3,G$1:R$1,0)-1)*IF(OR(F614="L",F614="S",F614="I"),-1,1),"")</f>
        <v/>
      </c>
      <c r="AM614" s="1030">
        <f t="shared" si="56"/>
        <v>-109208.59</v>
      </c>
      <c r="AN614" s="1030">
        <f>INDEX(G614:R614,1,MATCH(Parametres!$B$3,G$1:R$1,0))*IF(OR(F614="L",F614="S",F614="I"),-1,1)</f>
        <v>-109208.59</v>
      </c>
      <c r="AO614" s="598" t="str">
        <f>+VLOOKUP($AJ614,Data_Validation!$A:$D,1,0)</f>
        <v>H34400</v>
      </c>
      <c r="AP614" s="598" t="str">
        <f>+VLOOKUP($AJ614,Data_Validation!$A:$D,3,0)</f>
        <v>Véhicules neufs</v>
      </c>
      <c r="AQ614" s="598" t="str">
        <f>+VLOOKUP($AJ614,Data_Validation!$A:$D,4,0)</f>
        <v>Voitures electriques</v>
      </c>
      <c r="AR614" s="598" t="s">
        <v>299</v>
      </c>
      <c r="AS614" s="598" t="str">
        <f>+VLOOKUP($AJ614,Data_Validation!$A:$E,5,0)</f>
        <v>Oui</v>
      </c>
      <c r="AT614" s="1036" t="str">
        <f t="shared" si="57"/>
        <v>H34400</v>
      </c>
      <c r="AU614" s="599" t="str">
        <f t="shared" si="58"/>
        <v>VTE IONIQ 9</v>
      </c>
      <c r="AV614" s="1030" t="str">
        <f>IFERROR(INDEX(V614:AG614,1,MATCH(Parametres!$B$3,V$1:AG$1,0)-1)*IF(OR(C614="L",C614="S",C614="I"),-1,1),"")</f>
        <v/>
      </c>
      <c r="AW614" s="1030">
        <f t="shared" si="59"/>
        <v>1</v>
      </c>
      <c r="AX614" s="1030">
        <f>INDEX(V614:AG614,1,MATCH(Parametres!$B$3,V$1:AG$1,0))*IF(OR(C614="L",C614="S",C614="I"),-1,1)</f>
        <v>1</v>
      </c>
      <c r="AY614" s="598" t="s">
        <v>337</v>
      </c>
      <c r="AZ614" s="598" t="str">
        <f>+VLOOKUP($AJ614,Data_Validation!$A:$E,5,0)</f>
        <v>Oui</v>
      </c>
    </row>
    <row r="615" spans="1:52" ht="15" customHeight="1">
      <c r="A615" s="832" t="s">
        <v>1150</v>
      </c>
      <c r="B615" s="832">
        <v>2026</v>
      </c>
      <c r="C615" s="832" t="s">
        <v>2366</v>
      </c>
      <c r="D615" s="832" t="s">
        <v>2367</v>
      </c>
      <c r="E615" s="832" t="s">
        <v>2368</v>
      </c>
      <c r="F615" s="832" t="s">
        <v>2226</v>
      </c>
      <c r="G615" s="832">
        <v>445526.65</v>
      </c>
      <c r="H615" s="832">
        <v>844825.69</v>
      </c>
      <c r="I615" s="832">
        <v>1278219.26</v>
      </c>
      <c r="J615" s="832">
        <v>1653258.33</v>
      </c>
      <c r="K615" s="832">
        <v>1986314.76</v>
      </c>
      <c r="L615" s="832">
        <v>2001820.5</v>
      </c>
      <c r="M615" s="832">
        <v>2001820.5</v>
      </c>
      <c r="N615" s="832">
        <v>2001820.5</v>
      </c>
      <c r="O615" s="832">
        <v>0</v>
      </c>
      <c r="P615" s="832">
        <v>0</v>
      </c>
      <c r="Q615" s="832">
        <v>0</v>
      </c>
      <c r="R615" s="832">
        <v>0</v>
      </c>
      <c r="S615" s="832">
        <v>285974.36</v>
      </c>
      <c r="T615" s="832">
        <v>285974.36</v>
      </c>
      <c r="U615" s="832">
        <v>0</v>
      </c>
      <c r="V615" s="832">
        <v>1059</v>
      </c>
      <c r="W615" s="832">
        <v>2136</v>
      </c>
      <c r="X615" s="832">
        <v>3225</v>
      </c>
      <c r="Y615" s="832">
        <v>4162</v>
      </c>
      <c r="Z615" s="832">
        <v>5063</v>
      </c>
      <c r="AA615" s="832">
        <v>5115</v>
      </c>
      <c r="AB615" s="832">
        <v>5115</v>
      </c>
      <c r="AC615" s="832">
        <v>5115</v>
      </c>
      <c r="AD615" s="832">
        <v>0</v>
      </c>
      <c r="AE615" s="832">
        <v>0</v>
      </c>
      <c r="AF615" s="832">
        <v>0</v>
      </c>
      <c r="AG615" s="832">
        <v>0</v>
      </c>
      <c r="AH615" s="832">
        <v>731</v>
      </c>
      <c r="AI615" s="832">
        <v>731</v>
      </c>
      <c r="AJ615" s="1030" t="str">
        <f t="shared" si="60"/>
        <v>H35000</v>
      </c>
      <c r="AK615" s="1030" t="str">
        <f t="shared" si="61"/>
        <v>VTE PCS - COMPTOIR - GROS</v>
      </c>
      <c r="AL615" s="1030" t="str">
        <f>IFERROR(INDEX(G615:R615,1,MATCH(Parametres!$B$3,G$1:R$1,0)-1)*IF(OR(F615="L",F615="S",F615="I"),-1,1),"")</f>
        <v/>
      </c>
      <c r="AM615" s="1030">
        <f t="shared" si="56"/>
        <v>-445526.65</v>
      </c>
      <c r="AN615" s="1030">
        <f>INDEX(G615:R615,1,MATCH(Parametres!$B$3,G$1:R$1,0))*IF(OR(F615="L",F615="S",F615="I"),-1,1)</f>
        <v>-445526.65</v>
      </c>
      <c r="AO615" s="598" t="str">
        <f>+VLOOKUP($AJ615,Data_Validation!$A:$D,1,0)</f>
        <v>H35000</v>
      </c>
      <c r="AP615" s="598" t="str">
        <f>+VLOOKUP($AJ615,Data_Validation!$A:$D,3,0)</f>
        <v>Pièces</v>
      </c>
      <c r="AQ615" s="598" t="str">
        <f>+VLOOKUP($AJ615,Data_Validation!$A:$D,4,0)</f>
        <v>Ventes de Gros</v>
      </c>
      <c r="AR615" s="598" t="s">
        <v>299</v>
      </c>
      <c r="AS615" s="598" t="str">
        <f>+VLOOKUP($AJ615,Data_Validation!$A:$E,5,0)</f>
        <v>Oui</v>
      </c>
      <c r="AT615" s="1036" t="str">
        <f t="shared" si="57"/>
        <v>H35000</v>
      </c>
      <c r="AU615" s="599" t="str">
        <f t="shared" si="58"/>
        <v>VTE PCS - COMPTOIR - GROS</v>
      </c>
      <c r="AV615" s="1030" t="str">
        <f>IFERROR(INDEX(V615:AG615,1,MATCH(Parametres!$B$3,V$1:AG$1,0)-1)*IF(OR(C615="L",C615="S",C615="I"),-1,1),"")</f>
        <v/>
      </c>
      <c r="AW615" s="1030">
        <f t="shared" si="59"/>
        <v>1059</v>
      </c>
      <c r="AX615" s="1030">
        <f>INDEX(V615:AG615,1,MATCH(Parametres!$B$3,V$1:AG$1,0))*IF(OR(C615="L",C615="S",C615="I"),-1,1)</f>
        <v>1059</v>
      </c>
      <c r="AY615" s="598" t="s">
        <v>337</v>
      </c>
      <c r="AZ615" s="598" t="str">
        <f>+VLOOKUP($AJ615,Data_Validation!$A:$E,5,0)</f>
        <v>Oui</v>
      </c>
    </row>
    <row r="616" spans="1:52" ht="15" customHeight="1">
      <c r="A616" s="832" t="s">
        <v>1150</v>
      </c>
      <c r="B616" s="832">
        <v>2026</v>
      </c>
      <c r="C616" s="832" t="s">
        <v>2369</v>
      </c>
      <c r="D616" s="832" t="s">
        <v>2370</v>
      </c>
      <c r="E616" s="832" t="s">
        <v>2368</v>
      </c>
      <c r="F616" s="832" t="s">
        <v>2226</v>
      </c>
      <c r="G616" s="832">
        <v>5311.39</v>
      </c>
      <c r="H616" s="832">
        <v>10996.89</v>
      </c>
      <c r="I616" s="832">
        <v>26609.64</v>
      </c>
      <c r="J616" s="832">
        <v>45224.11</v>
      </c>
      <c r="K616" s="832">
        <v>56115.12</v>
      </c>
      <c r="L616" s="832">
        <v>59887.18</v>
      </c>
      <c r="M616" s="832">
        <v>59887.18</v>
      </c>
      <c r="N616" s="832">
        <v>59887.18</v>
      </c>
      <c r="O616" s="832">
        <v>0</v>
      </c>
      <c r="P616" s="832">
        <v>0</v>
      </c>
      <c r="Q616" s="832">
        <v>0</v>
      </c>
      <c r="R616" s="832">
        <v>0</v>
      </c>
      <c r="S616" s="832">
        <v>8555.31</v>
      </c>
      <c r="T616" s="832">
        <v>8555.31</v>
      </c>
      <c r="U616" s="832">
        <v>0</v>
      </c>
      <c r="V616" s="832">
        <v>81</v>
      </c>
      <c r="W616" s="832">
        <v>145</v>
      </c>
      <c r="X616" s="832">
        <v>244</v>
      </c>
      <c r="Y616" s="832">
        <v>361</v>
      </c>
      <c r="Z616" s="832">
        <v>457</v>
      </c>
      <c r="AA616" s="832">
        <v>465</v>
      </c>
      <c r="AB616" s="832">
        <v>465</v>
      </c>
      <c r="AC616" s="832">
        <v>465</v>
      </c>
      <c r="AD616" s="832">
        <v>0</v>
      </c>
      <c r="AE616" s="832">
        <v>0</v>
      </c>
      <c r="AF616" s="832">
        <v>0</v>
      </c>
      <c r="AG616" s="832">
        <v>0</v>
      </c>
      <c r="AH616" s="832">
        <v>66</v>
      </c>
      <c r="AI616" s="832">
        <v>66</v>
      </c>
      <c r="AJ616" s="1030" t="str">
        <f t="shared" si="60"/>
        <v>H35200</v>
      </c>
      <c r="AK616" s="1030" t="str">
        <f t="shared" si="61"/>
        <v>VTE PCS COMPTOIR - DETAIL</v>
      </c>
      <c r="AL616" s="1030" t="str">
        <f>IFERROR(INDEX(G616:R616,1,MATCH(Parametres!$B$3,G$1:R$1,0)-1)*IF(OR(F616="L",F616="S",F616="I"),-1,1),"")</f>
        <v/>
      </c>
      <c r="AM616" s="1030">
        <f t="shared" si="56"/>
        <v>-5311.39</v>
      </c>
      <c r="AN616" s="1030">
        <f>INDEX(G616:R616,1,MATCH(Parametres!$B$3,G$1:R$1,0))*IF(OR(F616="L",F616="S",F616="I"),-1,1)</f>
        <v>-5311.39</v>
      </c>
      <c r="AO616" s="598" t="str">
        <f>+VLOOKUP($AJ616,Data_Validation!$A:$D,1,0)</f>
        <v>H35200</v>
      </c>
      <c r="AP616" s="598" t="str">
        <f>+VLOOKUP($AJ616,Data_Validation!$A:$D,3,0)</f>
        <v>Pièces</v>
      </c>
      <c r="AQ616" s="598" t="str">
        <f>+VLOOKUP($AJ616,Data_Validation!$A:$D,4,0)</f>
        <v>Ventes Détails</v>
      </c>
      <c r="AR616" s="598" t="s">
        <v>299</v>
      </c>
      <c r="AS616" s="598" t="str">
        <f>+VLOOKUP($AJ616,Data_Validation!$A:$E,5,0)</f>
        <v>Oui</v>
      </c>
      <c r="AT616" s="1036" t="str">
        <f t="shared" si="57"/>
        <v>H35200</v>
      </c>
      <c r="AU616" s="599" t="str">
        <f t="shared" si="58"/>
        <v>VTE PCS COMPTOIR - DETAIL</v>
      </c>
      <c r="AV616" s="1030" t="str">
        <f>IFERROR(INDEX(V616:AG616,1,MATCH(Parametres!$B$3,V$1:AG$1,0)-1)*IF(OR(C616="L",C616="S",C616="I"),-1,1),"")</f>
        <v/>
      </c>
      <c r="AW616" s="1030">
        <f t="shared" si="59"/>
        <v>81</v>
      </c>
      <c r="AX616" s="1030">
        <f>INDEX(V616:AG616,1,MATCH(Parametres!$B$3,V$1:AG$1,0))*IF(OR(C616="L",C616="S",C616="I"),-1,1)</f>
        <v>81</v>
      </c>
      <c r="AY616" s="598" t="s">
        <v>337</v>
      </c>
      <c r="AZ616" s="598" t="str">
        <f>+VLOOKUP($AJ616,Data_Validation!$A:$E,5,0)</f>
        <v>Oui</v>
      </c>
    </row>
    <row r="617" spans="1:52" ht="15" customHeight="1">
      <c r="A617" s="832" t="s">
        <v>1150</v>
      </c>
      <c r="B617" s="832">
        <v>2026</v>
      </c>
      <c r="C617" s="832" t="s">
        <v>2371</v>
      </c>
      <c r="D617" s="832" t="s">
        <v>2372</v>
      </c>
      <c r="E617" s="832" t="s">
        <v>2368</v>
      </c>
      <c r="F617" s="832" t="s">
        <v>2226</v>
      </c>
      <c r="G617" s="832">
        <v>14735.98</v>
      </c>
      <c r="H617" s="832">
        <v>29921.25</v>
      </c>
      <c r="I617" s="832">
        <v>56938.84</v>
      </c>
      <c r="J617" s="832">
        <v>81573.539999999994</v>
      </c>
      <c r="K617" s="832">
        <v>103344.85</v>
      </c>
      <c r="L617" s="832">
        <v>103610.51</v>
      </c>
      <c r="M617" s="832">
        <v>103610.51</v>
      </c>
      <c r="N617" s="832">
        <v>103610.51</v>
      </c>
      <c r="O617" s="832">
        <v>0</v>
      </c>
      <c r="P617" s="832">
        <v>0</v>
      </c>
      <c r="Q617" s="832">
        <v>0</v>
      </c>
      <c r="R617" s="832">
        <v>0</v>
      </c>
      <c r="S617" s="832">
        <v>14801.5</v>
      </c>
      <c r="T617" s="832">
        <v>14801.5</v>
      </c>
      <c r="U617" s="832">
        <v>0</v>
      </c>
      <c r="V617" s="832">
        <v>104</v>
      </c>
      <c r="W617" s="832">
        <v>219</v>
      </c>
      <c r="X617" s="832">
        <v>413</v>
      </c>
      <c r="Y617" s="832">
        <v>609</v>
      </c>
      <c r="Z617" s="832">
        <v>777</v>
      </c>
      <c r="AA617" s="832">
        <v>783</v>
      </c>
      <c r="AB617" s="832">
        <v>783</v>
      </c>
      <c r="AC617" s="832">
        <v>783</v>
      </c>
      <c r="AD617" s="832">
        <v>0</v>
      </c>
      <c r="AE617" s="832">
        <v>0</v>
      </c>
      <c r="AF617" s="832">
        <v>0</v>
      </c>
      <c r="AG617" s="832">
        <v>0</v>
      </c>
      <c r="AH617" s="832">
        <v>112</v>
      </c>
      <c r="AI617" s="832">
        <v>112</v>
      </c>
      <c r="AJ617" s="1030" t="str">
        <f t="shared" si="60"/>
        <v>H35300</v>
      </c>
      <c r="AK617" s="1030" t="str">
        <f t="shared" si="61"/>
        <v>VTE ACCESS DETAIL</v>
      </c>
      <c r="AL617" s="1030" t="str">
        <f>IFERROR(INDEX(G617:R617,1,MATCH(Parametres!$B$3,G$1:R$1,0)-1)*IF(OR(F617="L",F617="S",F617="I"),-1,1),"")</f>
        <v/>
      </c>
      <c r="AM617" s="1030">
        <f t="shared" si="56"/>
        <v>-14735.98</v>
      </c>
      <c r="AN617" s="1030">
        <f>INDEX(G617:R617,1,MATCH(Parametres!$B$3,G$1:R$1,0))*IF(OR(F617="L",F617="S",F617="I"),-1,1)</f>
        <v>-14735.98</v>
      </c>
      <c r="AO617" s="598" t="str">
        <f>+VLOOKUP($AJ617,Data_Validation!$A:$D,1,0)</f>
        <v>H35300</v>
      </c>
      <c r="AP617" s="598" t="str">
        <f>+VLOOKUP($AJ617,Data_Validation!$A:$D,3,0)</f>
        <v>Pièces</v>
      </c>
      <c r="AQ617" s="598" t="str">
        <f>+VLOOKUP($AJ617,Data_Validation!$A:$D,4,0)</f>
        <v>Ventes Détails</v>
      </c>
      <c r="AR617" s="598" t="s">
        <v>299</v>
      </c>
      <c r="AS617" s="598" t="str">
        <f>+VLOOKUP($AJ617,Data_Validation!$A:$E,5,0)</f>
        <v>Oui</v>
      </c>
      <c r="AT617" s="1036" t="str">
        <f t="shared" si="57"/>
        <v>H35300</v>
      </c>
      <c r="AU617" s="599" t="str">
        <f t="shared" si="58"/>
        <v>VTE ACCESS DETAIL</v>
      </c>
      <c r="AV617" s="1030" t="str">
        <f>IFERROR(INDEX(V617:AG617,1,MATCH(Parametres!$B$3,V$1:AG$1,0)-1)*IF(OR(C617="L",C617="S",C617="I"),-1,1),"")</f>
        <v/>
      </c>
      <c r="AW617" s="1030">
        <f t="shared" si="59"/>
        <v>104</v>
      </c>
      <c r="AX617" s="1030">
        <f>INDEX(V617:AG617,1,MATCH(Parametres!$B$3,V$1:AG$1,0))*IF(OR(C617="L",C617="S",C617="I"),-1,1)</f>
        <v>104</v>
      </c>
      <c r="AY617" s="598" t="s">
        <v>337</v>
      </c>
      <c r="AZ617" s="598" t="str">
        <f>+VLOOKUP($AJ617,Data_Validation!$A:$E,5,0)</f>
        <v>Oui</v>
      </c>
    </row>
    <row r="618" spans="1:52" ht="15" customHeight="1">
      <c r="A618" s="832" t="s">
        <v>1150</v>
      </c>
      <c r="B618" s="832">
        <v>2026</v>
      </c>
      <c r="C618" s="832" t="s">
        <v>2373</v>
      </c>
      <c r="D618" s="832" t="s">
        <v>2374</v>
      </c>
      <c r="E618" s="832" t="s">
        <v>2368</v>
      </c>
      <c r="F618" s="832" t="s">
        <v>2226</v>
      </c>
      <c r="G618" s="832">
        <v>47640.78</v>
      </c>
      <c r="H618" s="832">
        <v>98634.53</v>
      </c>
      <c r="I618" s="832">
        <v>152786.31</v>
      </c>
      <c r="J618" s="832">
        <v>232623.8</v>
      </c>
      <c r="K618" s="832">
        <v>300752</v>
      </c>
      <c r="L618" s="832">
        <v>304027.78999999998</v>
      </c>
      <c r="M618" s="832">
        <v>304027.78999999998</v>
      </c>
      <c r="N618" s="832">
        <v>304027.78999999998</v>
      </c>
      <c r="O618" s="832">
        <v>0</v>
      </c>
      <c r="P618" s="832">
        <v>0</v>
      </c>
      <c r="Q618" s="832">
        <v>0</v>
      </c>
      <c r="R618" s="832">
        <v>0</v>
      </c>
      <c r="S618" s="832">
        <v>43432.54</v>
      </c>
      <c r="T618" s="832">
        <v>43432.54</v>
      </c>
      <c r="U618" s="832">
        <v>0</v>
      </c>
      <c r="V618" s="832">
        <v>397</v>
      </c>
      <c r="W618" s="832">
        <v>784</v>
      </c>
      <c r="X618" s="832">
        <v>1173</v>
      </c>
      <c r="Y618" s="832">
        <v>1806</v>
      </c>
      <c r="Z618" s="832">
        <v>2341</v>
      </c>
      <c r="AA618" s="832">
        <v>2362</v>
      </c>
      <c r="AB618" s="832">
        <v>2362</v>
      </c>
      <c r="AC618" s="832">
        <v>2362</v>
      </c>
      <c r="AD618" s="832">
        <v>0</v>
      </c>
      <c r="AE618" s="832">
        <v>0</v>
      </c>
      <c r="AF618" s="832">
        <v>0</v>
      </c>
      <c r="AG618" s="832">
        <v>0</v>
      </c>
      <c r="AH618" s="832">
        <v>337</v>
      </c>
      <c r="AI618" s="832">
        <v>337</v>
      </c>
      <c r="AJ618" s="1030" t="str">
        <f t="shared" si="60"/>
        <v>H35400</v>
      </c>
      <c r="AK618" s="1030" t="str">
        <f t="shared" si="61"/>
        <v>VTE PCS B.R CLIENT - MEC</v>
      </c>
      <c r="AL618" s="1030" t="str">
        <f>IFERROR(INDEX(G618:R618,1,MATCH(Parametres!$B$3,G$1:R$1,0)-1)*IF(OR(F618="L",F618="S",F618="I"),-1,1),"")</f>
        <v/>
      </c>
      <c r="AM618" s="1030">
        <f t="shared" si="56"/>
        <v>-47640.78</v>
      </c>
      <c r="AN618" s="1030">
        <f>INDEX(G618:R618,1,MATCH(Parametres!$B$3,G$1:R$1,0))*IF(OR(F618="L",F618="S",F618="I"),-1,1)</f>
        <v>-47640.78</v>
      </c>
      <c r="AO618" s="598" t="str">
        <f>+VLOOKUP($AJ618,Data_Validation!$A:$D,1,0)</f>
        <v>H35400</v>
      </c>
      <c r="AP618" s="598" t="str">
        <f>+VLOOKUP($AJ618,Data_Validation!$A:$D,3,0)</f>
        <v>Pièces</v>
      </c>
      <c r="AQ618" s="598" t="str">
        <f>+VLOOKUP($AJ618,Data_Validation!$A:$D,4,0)</f>
        <v>Pièces Ro Clients</v>
      </c>
      <c r="AR618" s="598" t="s">
        <v>299</v>
      </c>
      <c r="AS618" s="598" t="str">
        <f>+VLOOKUP($AJ618,Data_Validation!$A:$E,5,0)</f>
        <v>Oui</v>
      </c>
      <c r="AT618" s="1036" t="str">
        <f t="shared" si="57"/>
        <v>H35400</v>
      </c>
      <c r="AU618" s="599" t="str">
        <f t="shared" si="58"/>
        <v>VTE PCS B.R CLIENT - MEC</v>
      </c>
      <c r="AV618" s="1030" t="str">
        <f>IFERROR(INDEX(V618:AG618,1,MATCH(Parametres!$B$3,V$1:AG$1,0)-1)*IF(OR(C618="L",C618="S",C618="I"),-1,1),"")</f>
        <v/>
      </c>
      <c r="AW618" s="1030">
        <f t="shared" si="59"/>
        <v>397</v>
      </c>
      <c r="AX618" s="1030">
        <f>INDEX(V618:AG618,1,MATCH(Parametres!$B$3,V$1:AG$1,0))*IF(OR(C618="L",C618="S",C618="I"),-1,1)</f>
        <v>397</v>
      </c>
      <c r="AY618" s="598" t="s">
        <v>337</v>
      </c>
      <c r="AZ618" s="598" t="str">
        <f>+VLOOKUP($AJ618,Data_Validation!$A:$E,5,0)</f>
        <v>Oui</v>
      </c>
    </row>
    <row r="619" spans="1:52" ht="15" customHeight="1">
      <c r="A619" s="832" t="s">
        <v>1150</v>
      </c>
      <c r="B619" s="832">
        <v>2026</v>
      </c>
      <c r="C619" s="832" t="s">
        <v>2375</v>
      </c>
      <c r="D619" s="832" t="s">
        <v>2376</v>
      </c>
      <c r="E619" s="832" t="s">
        <v>2368</v>
      </c>
      <c r="F619" s="832" t="s">
        <v>2226</v>
      </c>
      <c r="G619" s="832">
        <v>0</v>
      </c>
      <c r="H619" s="832">
        <v>0</v>
      </c>
      <c r="I619" s="832">
        <v>0</v>
      </c>
      <c r="J619" s="832">
        <v>0</v>
      </c>
      <c r="K619" s="832">
        <v>0</v>
      </c>
      <c r="L619" s="832">
        <v>0</v>
      </c>
      <c r="M619" s="832">
        <v>0</v>
      </c>
      <c r="N619" s="832">
        <v>0</v>
      </c>
      <c r="O619" s="832">
        <v>0</v>
      </c>
      <c r="P619" s="832">
        <v>0</v>
      </c>
      <c r="Q619" s="832">
        <v>0</v>
      </c>
      <c r="R619" s="832">
        <v>0</v>
      </c>
      <c r="S619" s="832">
        <v>0</v>
      </c>
      <c r="T619" s="832">
        <v>0</v>
      </c>
      <c r="U619" s="832">
        <v>0</v>
      </c>
      <c r="V619" s="832">
        <v>0</v>
      </c>
      <c r="W619" s="832">
        <v>0</v>
      </c>
      <c r="X619" s="832">
        <v>0</v>
      </c>
      <c r="Y619" s="832">
        <v>0</v>
      </c>
      <c r="Z619" s="832">
        <v>0</v>
      </c>
      <c r="AA619" s="832">
        <v>0</v>
      </c>
      <c r="AB619" s="832">
        <v>0</v>
      </c>
      <c r="AC619" s="832">
        <v>0</v>
      </c>
      <c r="AD619" s="832">
        <v>0</v>
      </c>
      <c r="AE619" s="832">
        <v>0</v>
      </c>
      <c r="AF619" s="832">
        <v>0</v>
      </c>
      <c r="AG619" s="832">
        <v>0</v>
      </c>
      <c r="AH619" s="832">
        <v>0</v>
      </c>
      <c r="AI619" s="832">
        <v>0</v>
      </c>
      <c r="AJ619" s="1030" t="str">
        <f t="shared" si="60"/>
        <v>H35410</v>
      </c>
      <c r="AK619" s="1030" t="str">
        <f t="shared" si="61"/>
        <v>VTE PIECES DETAIL HPP</v>
      </c>
      <c r="AL619" s="1030" t="str">
        <f>IFERROR(INDEX(G619:R619,1,MATCH(Parametres!$B$3,G$1:R$1,0)-1)*IF(OR(F619="L",F619="S",F619="I"),-1,1),"")</f>
        <v/>
      </c>
      <c r="AM619" s="1030">
        <f t="shared" si="56"/>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t="str">
        <f t="shared" si="57"/>
        <v>H35410</v>
      </c>
      <c r="AU619" s="599" t="str">
        <f t="shared" si="58"/>
        <v>VTE PIECES DETAIL HPP</v>
      </c>
      <c r="AV619" s="1030" t="str">
        <f>IFERROR(INDEX(V619:AG619,1,MATCH(Parametres!$B$3,V$1:AG$1,0)-1)*IF(OR(C619="L",C619="S",C619="I"),-1,1),"")</f>
        <v/>
      </c>
      <c r="AW619" s="1030">
        <f t="shared" si="59"/>
        <v>0</v>
      </c>
      <c r="AX619" s="1030">
        <f>INDEX(V619:AG619,1,MATCH(Parametres!$B$3,V$1:AG$1,0))*IF(OR(C619="L",C619="S",C619="I"),-1,1)</f>
        <v>0</v>
      </c>
      <c r="AY619" s="598" t="s">
        <v>337</v>
      </c>
      <c r="AZ619" s="598" t="e">
        <f>+VLOOKUP($AJ619,Data_Validation!$A:$E,5,0)</f>
        <v>#N/A</v>
      </c>
    </row>
    <row r="620" spans="1:52" ht="15" customHeight="1">
      <c r="A620" s="832" t="s">
        <v>1150</v>
      </c>
      <c r="B620" s="832">
        <v>2026</v>
      </c>
      <c r="C620" s="832" t="s">
        <v>2377</v>
      </c>
      <c r="D620" s="832" t="s">
        <v>2378</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30" t="str">
        <f t="shared" si="60"/>
        <v>H35500</v>
      </c>
      <c r="AK620" s="1030" t="str">
        <f t="shared" si="61"/>
        <v>VTE PCS B.R CLIENT - CARR</v>
      </c>
      <c r="AL620" s="1030" t="str">
        <f>IFERROR(INDEX(G620:R620,1,MATCH(Parametres!$B$3,G$1:R$1,0)-1)*IF(OR(F620="L",F620="S",F620="I"),-1,1),"")</f>
        <v/>
      </c>
      <c r="AM620" s="1030">
        <f t="shared" si="56"/>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t="str">
        <f t="shared" si="57"/>
        <v>H35500</v>
      </c>
      <c r="AU620" s="599" t="str">
        <f t="shared" si="58"/>
        <v>VTE PCS B.R CLIENT - CARR</v>
      </c>
      <c r="AV620" s="1030" t="str">
        <f>IFERROR(INDEX(V620:AG620,1,MATCH(Parametres!$B$3,V$1:AG$1,0)-1)*IF(OR(C620="L",C620="S",C620="I"),-1,1),"")</f>
        <v/>
      </c>
      <c r="AW620" s="1030">
        <f t="shared" si="59"/>
        <v>0</v>
      </c>
      <c r="AX620" s="1030">
        <f>INDEX(V620:AG620,1,MATCH(Parametres!$B$3,V$1:AG$1,0))*IF(OR(C620="L",C620="S",C620="I"),-1,1)</f>
        <v>0</v>
      </c>
      <c r="AY620" s="598" t="s">
        <v>337</v>
      </c>
      <c r="AZ620" s="598" t="e">
        <f>+VLOOKUP($AJ620,Data_Validation!$A:$E,5,0)</f>
        <v>#N/A</v>
      </c>
    </row>
    <row r="621" spans="1:52" ht="15" customHeight="1">
      <c r="A621" s="832" t="s">
        <v>1150</v>
      </c>
      <c r="B621" s="832">
        <v>2026</v>
      </c>
      <c r="C621" s="832" t="s">
        <v>2379</v>
      </c>
      <c r="D621" s="832" t="s">
        <v>2380</v>
      </c>
      <c r="E621" s="832" t="s">
        <v>2368</v>
      </c>
      <c r="F621" s="832" t="s">
        <v>2226</v>
      </c>
      <c r="G621" s="832">
        <v>200449.43</v>
      </c>
      <c r="H621" s="832">
        <v>354832.46</v>
      </c>
      <c r="I621" s="832">
        <v>501874.43</v>
      </c>
      <c r="J621" s="832">
        <v>546966.81000000006</v>
      </c>
      <c r="K621" s="832">
        <v>617560.9</v>
      </c>
      <c r="L621" s="832">
        <v>624287.31000000006</v>
      </c>
      <c r="M621" s="832">
        <v>624287.31000000006</v>
      </c>
      <c r="N621" s="832">
        <v>624287.31000000006</v>
      </c>
      <c r="O621" s="832">
        <v>0</v>
      </c>
      <c r="P621" s="832">
        <v>0</v>
      </c>
      <c r="Q621" s="832">
        <v>0</v>
      </c>
      <c r="R621" s="832">
        <v>0</v>
      </c>
      <c r="S621" s="832">
        <v>89183.9</v>
      </c>
      <c r="T621" s="832">
        <v>89183.9</v>
      </c>
      <c r="U621" s="832">
        <v>0</v>
      </c>
      <c r="V621" s="832">
        <v>242</v>
      </c>
      <c r="W621" s="832">
        <v>451</v>
      </c>
      <c r="X621" s="832">
        <v>630</v>
      </c>
      <c r="Y621" s="832">
        <v>707</v>
      </c>
      <c r="Z621" s="832">
        <v>829</v>
      </c>
      <c r="AA621" s="832">
        <v>835</v>
      </c>
      <c r="AB621" s="832">
        <v>835</v>
      </c>
      <c r="AC621" s="832">
        <v>835</v>
      </c>
      <c r="AD621" s="832">
        <v>0</v>
      </c>
      <c r="AE621" s="832">
        <v>0</v>
      </c>
      <c r="AF621" s="832">
        <v>0</v>
      </c>
      <c r="AG621" s="832">
        <v>0</v>
      </c>
      <c r="AH621" s="832">
        <v>119</v>
      </c>
      <c r="AI621" s="832">
        <v>119</v>
      </c>
      <c r="AJ621" s="1030" t="str">
        <f t="shared" si="60"/>
        <v>H35600</v>
      </c>
      <c r="AK621" s="1030" t="str">
        <f t="shared" si="61"/>
        <v>VTE PCS B.R GARANTIE -MEC</v>
      </c>
      <c r="AL621" s="1030" t="str">
        <f>IFERROR(INDEX(G621:R621,1,MATCH(Parametres!$B$3,G$1:R$1,0)-1)*IF(OR(F621="L",F621="S",F621="I"),-1,1),"")</f>
        <v/>
      </c>
      <c r="AM621" s="1030">
        <f t="shared" si="56"/>
        <v>-200449.43</v>
      </c>
      <c r="AN621" s="1030">
        <f>INDEX(G621:R621,1,MATCH(Parametres!$B$3,G$1:R$1,0))*IF(OR(F621="L",F621="S",F621="I"),-1,1)</f>
        <v>-200449.43</v>
      </c>
      <c r="AO621" s="598" t="str">
        <f>+VLOOKUP($AJ621,Data_Validation!$A:$D,1,0)</f>
        <v>H35600</v>
      </c>
      <c r="AP621" s="598" t="str">
        <f>+VLOOKUP($AJ621,Data_Validation!$A:$D,3,0)</f>
        <v>Pièces</v>
      </c>
      <c r="AQ621" s="598" t="str">
        <f>+VLOOKUP($AJ621,Data_Validation!$A:$D,4,0)</f>
        <v>P/A Garantie</v>
      </c>
      <c r="AR621" s="598" t="s">
        <v>299</v>
      </c>
      <c r="AS621" s="598" t="str">
        <f>+VLOOKUP($AJ621,Data_Validation!$A:$E,5,0)</f>
        <v>Oui</v>
      </c>
      <c r="AT621" s="1036" t="str">
        <f t="shared" si="57"/>
        <v>H35600</v>
      </c>
      <c r="AU621" s="599" t="str">
        <f t="shared" si="58"/>
        <v>VTE PCS B.R GARANTIE -MEC</v>
      </c>
      <c r="AV621" s="1030" t="str">
        <f>IFERROR(INDEX(V621:AG621,1,MATCH(Parametres!$B$3,V$1:AG$1,0)-1)*IF(OR(C621="L",C621="S",C621="I"),-1,1),"")</f>
        <v/>
      </c>
      <c r="AW621" s="1030">
        <f t="shared" si="59"/>
        <v>242</v>
      </c>
      <c r="AX621" s="1030">
        <f>INDEX(V621:AG621,1,MATCH(Parametres!$B$3,V$1:AG$1,0))*IF(OR(C621="L",C621="S",C621="I"),-1,1)</f>
        <v>242</v>
      </c>
      <c r="AY621" s="598" t="s">
        <v>337</v>
      </c>
      <c r="AZ621" s="598" t="str">
        <f>+VLOOKUP($AJ621,Data_Validation!$A:$E,5,0)</f>
        <v>Oui</v>
      </c>
    </row>
    <row r="622" spans="1:52" ht="15" customHeight="1">
      <c r="A622" s="832" t="s">
        <v>1150</v>
      </c>
      <c r="B622" s="832">
        <v>2026</v>
      </c>
      <c r="C622" s="832" t="s">
        <v>2381</v>
      </c>
      <c r="D622" s="832" t="s">
        <v>2382</v>
      </c>
      <c r="E622" s="832" t="s">
        <v>2368</v>
      </c>
      <c r="F622" s="832" t="s">
        <v>2226</v>
      </c>
      <c r="G622" s="832">
        <v>15763.85</v>
      </c>
      <c r="H622" s="832">
        <v>24281.4</v>
      </c>
      <c r="I622" s="832">
        <v>42860.67</v>
      </c>
      <c r="J622" s="832">
        <v>63814.3</v>
      </c>
      <c r="K622" s="832">
        <v>78976.17</v>
      </c>
      <c r="L622" s="832">
        <v>79234.16</v>
      </c>
      <c r="M622" s="832">
        <v>79234.16</v>
      </c>
      <c r="N622" s="832">
        <v>79234.16</v>
      </c>
      <c r="O622" s="832">
        <v>0</v>
      </c>
      <c r="P622" s="832">
        <v>0</v>
      </c>
      <c r="Q622" s="832">
        <v>0</v>
      </c>
      <c r="R622" s="832">
        <v>0</v>
      </c>
      <c r="S622" s="832">
        <v>11319.17</v>
      </c>
      <c r="T622" s="832">
        <v>11319.17</v>
      </c>
      <c r="U622" s="832">
        <v>0</v>
      </c>
      <c r="V622" s="832">
        <v>115</v>
      </c>
      <c r="W622" s="832">
        <v>196</v>
      </c>
      <c r="X622" s="832">
        <v>308</v>
      </c>
      <c r="Y622" s="832">
        <v>411</v>
      </c>
      <c r="Z622" s="832">
        <v>499</v>
      </c>
      <c r="AA622" s="832">
        <v>506</v>
      </c>
      <c r="AB622" s="832">
        <v>506</v>
      </c>
      <c r="AC622" s="832">
        <v>506</v>
      </c>
      <c r="AD622" s="832">
        <v>0</v>
      </c>
      <c r="AE622" s="832">
        <v>0</v>
      </c>
      <c r="AF622" s="832">
        <v>0</v>
      </c>
      <c r="AG622" s="832">
        <v>0</v>
      </c>
      <c r="AH622" s="832">
        <v>72</v>
      </c>
      <c r="AI622" s="832">
        <v>72</v>
      </c>
      <c r="AJ622" s="1030" t="str">
        <f t="shared" si="60"/>
        <v>H35800</v>
      </c>
      <c r="AK622" s="1030" t="str">
        <f t="shared" si="61"/>
        <v>VTE PCS B.R INTERNE -MEC</v>
      </c>
      <c r="AL622" s="1030" t="str">
        <f>IFERROR(INDEX(G622:R622,1,MATCH(Parametres!$B$3,G$1:R$1,0)-1)*IF(OR(F622="L",F622="S",F622="I"),-1,1),"")</f>
        <v/>
      </c>
      <c r="AM622" s="1030">
        <f t="shared" si="56"/>
        <v>-15763.85</v>
      </c>
      <c r="AN622" s="1030">
        <f>INDEX(G622:R622,1,MATCH(Parametres!$B$3,G$1:R$1,0))*IF(OR(F622="L",F622="S",F622="I"),-1,1)</f>
        <v>-15763.85</v>
      </c>
      <c r="AO622" s="598" t="str">
        <f>+VLOOKUP($AJ622,Data_Validation!$A:$D,1,0)</f>
        <v>H35800</v>
      </c>
      <c r="AP622" s="598" t="str">
        <f>+VLOOKUP($AJ622,Data_Validation!$A:$D,3,0)</f>
        <v>Pièces</v>
      </c>
      <c r="AQ622" s="598" t="str">
        <f>+VLOOKUP($AJ622,Data_Validation!$A:$D,4,0)</f>
        <v>Ventes Internes</v>
      </c>
      <c r="AR622" s="598" t="s">
        <v>299</v>
      </c>
      <c r="AS622" s="598" t="str">
        <f>+VLOOKUP($AJ622,Data_Validation!$A:$E,5,0)</f>
        <v>Oui</v>
      </c>
      <c r="AT622" s="1036" t="str">
        <f t="shared" si="57"/>
        <v>H35800</v>
      </c>
      <c r="AU622" s="599" t="str">
        <f t="shared" si="58"/>
        <v>VTE PCS B.R INTERNE -MEC</v>
      </c>
      <c r="AV622" s="1030" t="str">
        <f>IFERROR(INDEX(V622:AG622,1,MATCH(Parametres!$B$3,V$1:AG$1,0)-1)*IF(OR(C622="L",C622="S",C622="I"),-1,1),"")</f>
        <v/>
      </c>
      <c r="AW622" s="1030">
        <f t="shared" si="59"/>
        <v>115</v>
      </c>
      <c r="AX622" s="1030">
        <f>INDEX(V622:AG622,1,MATCH(Parametres!$B$3,V$1:AG$1,0))*IF(OR(C622="L",C622="S",C622="I"),-1,1)</f>
        <v>115</v>
      </c>
      <c r="AY622" s="598" t="s">
        <v>337</v>
      </c>
      <c r="AZ622" s="598" t="str">
        <f>+VLOOKUP($AJ622,Data_Validation!$A:$E,5,0)</f>
        <v>Oui</v>
      </c>
    </row>
    <row r="623" spans="1:52" ht="15" customHeight="1">
      <c r="A623" s="832" t="s">
        <v>1150</v>
      </c>
      <c r="B623" s="832">
        <v>2026</v>
      </c>
      <c r="C623" s="832" t="s">
        <v>2383</v>
      </c>
      <c r="D623" s="832" t="s">
        <v>2384</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H36000</v>
      </c>
      <c r="AK623" s="1030" t="str">
        <f t="shared" si="61"/>
        <v>VTE PIECES DIVERSES (AUTO</v>
      </c>
      <c r="AL623" s="1030" t="str">
        <f>IFERROR(INDEX(G623:R623,1,MATCH(Parametres!$B$3,G$1:R$1,0)-1)*IF(OR(F623="L",F623="S",F623="I"),-1,1),"")</f>
        <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H36000</v>
      </c>
      <c r="AU623" s="599" t="str">
        <f t="shared" si="58"/>
        <v>VTE PIECES DIVERSES (AUTO</v>
      </c>
      <c r="AV623" s="1030" t="str">
        <f>IFERROR(INDEX(V623:AG623,1,MATCH(Parametres!$B$3,V$1:AG$1,0)-1)*IF(OR(C623="L",C623="S",C623="I"),-1,1),"")</f>
        <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2026</v>
      </c>
      <c r="C624" s="832" t="s">
        <v>2385</v>
      </c>
      <c r="D624" s="832" t="s">
        <v>2386</v>
      </c>
      <c r="E624" s="832" t="s">
        <v>2368</v>
      </c>
      <c r="F624" s="832" t="s">
        <v>2226</v>
      </c>
      <c r="G624" s="832">
        <v>61424.61</v>
      </c>
      <c r="H624" s="832">
        <v>103973.57</v>
      </c>
      <c r="I624" s="832">
        <v>147490.38</v>
      </c>
      <c r="J624" s="832">
        <v>214488.47</v>
      </c>
      <c r="K624" s="832">
        <v>259568.2</v>
      </c>
      <c r="L624" s="832">
        <v>261555</v>
      </c>
      <c r="M624" s="832">
        <v>261555</v>
      </c>
      <c r="N624" s="832">
        <v>261555</v>
      </c>
      <c r="O624" s="832">
        <v>0</v>
      </c>
      <c r="P624" s="832">
        <v>0</v>
      </c>
      <c r="Q624" s="832">
        <v>0</v>
      </c>
      <c r="R624" s="832">
        <v>0</v>
      </c>
      <c r="S624" s="832">
        <v>37365</v>
      </c>
      <c r="T624" s="832">
        <v>37365</v>
      </c>
      <c r="U624" s="832">
        <v>0</v>
      </c>
      <c r="V624" s="832">
        <v>75</v>
      </c>
      <c r="W624" s="832">
        <v>123</v>
      </c>
      <c r="X624" s="832">
        <v>176</v>
      </c>
      <c r="Y624" s="832">
        <v>267</v>
      </c>
      <c r="Z624" s="832">
        <v>328</v>
      </c>
      <c r="AA624" s="832">
        <v>330</v>
      </c>
      <c r="AB624" s="832">
        <v>330</v>
      </c>
      <c r="AC624" s="832">
        <v>330</v>
      </c>
      <c r="AD624" s="832">
        <v>0</v>
      </c>
      <c r="AE624" s="832">
        <v>0</v>
      </c>
      <c r="AF624" s="832">
        <v>0</v>
      </c>
      <c r="AG624" s="832">
        <v>0</v>
      </c>
      <c r="AH624" s="832">
        <v>47</v>
      </c>
      <c r="AI624" s="832">
        <v>47</v>
      </c>
      <c r="AJ624" s="1030" t="str">
        <f t="shared" si="60"/>
        <v>H36200</v>
      </c>
      <c r="AK624" s="1030" t="str">
        <f t="shared" si="61"/>
        <v>VTE PNEUS</v>
      </c>
      <c r="AL624" s="1030" t="str">
        <f>IFERROR(INDEX(G624:R624,1,MATCH(Parametres!$B$3,G$1:R$1,0)-1)*IF(OR(F624="L",F624="S",F624="I"),-1,1),"")</f>
        <v/>
      </c>
      <c r="AM624" s="1030">
        <f t="shared" si="56"/>
        <v>-61424.61</v>
      </c>
      <c r="AN624" s="1030">
        <f>INDEX(G624:R624,1,MATCH(Parametres!$B$3,G$1:R$1,0))*IF(OR(F624="L",F624="S",F624="I"),-1,1)</f>
        <v>-61424.61</v>
      </c>
      <c r="AO624" s="598" t="str">
        <f>+VLOOKUP($AJ624,Data_Validation!$A:$D,1,0)</f>
        <v>H36200</v>
      </c>
      <c r="AP624" s="598" t="str">
        <f>+VLOOKUP($AJ624,Data_Validation!$A:$D,3,0)</f>
        <v>Pièces</v>
      </c>
      <c r="AQ624" s="598" t="str">
        <f>+VLOOKUP($AJ624,Data_Validation!$A:$D,4,0)</f>
        <v>Ventes Pneus</v>
      </c>
      <c r="AR624" s="598" t="s">
        <v>299</v>
      </c>
      <c r="AS624" s="598" t="str">
        <f>+VLOOKUP($AJ624,Data_Validation!$A:$E,5,0)</f>
        <v>Oui</v>
      </c>
      <c r="AT624" s="1036" t="str">
        <f t="shared" si="57"/>
        <v>H36200</v>
      </c>
      <c r="AU624" s="599" t="str">
        <f t="shared" si="58"/>
        <v>VTE PNEUS</v>
      </c>
      <c r="AV624" s="1030" t="str">
        <f>IFERROR(INDEX(V624:AG624,1,MATCH(Parametres!$B$3,V$1:AG$1,0)-1)*IF(OR(C624="L",C624="S",C624="I"),-1,1),"")</f>
        <v/>
      </c>
      <c r="AW624" s="1030">
        <f t="shared" si="59"/>
        <v>75</v>
      </c>
      <c r="AX624" s="1030">
        <f>INDEX(V624:AG624,1,MATCH(Parametres!$B$3,V$1:AG$1,0))*IF(OR(C624="L",C624="S",C624="I"),-1,1)</f>
        <v>75</v>
      </c>
      <c r="AY624" s="598" t="s">
        <v>337</v>
      </c>
      <c r="AZ624" s="598" t="str">
        <f>+VLOOKUP($AJ624,Data_Validation!$A:$E,5,0)</f>
        <v>Oui</v>
      </c>
    </row>
    <row r="625" spans="1:52" ht="15" customHeight="1">
      <c r="A625" s="832" t="s">
        <v>1150</v>
      </c>
      <c r="B625" s="832">
        <v>2026</v>
      </c>
      <c r="C625" s="832" t="s">
        <v>2387</v>
      </c>
      <c r="D625" s="832" t="s">
        <v>2388</v>
      </c>
      <c r="E625" s="832" t="s">
        <v>333</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H36300</v>
      </c>
      <c r="AK625" s="1030" t="str">
        <f t="shared" si="61"/>
        <v>ESCOMPTE PIECES (M.S.O)</v>
      </c>
      <c r="AL625" s="1030" t="str">
        <f>IFERROR(INDEX(G625:R625,1,MATCH(Parametres!$B$3,G$1:R$1,0)-1)*IF(OR(F625="L",F625="S",F625="I"),-1,1),"")</f>
        <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H36300</v>
      </c>
      <c r="AU625" s="599" t="str">
        <f t="shared" si="58"/>
        <v>ESCOMPTE PIECES (M.S.O)</v>
      </c>
      <c r="AV625" s="1030" t="str">
        <f>IFERROR(INDEX(V625:AG625,1,MATCH(Parametres!$B$3,V$1:AG$1,0)-1)*IF(OR(C625="L",C625="S",C625="I"),-1,1),"")</f>
        <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2026</v>
      </c>
      <c r="C626" s="832" t="s">
        <v>2389</v>
      </c>
      <c r="D626" s="832" t="s">
        <v>2390</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30" t="str">
        <f t="shared" si="60"/>
        <v>H36400</v>
      </c>
      <c r="AK626" s="1030" t="str">
        <f t="shared" si="61"/>
        <v>REGULARISATION D INV.</v>
      </c>
      <c r="AL626" s="1030" t="str">
        <f>IFERROR(INDEX(G626:R626,1,MATCH(Parametres!$B$3,G$1:R$1,0)-1)*IF(OR(F626="L",F626="S",F626="I"),-1,1),"")</f>
        <v/>
      </c>
      <c r="AM626" s="1030">
        <f t="shared" si="56"/>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t="str">
        <f t="shared" si="57"/>
        <v>H36400</v>
      </c>
      <c r="AU626" s="599" t="str">
        <f t="shared" si="58"/>
        <v>REGULARISATION D INV.</v>
      </c>
      <c r="AV626" s="1030" t="str">
        <f>IFERROR(INDEX(V626:AG626,1,MATCH(Parametres!$B$3,V$1:AG$1,0)-1)*IF(OR(C626="L",C626="S",C626="I"),-1,1),"")</f>
        <v/>
      </c>
      <c r="AW626" s="1030">
        <f t="shared" si="59"/>
        <v>0</v>
      </c>
      <c r="AX626" s="1030">
        <f>INDEX(V626:AG626,1,MATCH(Parametres!$B$3,V$1:AG$1,0))*IF(OR(C626="L",C626="S",C626="I"),-1,1)</f>
        <v>0</v>
      </c>
      <c r="AY626" s="598" t="s">
        <v>337</v>
      </c>
      <c r="AZ626" s="598" t="e">
        <f>+VLOOKUP($AJ626,Data_Validation!$A:$E,5,0)</f>
        <v>#N/A</v>
      </c>
    </row>
    <row r="627" spans="1:52" ht="15" customHeight="1">
      <c r="A627" s="832" t="s">
        <v>1150</v>
      </c>
      <c r="B627" s="832">
        <v>2026</v>
      </c>
      <c r="C627" s="832" t="s">
        <v>2391</v>
      </c>
      <c r="D627" s="832" t="s">
        <v>2392</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H36500</v>
      </c>
      <c r="AK627" s="1030" t="str">
        <f t="shared" si="61"/>
        <v>VTE FOURN CARR/PEINTURE</v>
      </c>
      <c r="AL627" s="1030" t="str">
        <f>IFERROR(INDEX(G627:R627,1,MATCH(Parametres!$B$3,G$1:R$1,0)-1)*IF(OR(F627="L",F627="S",F627="I"),-1,1),"")</f>
        <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H36500</v>
      </c>
      <c r="AU627" s="599" t="str">
        <f t="shared" si="58"/>
        <v>VTE FOURN CARR/PEINTURE</v>
      </c>
      <c r="AV627" s="1030" t="str">
        <f>IFERROR(INDEX(V627:AG627,1,MATCH(Parametres!$B$3,V$1:AG$1,0)-1)*IF(OR(C627="L",C627="S",C627="I"),-1,1),"")</f>
        <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2026</v>
      </c>
      <c r="C628" s="832" t="s">
        <v>2393</v>
      </c>
      <c r="D628" s="832" t="s">
        <v>2394</v>
      </c>
      <c r="E628" s="832" t="s">
        <v>2368</v>
      </c>
      <c r="F628" s="832" t="s">
        <v>2226</v>
      </c>
      <c r="G628" s="832">
        <v>64654.93</v>
      </c>
      <c r="H628" s="832">
        <v>128939.58</v>
      </c>
      <c r="I628" s="832">
        <v>206728.61</v>
      </c>
      <c r="J628" s="832">
        <v>363122.98</v>
      </c>
      <c r="K628" s="832">
        <v>487157.03</v>
      </c>
      <c r="L628" s="832">
        <v>491795.82</v>
      </c>
      <c r="M628" s="832">
        <v>491795.82</v>
      </c>
      <c r="N628" s="832">
        <v>491795.82</v>
      </c>
      <c r="O628" s="832">
        <v>0</v>
      </c>
      <c r="P628" s="832">
        <v>0</v>
      </c>
      <c r="Q628" s="832">
        <v>0</v>
      </c>
      <c r="R628" s="832">
        <v>0</v>
      </c>
      <c r="S628" s="832">
        <v>70256.55</v>
      </c>
      <c r="T628" s="832">
        <v>70256.55</v>
      </c>
      <c r="U628" s="832">
        <v>0</v>
      </c>
      <c r="V628" s="832">
        <v>569</v>
      </c>
      <c r="W628" s="832">
        <v>1123</v>
      </c>
      <c r="X628" s="832">
        <v>1695</v>
      </c>
      <c r="Y628" s="832">
        <v>2702</v>
      </c>
      <c r="Z628" s="832">
        <v>3511</v>
      </c>
      <c r="AA628" s="832">
        <v>3544</v>
      </c>
      <c r="AB628" s="832">
        <v>3544</v>
      </c>
      <c r="AC628" s="832">
        <v>3544</v>
      </c>
      <c r="AD628" s="832">
        <v>0</v>
      </c>
      <c r="AE628" s="832">
        <v>0</v>
      </c>
      <c r="AF628" s="832">
        <v>0</v>
      </c>
      <c r="AG628" s="832">
        <v>0</v>
      </c>
      <c r="AH628" s="832">
        <v>506</v>
      </c>
      <c r="AI628" s="832">
        <v>506</v>
      </c>
      <c r="AJ628" s="1030" t="str">
        <f t="shared" si="60"/>
        <v>H37000</v>
      </c>
      <c r="AK628" s="1030" t="str">
        <f t="shared" si="61"/>
        <v>VTE M.O B.R CLIENT- MEC.</v>
      </c>
      <c r="AL628" s="1030" t="str">
        <f>IFERROR(INDEX(G628:R628,1,MATCH(Parametres!$B$3,G$1:R$1,0)-1)*IF(OR(F628="L",F628="S",F628="I"),-1,1),"")</f>
        <v/>
      </c>
      <c r="AM628" s="1030">
        <f t="shared" si="56"/>
        <v>-64654.93</v>
      </c>
      <c r="AN628" s="1030">
        <f>INDEX(G628:R628,1,MATCH(Parametres!$B$3,G$1:R$1,0))*IF(OR(F628="L",F628="S",F628="I"),-1,1)</f>
        <v>-64654.93</v>
      </c>
      <c r="AO628" s="598" t="str">
        <f>+VLOOKUP($AJ628,Data_Validation!$A:$D,1,0)</f>
        <v>H37000</v>
      </c>
      <c r="AP628" s="598" t="str">
        <f>+VLOOKUP($AJ628,Data_Validation!$A:$D,3,0)</f>
        <v>Service</v>
      </c>
      <c r="AQ628" s="598" t="str">
        <f>+VLOOKUP($AJ628,Data_Validation!$A:$D,4,0)</f>
        <v>M/O Client</v>
      </c>
      <c r="AR628" s="598" t="s">
        <v>299</v>
      </c>
      <c r="AS628" s="598" t="str">
        <f>+VLOOKUP($AJ628,Data_Validation!$A:$E,5,0)</f>
        <v>Oui</v>
      </c>
      <c r="AT628" s="1036" t="str">
        <f t="shared" si="57"/>
        <v>H37000</v>
      </c>
      <c r="AU628" s="599" t="str">
        <f t="shared" si="58"/>
        <v>VTE M.O B.R CLIENT- MEC.</v>
      </c>
      <c r="AV628" s="1030" t="str">
        <f>IFERROR(INDEX(V628:AG628,1,MATCH(Parametres!$B$3,V$1:AG$1,0)-1)*IF(OR(C628="L",C628="S",C628="I"),-1,1),"")</f>
        <v/>
      </c>
      <c r="AW628" s="1030">
        <f t="shared" si="59"/>
        <v>569</v>
      </c>
      <c r="AX628" s="1030">
        <f>INDEX(V628:AG628,1,MATCH(Parametres!$B$3,V$1:AG$1,0))*IF(OR(C628="L",C628="S",C628="I"),-1,1)</f>
        <v>569</v>
      </c>
      <c r="AY628" s="598" t="s">
        <v>337</v>
      </c>
      <c r="AZ628" s="598" t="str">
        <f>+VLOOKUP($AJ628,Data_Validation!$A:$E,5,0)</f>
        <v>Oui</v>
      </c>
    </row>
    <row r="629" spans="1:52" ht="15" customHeight="1">
      <c r="A629" s="832" t="s">
        <v>1150</v>
      </c>
      <c r="B629" s="832">
        <v>2026</v>
      </c>
      <c r="C629" s="832" t="s">
        <v>2395</v>
      </c>
      <c r="D629" s="832" t="s">
        <v>2396</v>
      </c>
      <c r="E629" s="832" t="s">
        <v>2368</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30" t="str">
        <f t="shared" si="60"/>
        <v>H37010</v>
      </c>
      <c r="AK629" s="1030" t="str">
        <f t="shared" si="61"/>
        <v>VTE MO HPP</v>
      </c>
      <c r="AL629" s="1030" t="str">
        <f>IFERROR(INDEX(G629:R629,1,MATCH(Parametres!$B$3,G$1:R$1,0)-1)*IF(OR(F629="L",F629="S",F629="I"),-1,1),"")</f>
        <v/>
      </c>
      <c r="AM629" s="1030">
        <f t="shared" si="56"/>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t="str">
        <f t="shared" si="57"/>
        <v>H37010</v>
      </c>
      <c r="AU629" s="599" t="str">
        <f t="shared" si="58"/>
        <v>VTE MO HPP</v>
      </c>
      <c r="AV629" s="1030" t="str">
        <f>IFERROR(INDEX(V629:AG629,1,MATCH(Parametres!$B$3,V$1:AG$1,0)-1)*IF(OR(C629="L",C629="S",C629="I"),-1,1),"")</f>
        <v/>
      </c>
      <c r="AW629" s="1030">
        <f t="shared" si="59"/>
        <v>0</v>
      </c>
      <c r="AX629" s="1030">
        <f>INDEX(V629:AG629,1,MATCH(Parametres!$B$3,V$1:AG$1,0))*IF(OR(C629="L",C629="S",C629="I"),-1,1)</f>
        <v>0</v>
      </c>
      <c r="AY629" s="598" t="s">
        <v>337</v>
      </c>
      <c r="AZ629" s="598" t="e">
        <f>+VLOOKUP($AJ629,Data_Validation!$A:$E,5,0)</f>
        <v>#N/A</v>
      </c>
    </row>
    <row r="630" spans="1:52" ht="15" customHeight="1">
      <c r="A630" s="832" t="s">
        <v>1150</v>
      </c>
      <c r="B630" s="832">
        <v>2026</v>
      </c>
      <c r="C630" s="832" t="s">
        <v>2397</v>
      </c>
      <c r="D630" s="832" t="s">
        <v>2398</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30" t="str">
        <f t="shared" si="60"/>
        <v>H37100</v>
      </c>
      <c r="AK630" s="1030" t="str">
        <f t="shared" si="61"/>
        <v>VTE M.O B.R CLIENT- CARR</v>
      </c>
      <c r="AL630" s="1030" t="str">
        <f>IFERROR(INDEX(G630:R630,1,MATCH(Parametres!$B$3,G$1:R$1,0)-1)*IF(OR(F630="L",F630="S",F630="I"),-1,1),"")</f>
        <v/>
      </c>
      <c r="AM630" s="1030">
        <f t="shared" si="56"/>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t="str">
        <f t="shared" si="57"/>
        <v>H37100</v>
      </c>
      <c r="AU630" s="599" t="str">
        <f t="shared" si="58"/>
        <v>VTE M.O B.R CLIENT- CARR</v>
      </c>
      <c r="AV630" s="1030" t="str">
        <f>IFERROR(INDEX(V630:AG630,1,MATCH(Parametres!$B$3,V$1:AG$1,0)-1)*IF(OR(C630="L",C630="S",C630="I"),-1,1),"")</f>
        <v/>
      </c>
      <c r="AW630" s="1030">
        <f t="shared" si="59"/>
        <v>0</v>
      </c>
      <c r="AX630" s="1030">
        <f>INDEX(V630:AG630,1,MATCH(Parametres!$B$3,V$1:AG$1,0))*IF(OR(C630="L",C630="S",C630="I"),-1,1)</f>
        <v>0</v>
      </c>
      <c r="AY630" s="598" t="s">
        <v>337</v>
      </c>
      <c r="AZ630" s="598" t="e">
        <f>+VLOOKUP($AJ630,Data_Validation!$A:$E,5,0)</f>
        <v>#N/A</v>
      </c>
    </row>
    <row r="631" spans="1:52" ht="15" customHeight="1">
      <c r="A631" s="832" t="s">
        <v>1150</v>
      </c>
      <c r="B631" s="832">
        <v>2026</v>
      </c>
      <c r="C631" s="832" t="s">
        <v>2399</v>
      </c>
      <c r="D631" s="832" t="s">
        <v>2400</v>
      </c>
      <c r="E631" s="832" t="s">
        <v>2368</v>
      </c>
      <c r="F631" s="832" t="s">
        <v>2226</v>
      </c>
      <c r="G631" s="832">
        <v>56610.18</v>
      </c>
      <c r="H631" s="832">
        <v>110003.58</v>
      </c>
      <c r="I631" s="832">
        <v>161309.23000000001</v>
      </c>
      <c r="J631" s="832">
        <v>180963.94</v>
      </c>
      <c r="K631" s="832">
        <v>209953.35</v>
      </c>
      <c r="L631" s="832">
        <v>211381.83</v>
      </c>
      <c r="M631" s="832">
        <v>211381.83</v>
      </c>
      <c r="N631" s="832">
        <v>211381.83</v>
      </c>
      <c r="O631" s="832">
        <v>0</v>
      </c>
      <c r="P631" s="832">
        <v>0</v>
      </c>
      <c r="Q631" s="832">
        <v>0</v>
      </c>
      <c r="R631" s="832">
        <v>0</v>
      </c>
      <c r="S631" s="832">
        <v>30197.4</v>
      </c>
      <c r="T631" s="832">
        <v>30197.4</v>
      </c>
      <c r="U631" s="832">
        <v>0</v>
      </c>
      <c r="V631" s="832">
        <v>285</v>
      </c>
      <c r="W631" s="832">
        <v>578</v>
      </c>
      <c r="X631" s="832">
        <v>858</v>
      </c>
      <c r="Y631" s="832">
        <v>994</v>
      </c>
      <c r="Z631" s="832">
        <v>1197</v>
      </c>
      <c r="AA631" s="832">
        <v>1210</v>
      </c>
      <c r="AB631" s="832">
        <v>1210</v>
      </c>
      <c r="AC631" s="832">
        <v>1210</v>
      </c>
      <c r="AD631" s="832">
        <v>0</v>
      </c>
      <c r="AE631" s="832">
        <v>0</v>
      </c>
      <c r="AF631" s="832">
        <v>0</v>
      </c>
      <c r="AG631" s="832">
        <v>0</v>
      </c>
      <c r="AH631" s="832">
        <v>173</v>
      </c>
      <c r="AI631" s="832">
        <v>173</v>
      </c>
      <c r="AJ631" s="1030" t="str">
        <f t="shared" si="60"/>
        <v>H37200</v>
      </c>
      <c r="AK631" s="1030" t="str">
        <f t="shared" si="61"/>
        <v>VTE M.O B.R GARANTIE- MEC</v>
      </c>
      <c r="AL631" s="1030" t="str">
        <f>IFERROR(INDEX(G631:R631,1,MATCH(Parametres!$B$3,G$1:R$1,0)-1)*IF(OR(F631="L",F631="S",F631="I"),-1,1),"")</f>
        <v/>
      </c>
      <c r="AM631" s="1030">
        <f t="shared" si="56"/>
        <v>-56610.18</v>
      </c>
      <c r="AN631" s="1030">
        <f>INDEX(G631:R631,1,MATCH(Parametres!$B$3,G$1:R$1,0))*IF(OR(F631="L",F631="S",F631="I"),-1,1)</f>
        <v>-56610.18</v>
      </c>
      <c r="AO631" s="598" t="str">
        <f>+VLOOKUP($AJ631,Data_Validation!$A:$D,1,0)</f>
        <v>H37200</v>
      </c>
      <c r="AP631" s="598" t="str">
        <f>+VLOOKUP($AJ631,Data_Validation!$A:$D,3,0)</f>
        <v>Service</v>
      </c>
      <c r="AQ631" s="598" t="str">
        <f>+VLOOKUP($AJ631,Data_Validation!$A:$D,4,0)</f>
        <v>M/O Garantie</v>
      </c>
      <c r="AR631" s="598" t="s">
        <v>299</v>
      </c>
      <c r="AS631" s="598" t="str">
        <f>+VLOOKUP($AJ631,Data_Validation!$A:$E,5,0)</f>
        <v>Oui</v>
      </c>
      <c r="AT631" s="1036" t="str">
        <f t="shared" si="57"/>
        <v>H37200</v>
      </c>
      <c r="AU631" s="599" t="str">
        <f t="shared" si="58"/>
        <v>VTE M.O B.R GARANTIE- MEC</v>
      </c>
      <c r="AV631" s="1030" t="str">
        <f>IFERROR(INDEX(V631:AG631,1,MATCH(Parametres!$B$3,V$1:AG$1,0)-1)*IF(OR(C631="L",C631="S",C631="I"),-1,1),"")</f>
        <v/>
      </c>
      <c r="AW631" s="1030">
        <f t="shared" si="59"/>
        <v>285</v>
      </c>
      <c r="AX631" s="1030">
        <f>INDEX(V631:AG631,1,MATCH(Parametres!$B$3,V$1:AG$1,0))*IF(OR(C631="L",C631="S",C631="I"),-1,1)</f>
        <v>285</v>
      </c>
      <c r="AY631" s="598" t="s">
        <v>337</v>
      </c>
      <c r="AZ631" s="598" t="str">
        <f>+VLOOKUP($AJ631,Data_Validation!$A:$E,5,0)</f>
        <v>Oui</v>
      </c>
    </row>
    <row r="632" spans="1:52" ht="15" customHeight="1">
      <c r="A632" s="832" t="s">
        <v>1150</v>
      </c>
      <c r="B632" s="832">
        <v>2026</v>
      </c>
      <c r="C632" s="832" t="s">
        <v>2401</v>
      </c>
      <c r="D632" s="832" t="s">
        <v>2402</v>
      </c>
      <c r="E632" s="832" t="s">
        <v>2368</v>
      </c>
      <c r="F632" s="832" t="s">
        <v>2226</v>
      </c>
      <c r="G632" s="832">
        <v>32818.03</v>
      </c>
      <c r="H632" s="832">
        <v>55769.65</v>
      </c>
      <c r="I632" s="832">
        <v>84063.28</v>
      </c>
      <c r="J632" s="832">
        <v>109260.96</v>
      </c>
      <c r="K632" s="832">
        <v>139248.45000000001</v>
      </c>
      <c r="L632" s="832">
        <v>140779.79</v>
      </c>
      <c r="M632" s="832">
        <v>140779.79</v>
      </c>
      <c r="N632" s="832">
        <v>140779.79</v>
      </c>
      <c r="O632" s="832">
        <v>0</v>
      </c>
      <c r="P632" s="832">
        <v>0</v>
      </c>
      <c r="Q632" s="832">
        <v>0</v>
      </c>
      <c r="R632" s="832">
        <v>0</v>
      </c>
      <c r="S632" s="832">
        <v>20111.400000000001</v>
      </c>
      <c r="T632" s="832">
        <v>20111.400000000001</v>
      </c>
      <c r="U632" s="832">
        <v>0</v>
      </c>
      <c r="V632" s="832">
        <v>148</v>
      </c>
      <c r="W632" s="832">
        <v>255</v>
      </c>
      <c r="X632" s="832">
        <v>401</v>
      </c>
      <c r="Y632" s="832">
        <v>547</v>
      </c>
      <c r="Z632" s="832">
        <v>704</v>
      </c>
      <c r="AA632" s="832">
        <v>711</v>
      </c>
      <c r="AB632" s="832">
        <v>711</v>
      </c>
      <c r="AC632" s="832">
        <v>711</v>
      </c>
      <c r="AD632" s="832">
        <v>0</v>
      </c>
      <c r="AE632" s="832">
        <v>0</v>
      </c>
      <c r="AF632" s="832">
        <v>0</v>
      </c>
      <c r="AG632" s="832">
        <v>0</v>
      </c>
      <c r="AH632" s="832">
        <v>102</v>
      </c>
      <c r="AI632" s="832">
        <v>102</v>
      </c>
      <c r="AJ632" s="1030" t="str">
        <f t="shared" si="60"/>
        <v>H37400</v>
      </c>
      <c r="AK632" s="1030" t="str">
        <f t="shared" si="61"/>
        <v>VTE M.O B.R INTERNE- MEC</v>
      </c>
      <c r="AL632" s="1030" t="str">
        <f>IFERROR(INDEX(G632:R632,1,MATCH(Parametres!$B$3,G$1:R$1,0)-1)*IF(OR(F632="L",F632="S",F632="I"),-1,1),"")</f>
        <v/>
      </c>
      <c r="AM632" s="1030">
        <f t="shared" si="56"/>
        <v>-32818.03</v>
      </c>
      <c r="AN632" s="1030">
        <f>INDEX(G632:R632,1,MATCH(Parametres!$B$3,G$1:R$1,0))*IF(OR(F632="L",F632="S",F632="I"),-1,1)</f>
        <v>-32818.03</v>
      </c>
      <c r="AO632" s="598" t="str">
        <f>+VLOOKUP($AJ632,Data_Validation!$A:$D,1,0)</f>
        <v>H37400</v>
      </c>
      <c r="AP632" s="598" t="str">
        <f>+VLOOKUP($AJ632,Data_Validation!$A:$D,3,0)</f>
        <v>Service</v>
      </c>
      <c r="AQ632" s="598" t="str">
        <f>+VLOOKUP($AJ632,Data_Validation!$A:$D,4,0)</f>
        <v>M/O Interne</v>
      </c>
      <c r="AR632" s="598" t="s">
        <v>299</v>
      </c>
      <c r="AS632" s="598" t="str">
        <f>+VLOOKUP($AJ632,Data_Validation!$A:$E,5,0)</f>
        <v>Oui</v>
      </c>
      <c r="AT632" s="1036" t="str">
        <f t="shared" si="57"/>
        <v>H37400</v>
      </c>
      <c r="AU632" s="599" t="str">
        <f t="shared" si="58"/>
        <v>VTE M.O B.R INTERNE- MEC</v>
      </c>
      <c r="AV632" s="1030" t="str">
        <f>IFERROR(INDEX(V632:AG632,1,MATCH(Parametres!$B$3,V$1:AG$1,0)-1)*IF(OR(C632="L",C632="S",C632="I"),-1,1),"")</f>
        <v/>
      </c>
      <c r="AW632" s="1030">
        <f t="shared" si="59"/>
        <v>148</v>
      </c>
      <c r="AX632" s="1030">
        <f>INDEX(V632:AG632,1,MATCH(Parametres!$B$3,V$1:AG$1,0))*IF(OR(C632="L",C632="S",C632="I"),-1,1)</f>
        <v>148</v>
      </c>
      <c r="AY632" s="598" t="s">
        <v>337</v>
      </c>
      <c r="AZ632" s="598" t="str">
        <f>+VLOOKUP($AJ632,Data_Validation!$A:$E,5,0)</f>
        <v>Oui</v>
      </c>
    </row>
    <row r="633" spans="1:52" ht="15" customHeight="1">
      <c r="A633" s="832" t="s">
        <v>1150</v>
      </c>
      <c r="B633" s="832">
        <v>2026</v>
      </c>
      <c r="C633" s="832" t="s">
        <v>2403</v>
      </c>
      <c r="D633" s="832" t="s">
        <v>2404</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H37500</v>
      </c>
      <c r="AK633" s="1030" t="str">
        <f t="shared" si="61"/>
        <v>VTE M.O B.R INTERNE- CARR</v>
      </c>
      <c r="AL633" s="1030" t="str">
        <f>IFERROR(INDEX(G633:R633,1,MATCH(Parametres!$B$3,G$1:R$1,0)-1)*IF(OR(F633="L",F633="S",F633="I"),-1,1),"")</f>
        <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H37500</v>
      </c>
      <c r="AU633" s="599" t="str">
        <f t="shared" si="58"/>
        <v>VTE M.O B.R INTERNE- CARR</v>
      </c>
      <c r="AV633" s="1030" t="str">
        <f>IFERROR(INDEX(V633:AG633,1,MATCH(Parametres!$B$3,V$1:AG$1,0)-1)*IF(OR(C633="L",C633="S",C633="I"),-1,1),"")</f>
        <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2026</v>
      </c>
      <c r="C634" s="832" t="s">
        <v>2405</v>
      </c>
      <c r="D634" s="832" t="s">
        <v>2406</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H37600</v>
      </c>
      <c r="AK634" s="1030" t="str">
        <f t="shared" si="61"/>
        <v>VTE M.O SOUS-TRAITANCE -</v>
      </c>
      <c r="AL634" s="1030" t="str">
        <f>IFERROR(INDEX(G634:R634,1,MATCH(Parametres!$B$3,G$1:R$1,0)-1)*IF(OR(F634="L",F634="S",F634="I"),-1,1),"")</f>
        <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H37600</v>
      </c>
      <c r="AU634" s="599" t="str">
        <f t="shared" si="58"/>
        <v>VTE M.O SOUS-TRAITANCE -</v>
      </c>
      <c r="AV634" s="1030" t="str">
        <f>IFERROR(INDEX(V634:AG634,1,MATCH(Parametres!$B$3,V$1:AG$1,0)-1)*IF(OR(C634="L",C634="S",C634="I"),-1,1),"")</f>
        <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2026</v>
      </c>
      <c r="C635" s="832" t="s">
        <v>2407</v>
      </c>
      <c r="D635" s="832" t="s">
        <v>2408</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H37610</v>
      </c>
      <c r="AK635" s="1030" t="str">
        <f t="shared" si="61"/>
        <v>S-TRAITANCE INTERNE CARR</v>
      </c>
      <c r="AL635" s="1030" t="str">
        <f>IFERROR(INDEX(G635:R635,1,MATCH(Parametres!$B$3,G$1:R$1,0)-1)*IF(OR(F635="L",F635="S",F635="I"),-1,1),"")</f>
        <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H37610</v>
      </c>
      <c r="AU635" s="599" t="str">
        <f t="shared" si="58"/>
        <v>S-TRAITANCE INTERNE CARR</v>
      </c>
      <c r="AV635" s="1030" t="str">
        <f>IFERROR(INDEX(V635:AG635,1,MATCH(Parametres!$B$3,V$1:AG$1,0)-1)*IF(OR(C635="L",C635="S",C635="I"),-1,1),"")</f>
        <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2026</v>
      </c>
      <c r="C636" s="832" t="s">
        <v>2409</v>
      </c>
      <c r="D636" s="832" t="s">
        <v>2410</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H37700</v>
      </c>
      <c r="AK636" s="1030" t="str">
        <f t="shared" si="61"/>
        <v>VTE M.O B.R GARANTIE- CAR</v>
      </c>
      <c r="AL636" s="1030" t="str">
        <f>IFERROR(INDEX(G636:R636,1,MATCH(Parametres!$B$3,G$1:R$1,0)-1)*IF(OR(F636="L",F636="S",F636="I"),-1,1),"")</f>
        <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H37700</v>
      </c>
      <c r="AU636" s="599" t="str">
        <f t="shared" si="58"/>
        <v>VTE M.O B.R GARANTIE- CAR</v>
      </c>
      <c r="AV636" s="1030" t="str">
        <f>IFERROR(INDEX(V636:AG636,1,MATCH(Parametres!$B$3,V$1:AG$1,0)-1)*IF(OR(C636="L",C636="S",C636="I"),-1,1),"")</f>
        <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2026</v>
      </c>
      <c r="C637" s="832" t="s">
        <v>2411</v>
      </c>
      <c r="D637" s="832" t="s">
        <v>2412</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H37800</v>
      </c>
      <c r="AK637" s="1030" t="str">
        <f t="shared" si="61"/>
        <v>VTE M.O DIVERSES (AUTOS)_</v>
      </c>
      <c r="AL637" s="1030" t="str">
        <f>IFERROR(INDEX(G637:R637,1,MATCH(Parametres!$B$3,G$1:R$1,0)-1)*IF(OR(F637="L",F637="S",F637="I"),-1,1),"")</f>
        <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H37800</v>
      </c>
      <c r="AU637" s="599" t="str">
        <f t="shared" si="58"/>
        <v>VTE M.O DIVERSES (AUTOS)_</v>
      </c>
      <c r="AV637" s="1030" t="str">
        <f>IFERROR(INDEX(V637:AG637,1,MATCH(Parametres!$B$3,V$1:AG$1,0)-1)*IF(OR(C637="L",C637="S",C637="I"),-1,1),"")</f>
        <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2026</v>
      </c>
      <c r="C638" s="832" t="s">
        <v>2413</v>
      </c>
      <c r="D638" s="832" t="s">
        <v>2414</v>
      </c>
      <c r="E638" s="832" t="s">
        <v>333</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30" t="str">
        <f t="shared" si="60"/>
        <v>H38000</v>
      </c>
      <c r="AK638" s="1030" t="str">
        <f t="shared" si="61"/>
        <v>VTE TEMPS MORT MECANIQUE</v>
      </c>
      <c r="AL638" s="1030" t="str">
        <f>IFERROR(INDEX(G638:R638,1,MATCH(Parametres!$B$3,G$1:R$1,0)-1)*IF(OR(F638="L",F638="S",F638="I"),-1,1),"")</f>
        <v/>
      </c>
      <c r="AM638" s="1030">
        <f t="shared" si="56"/>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t="str">
        <f t="shared" si="57"/>
        <v>H38000</v>
      </c>
      <c r="AU638" s="599" t="str">
        <f t="shared" si="58"/>
        <v>VTE TEMPS MORT MECANIQUE</v>
      </c>
      <c r="AV638" s="1030" t="str">
        <f>IFERROR(INDEX(V638:AG638,1,MATCH(Parametres!$B$3,V$1:AG$1,0)-1)*IF(OR(C638="L",C638="S",C638="I"),-1,1),"")</f>
        <v/>
      </c>
      <c r="AW638" s="1030">
        <f t="shared" si="59"/>
        <v>0</v>
      </c>
      <c r="AX638" s="1030">
        <f>INDEX(V638:AG638,1,MATCH(Parametres!$B$3,V$1:AG$1,0))*IF(OR(C638="L",C638="S",C638="I"),-1,1)</f>
        <v>0</v>
      </c>
      <c r="AY638" s="598" t="s">
        <v>337</v>
      </c>
      <c r="AZ638" s="598" t="e">
        <f>+VLOOKUP($AJ638,Data_Validation!$A:$E,5,0)</f>
        <v>#N/A</v>
      </c>
    </row>
    <row r="639" spans="1:52" ht="15" customHeight="1">
      <c r="A639" s="832" t="s">
        <v>1150</v>
      </c>
      <c r="B639" s="832">
        <v>2026</v>
      </c>
      <c r="C639" s="832" t="s">
        <v>2415</v>
      </c>
      <c r="D639" s="832" t="s">
        <v>2416</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H38100</v>
      </c>
      <c r="AK639" s="1030" t="str">
        <f t="shared" si="61"/>
        <v>VTE TEMPS MORT CARR</v>
      </c>
      <c r="AL639" s="1030" t="str">
        <f>IFERROR(INDEX(G639:R639,1,MATCH(Parametres!$B$3,G$1:R$1,0)-1)*IF(OR(F639="L",F639="S",F639="I"),-1,1),"")</f>
        <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H38100</v>
      </c>
      <c r="AU639" s="599" t="str">
        <f t="shared" si="58"/>
        <v>VTE TEMPS MORT CARR</v>
      </c>
      <c r="AV639" s="1030" t="str">
        <f>IFERROR(INDEX(V639:AG639,1,MATCH(Parametres!$B$3,V$1:AG$1,0)-1)*IF(OR(C639="L",C639="S",C639="I"),-1,1),"")</f>
        <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2026</v>
      </c>
      <c r="C640" s="832" t="s">
        <v>2417</v>
      </c>
      <c r="D640" s="832" t="s">
        <v>2418</v>
      </c>
      <c r="E640" s="832" t="s">
        <v>2368</v>
      </c>
      <c r="F640" s="832" t="s">
        <v>2226</v>
      </c>
      <c r="G640" s="832">
        <v>26065.94</v>
      </c>
      <c r="H640" s="832">
        <v>52021.24</v>
      </c>
      <c r="I640" s="832">
        <v>101961.01</v>
      </c>
      <c r="J640" s="832">
        <v>182426.83</v>
      </c>
      <c r="K640" s="832">
        <v>236872.5</v>
      </c>
      <c r="L640" s="832">
        <v>239611.61</v>
      </c>
      <c r="M640" s="832">
        <v>239611.61</v>
      </c>
      <c r="N640" s="832">
        <v>239611.61</v>
      </c>
      <c r="O640" s="832">
        <v>0</v>
      </c>
      <c r="P640" s="832">
        <v>0</v>
      </c>
      <c r="Q640" s="832">
        <v>0</v>
      </c>
      <c r="R640" s="832">
        <v>0</v>
      </c>
      <c r="S640" s="832">
        <v>34230.230000000003</v>
      </c>
      <c r="T640" s="832">
        <v>34230.230000000003</v>
      </c>
      <c r="U640" s="832">
        <v>0</v>
      </c>
      <c r="V640" s="832">
        <v>136</v>
      </c>
      <c r="W640" s="832">
        <v>266</v>
      </c>
      <c r="X640" s="832">
        <v>501</v>
      </c>
      <c r="Y640" s="832">
        <v>1048</v>
      </c>
      <c r="Z640" s="832">
        <v>1423</v>
      </c>
      <c r="AA640" s="832">
        <v>1435</v>
      </c>
      <c r="AB640" s="832">
        <v>1435</v>
      </c>
      <c r="AC640" s="832">
        <v>1435</v>
      </c>
      <c r="AD640" s="832">
        <v>0</v>
      </c>
      <c r="AE640" s="832">
        <v>0</v>
      </c>
      <c r="AF640" s="832">
        <v>0</v>
      </c>
      <c r="AG640" s="832">
        <v>0</v>
      </c>
      <c r="AH640" s="832">
        <v>205</v>
      </c>
      <c r="AI640" s="832">
        <v>205</v>
      </c>
      <c r="AJ640" s="1030" t="str">
        <f t="shared" si="60"/>
        <v>H38200</v>
      </c>
      <c r="AK640" s="1030" t="str">
        <f t="shared" si="61"/>
        <v>VTE M.O S-TRAITANCE -MEC</v>
      </c>
      <c r="AL640" s="1030" t="str">
        <f>IFERROR(INDEX(G640:R640,1,MATCH(Parametres!$B$3,G$1:R$1,0)-1)*IF(OR(F640="L",F640="S",F640="I"),-1,1),"")</f>
        <v/>
      </c>
      <c r="AM640" s="1030">
        <f t="shared" si="56"/>
        <v>-26065.94</v>
      </c>
      <c r="AN640" s="1030">
        <f>INDEX(G640:R640,1,MATCH(Parametres!$B$3,G$1:R$1,0))*IF(OR(F640="L",F640="S",F640="I"),-1,1)</f>
        <v>-26065.94</v>
      </c>
      <c r="AO640" s="598" t="str">
        <f>+VLOOKUP($AJ640,Data_Validation!$A:$D,1,0)</f>
        <v>H38200</v>
      </c>
      <c r="AP640" s="598" t="str">
        <f>+VLOOKUP($AJ640,Data_Validation!$A:$D,3,0)</f>
        <v>Service</v>
      </c>
      <c r="AQ640" s="598" t="str">
        <f>+VLOOKUP($AJ640,Data_Validation!$A:$D,4,0)</f>
        <v>Sous-traitement</v>
      </c>
      <c r="AR640" s="598" t="s">
        <v>299</v>
      </c>
      <c r="AS640" s="598" t="str">
        <f>+VLOOKUP($AJ640,Data_Validation!$A:$E,5,0)</f>
        <v>Oui</v>
      </c>
      <c r="AT640" s="1036" t="str">
        <f t="shared" si="57"/>
        <v>H38200</v>
      </c>
      <c r="AU640" s="599" t="str">
        <f t="shared" si="58"/>
        <v>VTE M.O S-TRAITANCE -MEC</v>
      </c>
      <c r="AV640" s="1030" t="str">
        <f>IFERROR(INDEX(V640:AG640,1,MATCH(Parametres!$B$3,V$1:AG$1,0)-1)*IF(OR(C640="L",C640="S",C640="I"),-1,1),"")</f>
        <v/>
      </c>
      <c r="AW640" s="1030">
        <f t="shared" si="59"/>
        <v>136</v>
      </c>
      <c r="AX640" s="1030">
        <f>INDEX(V640:AG640,1,MATCH(Parametres!$B$3,V$1:AG$1,0))*IF(OR(C640="L",C640="S",C640="I"),-1,1)</f>
        <v>136</v>
      </c>
      <c r="AY640" s="598" t="s">
        <v>337</v>
      </c>
      <c r="AZ640" s="598" t="str">
        <f>+VLOOKUP($AJ640,Data_Validation!$A:$E,5,0)</f>
        <v>Oui</v>
      </c>
    </row>
    <row r="641" spans="1:52" ht="15" customHeight="1">
      <c r="A641" s="832" t="s">
        <v>1150</v>
      </c>
      <c r="B641" s="832">
        <v>2026</v>
      </c>
      <c r="C641" s="832" t="s">
        <v>2419</v>
      </c>
      <c r="D641" s="832" t="s">
        <v>2420</v>
      </c>
      <c r="E641" s="832" t="s">
        <v>2368</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30" t="str">
        <f t="shared" si="60"/>
        <v>H38210</v>
      </c>
      <c r="AK641" s="1030" t="str">
        <f t="shared" si="61"/>
        <v>VTE SOUS TRAITANCE HPP</v>
      </c>
      <c r="AL641" s="1030" t="str">
        <f>IFERROR(INDEX(G641:R641,1,MATCH(Parametres!$B$3,G$1:R$1,0)-1)*IF(OR(F641="L",F641="S",F641="I"),-1,1),"")</f>
        <v/>
      </c>
      <c r="AM641" s="1030">
        <f t="shared" si="56"/>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t="str">
        <f t="shared" si="57"/>
        <v>H38210</v>
      </c>
      <c r="AU641" s="599" t="str">
        <f t="shared" si="58"/>
        <v>VTE SOUS TRAITANCE HPP</v>
      </c>
      <c r="AV641" s="1030" t="str">
        <f>IFERROR(INDEX(V641:AG641,1,MATCH(Parametres!$B$3,V$1:AG$1,0)-1)*IF(OR(C641="L",C641="S",C641="I"),-1,1),"")</f>
        <v/>
      </c>
      <c r="AW641" s="1030">
        <f t="shared" si="59"/>
        <v>0</v>
      </c>
      <c r="AX641" s="1030">
        <f>INDEX(V641:AG641,1,MATCH(Parametres!$B$3,V$1:AG$1,0))*IF(OR(C641="L",C641="S",C641="I"),-1,1)</f>
        <v>0</v>
      </c>
      <c r="AY641" s="598" t="s">
        <v>337</v>
      </c>
      <c r="AZ641" s="598" t="e">
        <f>+VLOOKUP($AJ641,Data_Validation!$A:$E,5,0)</f>
        <v>#N/A</v>
      </c>
    </row>
    <row r="642" spans="1:52" ht="15" customHeight="1">
      <c r="A642" s="832" t="s">
        <v>1150</v>
      </c>
      <c r="B642" s="832">
        <v>2026</v>
      </c>
      <c r="C642" s="832" t="s">
        <v>2421</v>
      </c>
      <c r="D642" s="832" t="s">
        <v>2422</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30" t="str">
        <f t="shared" si="60"/>
        <v>H38300</v>
      </c>
      <c r="AK642" s="1030" t="str">
        <f t="shared" si="61"/>
        <v>VTE ENTREPOSAGE DE PNEU</v>
      </c>
      <c r="AL642" s="1030" t="str">
        <f>IFERROR(INDEX(G642:R642,1,MATCH(Parametres!$B$3,G$1:R$1,0)-1)*IF(OR(F642="L",F642="S",F642="I"),-1,1),"")</f>
        <v/>
      </c>
      <c r="AM642" s="1030">
        <f t="shared" si="56"/>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t="str">
        <f t="shared" si="57"/>
        <v>H38300</v>
      </c>
      <c r="AU642" s="599" t="str">
        <f t="shared" si="58"/>
        <v>VTE ENTREPOSAGE DE PNEU</v>
      </c>
      <c r="AV642" s="1030" t="str">
        <f>IFERROR(INDEX(V642:AG642,1,MATCH(Parametres!$B$3,V$1:AG$1,0)-1)*IF(OR(C642="L",C642="S",C642="I"),-1,1),"")</f>
        <v/>
      </c>
      <c r="AW642" s="1030">
        <f t="shared" si="59"/>
        <v>0</v>
      </c>
      <c r="AX642" s="1030">
        <f>INDEX(V642:AG642,1,MATCH(Parametres!$B$3,V$1:AG$1,0))*IF(OR(C642="L",C642="S",C642="I"),-1,1)</f>
        <v>0</v>
      </c>
      <c r="AY642" s="598" t="s">
        <v>337</v>
      </c>
      <c r="AZ642" s="598" t="e">
        <f>+VLOOKUP($AJ642,Data_Validation!$A:$E,5,0)</f>
        <v>#N/A</v>
      </c>
    </row>
    <row r="643" spans="1:52" ht="15" customHeight="1">
      <c r="A643" s="832" t="s">
        <v>1150</v>
      </c>
      <c r="B643" s="832">
        <v>2026</v>
      </c>
      <c r="C643" s="832" t="s">
        <v>2423</v>
      </c>
      <c r="D643" s="832" t="s">
        <v>2424</v>
      </c>
      <c r="E643" s="832" t="s">
        <v>2368</v>
      </c>
      <c r="F643" s="832" t="s">
        <v>2226</v>
      </c>
      <c r="G643" s="832">
        <v>13562.01</v>
      </c>
      <c r="H643" s="832">
        <v>24983.37</v>
      </c>
      <c r="I643" s="832">
        <v>38174.58</v>
      </c>
      <c r="J643" s="832">
        <v>58184.23</v>
      </c>
      <c r="K643" s="832">
        <v>77457.3</v>
      </c>
      <c r="L643" s="832">
        <v>78066.44</v>
      </c>
      <c r="M643" s="832">
        <v>78066.44</v>
      </c>
      <c r="N643" s="832">
        <v>78066.44</v>
      </c>
      <c r="O643" s="832">
        <v>0</v>
      </c>
      <c r="P643" s="832">
        <v>0</v>
      </c>
      <c r="Q643" s="832">
        <v>0</v>
      </c>
      <c r="R643" s="832">
        <v>0</v>
      </c>
      <c r="S643" s="832">
        <v>11152.35</v>
      </c>
      <c r="T643" s="832">
        <v>11152.35</v>
      </c>
      <c r="U643" s="832">
        <v>0</v>
      </c>
      <c r="V643" s="832">
        <v>323</v>
      </c>
      <c r="W643" s="832">
        <v>605</v>
      </c>
      <c r="X643" s="832">
        <v>918</v>
      </c>
      <c r="Y643" s="832">
        <v>1442</v>
      </c>
      <c r="Z643" s="832">
        <v>1888</v>
      </c>
      <c r="AA643" s="832">
        <v>1903</v>
      </c>
      <c r="AB643" s="832">
        <v>1903</v>
      </c>
      <c r="AC643" s="832">
        <v>1903</v>
      </c>
      <c r="AD643" s="832">
        <v>0</v>
      </c>
      <c r="AE643" s="832">
        <v>0</v>
      </c>
      <c r="AF643" s="832">
        <v>0</v>
      </c>
      <c r="AG643" s="832">
        <v>0</v>
      </c>
      <c r="AH643" s="832">
        <v>272</v>
      </c>
      <c r="AI643" s="832">
        <v>272</v>
      </c>
      <c r="AJ643" s="1030" t="str">
        <f t="shared" si="60"/>
        <v>H38400</v>
      </c>
      <c r="AK643" s="1030" t="str">
        <f t="shared" si="61"/>
        <v>VTE HUILE</v>
      </c>
      <c r="AL643" s="1030" t="str">
        <f>IFERROR(INDEX(G643:R643,1,MATCH(Parametres!$B$3,G$1:R$1,0)-1)*IF(OR(F643="L",F643="S",F643="I"),-1,1),"")</f>
        <v/>
      </c>
      <c r="AM643" s="1030">
        <f t="shared" si="56"/>
        <v>-13562.01</v>
      </c>
      <c r="AN643" s="1030">
        <f>INDEX(G643:R643,1,MATCH(Parametres!$B$3,G$1:R$1,0))*IF(OR(F643="L",F643="S",F643="I"),-1,1)</f>
        <v>-13562.01</v>
      </c>
      <c r="AO643" s="598" t="str">
        <f>+VLOOKUP($AJ643,Data_Validation!$A:$D,1,0)</f>
        <v>H38400</v>
      </c>
      <c r="AP643" s="598" t="str">
        <f>+VLOOKUP($AJ643,Data_Validation!$A:$D,3,0)</f>
        <v>Pièces</v>
      </c>
      <c r="AQ643" s="598" t="str">
        <f>+VLOOKUP($AJ643,Data_Validation!$A:$D,4,0)</f>
        <v>Huiles et Graisse</v>
      </c>
      <c r="AR643" s="598" t="s">
        <v>299</v>
      </c>
      <c r="AS643" s="598" t="str">
        <f>+VLOOKUP($AJ643,Data_Validation!$A:$E,5,0)</f>
        <v>Oui</v>
      </c>
      <c r="AT643" s="1036" t="str">
        <f t="shared" si="57"/>
        <v>H38400</v>
      </c>
      <c r="AU643" s="599" t="str">
        <f t="shared" si="58"/>
        <v>VTE HUILE</v>
      </c>
      <c r="AV643" s="1030" t="str">
        <f>IFERROR(INDEX(V643:AG643,1,MATCH(Parametres!$B$3,V$1:AG$1,0)-1)*IF(OR(C643="L",C643="S",C643="I"),-1,1),"")</f>
        <v/>
      </c>
      <c r="AW643" s="1030">
        <f t="shared" si="59"/>
        <v>323</v>
      </c>
      <c r="AX643" s="1030">
        <f>INDEX(V643:AG643,1,MATCH(Parametres!$B$3,V$1:AG$1,0))*IF(OR(C643="L",C643="S",C643="I"),-1,1)</f>
        <v>323</v>
      </c>
      <c r="AY643" s="598" t="s">
        <v>337</v>
      </c>
      <c r="AZ643" s="598" t="str">
        <f>+VLOOKUP($AJ643,Data_Validation!$A:$E,5,0)</f>
        <v>Oui</v>
      </c>
    </row>
    <row r="644" spans="1:52" ht="15" customHeight="1">
      <c r="A644" s="832" t="s">
        <v>1150</v>
      </c>
      <c r="B644" s="832">
        <v>2026</v>
      </c>
      <c r="C644" s="832" t="s">
        <v>2425</v>
      </c>
      <c r="D644" s="832" t="s">
        <v>2426</v>
      </c>
      <c r="E644" s="832" t="s">
        <v>2368</v>
      </c>
      <c r="F644" s="832" t="s">
        <v>2226</v>
      </c>
      <c r="G644" s="832">
        <v>2657</v>
      </c>
      <c r="H644" s="832">
        <v>4943.84</v>
      </c>
      <c r="I644" s="832">
        <v>8298.68</v>
      </c>
      <c r="J644" s="832">
        <v>11937.28</v>
      </c>
      <c r="K644" s="832">
        <v>12982.17</v>
      </c>
      <c r="L644" s="832">
        <v>12982.17</v>
      </c>
      <c r="M644" s="832">
        <v>12982.17</v>
      </c>
      <c r="N644" s="832">
        <v>12982.17</v>
      </c>
      <c r="O644" s="832">
        <v>0</v>
      </c>
      <c r="P644" s="832">
        <v>0</v>
      </c>
      <c r="Q644" s="832">
        <v>0</v>
      </c>
      <c r="R644" s="832">
        <v>0</v>
      </c>
      <c r="S644" s="832">
        <v>1854.6</v>
      </c>
      <c r="T644" s="832">
        <v>1854.6</v>
      </c>
      <c r="U644" s="832">
        <v>0</v>
      </c>
      <c r="V644" s="832">
        <v>45</v>
      </c>
      <c r="W644" s="832">
        <v>80</v>
      </c>
      <c r="X644" s="832">
        <v>131</v>
      </c>
      <c r="Y644" s="832">
        <v>182</v>
      </c>
      <c r="Z644" s="832">
        <v>198</v>
      </c>
      <c r="AA644" s="832">
        <v>198</v>
      </c>
      <c r="AB644" s="832">
        <v>198</v>
      </c>
      <c r="AC644" s="832">
        <v>198</v>
      </c>
      <c r="AD644" s="832">
        <v>0</v>
      </c>
      <c r="AE644" s="832">
        <v>0</v>
      </c>
      <c r="AF644" s="832">
        <v>0</v>
      </c>
      <c r="AG644" s="832">
        <v>0</v>
      </c>
      <c r="AH644" s="832">
        <v>28</v>
      </c>
      <c r="AI644" s="832">
        <v>28</v>
      </c>
      <c r="AJ644" s="1030" t="str">
        <f t="shared" si="60"/>
        <v>H38500</v>
      </c>
      <c r="AK644" s="1030" t="str">
        <f t="shared" si="61"/>
        <v>VTE ESSENCE</v>
      </c>
      <c r="AL644" s="1030" t="str">
        <f>IFERROR(INDEX(G644:R644,1,MATCH(Parametres!$B$3,G$1:R$1,0)-1)*IF(OR(F644="L",F644="S",F644="I"),-1,1),"")</f>
        <v/>
      </c>
      <c r="AM644" s="1030">
        <f t="shared" ref="AM644:AM707" si="62">AN644-N(AL644)</f>
        <v>-2657</v>
      </c>
      <c r="AN644" s="1030">
        <f>INDEX(G644:R644,1,MATCH(Parametres!$B$3,G$1:R$1,0))*IF(OR(F644="L",F644="S",F644="I"),-1,1)</f>
        <v>-2657</v>
      </c>
      <c r="AO644" s="598" t="str">
        <f>+VLOOKUP($AJ644,Data_Validation!$A:$D,1,0)</f>
        <v>H38500</v>
      </c>
      <c r="AP644" s="598" t="str">
        <f>+VLOOKUP($AJ644,Data_Validation!$A:$D,3,0)</f>
        <v>Pièces</v>
      </c>
      <c r="AQ644" s="598" t="str">
        <f>+VLOOKUP($AJ644,Data_Validation!$A:$D,4,0)</f>
        <v>Huiles et Graisse</v>
      </c>
      <c r="AR644" s="598" t="s">
        <v>299</v>
      </c>
      <c r="AS644" s="598" t="str">
        <f>+VLOOKUP($AJ644,Data_Validation!$A:$E,5,0)</f>
        <v>Oui</v>
      </c>
      <c r="AT644" s="1036" t="str">
        <f t="shared" ref="AT644:AT707" si="63">C644</f>
        <v>H38500</v>
      </c>
      <c r="AU644" s="599" t="str">
        <f t="shared" ref="AU644:AU707" si="64">D644</f>
        <v>VTE ESSENCE</v>
      </c>
      <c r="AV644" s="1030" t="str">
        <f>IFERROR(INDEX(V644:AG644,1,MATCH(Parametres!$B$3,V$1:AG$1,0)-1)*IF(OR(C644="L",C644="S",C644="I"),-1,1),"")</f>
        <v/>
      </c>
      <c r="AW644" s="1030">
        <f t="shared" ref="AW644:AW707" si="65">AX644-N(AV644)</f>
        <v>45</v>
      </c>
      <c r="AX644" s="1030">
        <f>INDEX(V644:AG644,1,MATCH(Parametres!$B$3,V$1:AG$1,0))*IF(OR(C644="L",C644="S",C644="I"),-1,1)</f>
        <v>45</v>
      </c>
      <c r="AY644" s="598" t="s">
        <v>337</v>
      </c>
      <c r="AZ644" s="598" t="str">
        <f>+VLOOKUP($AJ644,Data_Validation!$A:$E,5,0)</f>
        <v>Oui</v>
      </c>
    </row>
    <row r="645" spans="1:52" ht="15" customHeight="1">
      <c r="A645" s="832" t="s">
        <v>1150</v>
      </c>
      <c r="B645" s="832">
        <v>2026</v>
      </c>
      <c r="C645" s="832" t="s">
        <v>2427</v>
      </c>
      <c r="D645" s="832" t="s">
        <v>2428</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H39000</v>
      </c>
      <c r="AK645" s="1030" t="str">
        <f t="shared" si="61"/>
        <v>VTE REVENUS DE LOCATION</v>
      </c>
      <c r="AL645" s="1030" t="str">
        <f>IFERROR(INDEX(G645:R645,1,MATCH(Parametres!$B$3,G$1:R$1,0)-1)*IF(OR(F645="L",F645="S",F645="I"),-1,1),"")</f>
        <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H39000</v>
      </c>
      <c r="AU645" s="599" t="str">
        <f t="shared" si="64"/>
        <v>VTE REVENUS DE LOCATION</v>
      </c>
      <c r="AV645" s="1030" t="str">
        <f>IFERROR(INDEX(V645:AG645,1,MATCH(Parametres!$B$3,V$1:AG$1,0)-1)*IF(OR(C645="L",C645="S",C645="I"),-1,1),"")</f>
        <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2026</v>
      </c>
      <c r="C646" s="832" t="s">
        <v>2429</v>
      </c>
      <c r="D646" s="832" t="s">
        <v>2430</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H39100</v>
      </c>
      <c r="AK646" s="1030" t="str">
        <f t="shared" si="61"/>
        <v>REVENU LOCATION  CT &amp; LT</v>
      </c>
      <c r="AL646" s="1030" t="str">
        <f>IFERROR(INDEX(G646:R646,1,MATCH(Parametres!$B$3,G$1:R$1,0)-1)*IF(OR(F646="L",F646="S",F646="I"),-1,1),"")</f>
        <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H39100</v>
      </c>
      <c r="AU646" s="599" t="str">
        <f t="shared" si="64"/>
        <v>REVENU LOCATION  CT &amp; LT</v>
      </c>
      <c r="AV646" s="1030" t="str">
        <f>IFERROR(INDEX(V646:AG646,1,MATCH(Parametres!$B$3,V$1:AG$1,0)-1)*IF(OR(C646="L",C646="S",C646="I"),-1,1),"")</f>
        <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2026</v>
      </c>
      <c r="C647" s="832" t="s">
        <v>2431</v>
      </c>
      <c r="D647" s="832" t="s">
        <v>2432</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H39200</v>
      </c>
      <c r="AK647" s="1030" t="str">
        <f t="shared" si="61"/>
        <v>GAIN/PERTE DISPOSITION</v>
      </c>
      <c r="AL647" s="1030" t="str">
        <f>IFERROR(INDEX(G647:R647,1,MATCH(Parametres!$B$3,G$1:R$1,0)-1)*IF(OR(F647="L",F647="S",F647="I"),-1,1),"")</f>
        <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H39200</v>
      </c>
      <c r="AU647" s="599" t="str">
        <f t="shared" si="64"/>
        <v>GAIN/PERTE DISPOSITION</v>
      </c>
      <c r="AV647" s="1030" t="str">
        <f>IFERROR(INDEX(V647:AG647,1,MATCH(Parametres!$B$3,V$1:AG$1,0)-1)*IF(OR(C647="L",C647="S",C647="I"),-1,1),"")</f>
        <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2026</v>
      </c>
      <c r="C648" s="832" t="s">
        <v>2433</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H39300</v>
      </c>
      <c r="AK648" s="1030" t="str">
        <f t="shared" si="61"/>
        <v>AUTRE DEPARTEMENT</v>
      </c>
      <c r="AL648" s="1030" t="str">
        <f>IFERROR(INDEX(G648:R648,1,MATCH(Parametres!$B$3,G$1:R$1,0)-1)*IF(OR(F648="L",F648="S",F648="I"),-1,1),"")</f>
        <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H39300</v>
      </c>
      <c r="AU648" s="599" t="str">
        <f t="shared" si="64"/>
        <v>AUTRE DEPARTEMENT</v>
      </c>
      <c r="AV648" s="1030" t="str">
        <f>IFERROR(INDEX(V648:AG648,1,MATCH(Parametres!$B$3,V$1:AG$1,0)-1)*IF(OR(C648="L",C648="S",C648="I"),-1,1),"")</f>
        <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2026</v>
      </c>
      <c r="C649" s="832" t="s">
        <v>2435</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H39400</v>
      </c>
      <c r="AK649" s="1030" t="str">
        <f t="shared" si="61"/>
        <v>AUTRE DEPARTEMENT</v>
      </c>
      <c r="AL649" s="1030" t="str">
        <f>IFERROR(INDEX(G649:R649,1,MATCH(Parametres!$B$3,G$1:R$1,0)-1)*IF(OR(F649="L",F649="S",F649="I"),-1,1),"")</f>
        <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H39400</v>
      </c>
      <c r="AU649" s="599" t="str">
        <f t="shared" si="64"/>
        <v>AUTRE DEPARTEMENT</v>
      </c>
      <c r="AV649" s="1030" t="str">
        <f>IFERROR(INDEX(V649:AG649,1,MATCH(Parametres!$B$3,V$1:AG$1,0)-1)*IF(OR(C649="L",C649="S",C649="I"),-1,1),"")</f>
        <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2026</v>
      </c>
      <c r="C650" s="832" t="s">
        <v>2436</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H39500</v>
      </c>
      <c r="AK650" s="1030" t="str">
        <f t="shared" si="61"/>
        <v>AUTRE DEPARTEMENT</v>
      </c>
      <c r="AL650" s="1030" t="str">
        <f>IFERROR(INDEX(G650:R650,1,MATCH(Parametres!$B$3,G$1:R$1,0)-1)*IF(OR(F650="L",F650="S",F650="I"),-1,1),"")</f>
        <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H39500</v>
      </c>
      <c r="AU650" s="599" t="str">
        <f t="shared" si="64"/>
        <v>AUTRE DEPARTEMENT</v>
      </c>
      <c r="AV650" s="1030" t="str">
        <f>IFERROR(INDEX(V650:AG650,1,MATCH(Parametres!$B$3,V$1:AG$1,0)-1)*IF(OR(C650="L",C650="S",C650="I"),-1,1),"")</f>
        <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2026</v>
      </c>
      <c r="C651" s="832" t="s">
        <v>2437</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H39600</v>
      </c>
      <c r="AK651" s="1030" t="str">
        <f t="shared" si="61"/>
        <v>AUTRE DEPARTEMENT</v>
      </c>
      <c r="AL651" s="1030" t="str">
        <f>IFERROR(INDEX(G651:R651,1,MATCH(Parametres!$B$3,G$1:R$1,0)-1)*IF(OR(F651="L",F651="S",F651="I"),-1,1),"")</f>
        <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H39600</v>
      </c>
      <c r="AU651" s="599" t="str">
        <f t="shared" si="64"/>
        <v>AUTRE DEPARTEMENT</v>
      </c>
      <c r="AV651" s="1030" t="str">
        <f>IFERROR(INDEX(V651:AG651,1,MATCH(Parametres!$B$3,V$1:AG$1,0)-1)*IF(OR(C651="L",C651="S",C651="I"),-1,1),"")</f>
        <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2026</v>
      </c>
      <c r="C652" s="832" t="s">
        <v>2438</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H39700</v>
      </c>
      <c r="AK652" s="1030" t="str">
        <f t="shared" si="61"/>
        <v>AUTRE DEPARTEMENT</v>
      </c>
      <c r="AL652" s="1030" t="str">
        <f>IFERROR(INDEX(G652:R652,1,MATCH(Parametres!$B$3,G$1:R$1,0)-1)*IF(OR(F652="L",F652="S",F652="I"),-1,1),"")</f>
        <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H39700</v>
      </c>
      <c r="AU652" s="599" t="str">
        <f t="shared" si="64"/>
        <v>AUTRE DEPARTEMENT</v>
      </c>
      <c r="AV652" s="1030" t="str">
        <f>IFERROR(INDEX(V652:AG652,1,MATCH(Parametres!$B$3,V$1:AG$1,0)-1)*IF(OR(C652="L",C652="S",C652="I"),-1,1),"")</f>
        <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2026</v>
      </c>
      <c r="C653" s="832" t="s">
        <v>2439</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H39800</v>
      </c>
      <c r="AK653" s="1030" t="str">
        <f t="shared" si="61"/>
        <v>AUTRE DEPARTEMENT</v>
      </c>
      <c r="AL653" s="1030" t="str">
        <f>IFERROR(INDEX(G653:R653,1,MATCH(Parametres!$B$3,G$1:R$1,0)-1)*IF(OR(F653="L",F653="S",F653="I"),-1,1),"")</f>
        <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H39800</v>
      </c>
      <c r="AU653" s="599" t="str">
        <f t="shared" si="64"/>
        <v>AUTRE DEPARTEMENT</v>
      </c>
      <c r="AV653" s="1030" t="str">
        <f>IFERROR(INDEX(V653:AG653,1,MATCH(Parametres!$B$3,V$1:AG$1,0)-1)*IF(OR(C653="L",C653="S",C653="I"),-1,1),"")</f>
        <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2026</v>
      </c>
      <c r="C654" s="832" t="s">
        <v>2440</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H39900</v>
      </c>
      <c r="AK654" s="1030" t="str">
        <f t="shared" si="61"/>
        <v>AUTRE DEPARTEMENT</v>
      </c>
      <c r="AL654" s="1030" t="str">
        <f>IFERROR(INDEX(G654:R654,1,MATCH(Parametres!$B$3,G$1:R$1,0)-1)*IF(OR(F654="L",F654="S",F654="I"),-1,1),"")</f>
        <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H39900</v>
      </c>
      <c r="AU654" s="599" t="str">
        <f t="shared" si="64"/>
        <v>AUTRE DEPARTEMENT</v>
      </c>
      <c r="AV654" s="1030" t="str">
        <f>IFERROR(INDEX(V654:AG654,1,MATCH(Parametres!$B$3,V$1:AG$1,0)-1)*IF(OR(C654="L",C654="S",C654="I"),-1,1),"")</f>
        <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2026</v>
      </c>
      <c r="C655" s="832" t="s">
        <v>2441</v>
      </c>
      <c r="D655" s="832" t="s">
        <v>2442</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H40100</v>
      </c>
      <c r="AK655" s="1030" t="str">
        <f t="shared" si="61"/>
        <v>CT VEH NF ACCENT 4 PORTES</v>
      </c>
      <c r="AL655" s="1030" t="str">
        <f>IFERROR(INDEX(G655:R655,1,MATCH(Parametres!$B$3,G$1:R$1,0)-1)*IF(OR(F655="L",F655="S",F655="I"),-1,1),"")</f>
        <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H40100</v>
      </c>
      <c r="AU655" s="599" t="str">
        <f t="shared" si="64"/>
        <v>CT VEH NF ACCENT 4 PORTES</v>
      </c>
      <c r="AV655" s="1030" t="str">
        <f>IFERROR(INDEX(V655:AG655,1,MATCH(Parametres!$B$3,V$1:AG$1,0)-1)*IF(OR(C655="L",C655="S",C655="I"),-1,1),"")</f>
        <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2026</v>
      </c>
      <c r="C656" s="832" t="s">
        <v>2444</v>
      </c>
      <c r="D656" s="832" t="s">
        <v>2445</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H40101</v>
      </c>
      <c r="AK656" s="1030" t="str">
        <f t="shared" si="61"/>
        <v>CT ACCENT BERLINE 4P</v>
      </c>
      <c r="AL656" s="1030" t="str">
        <f>IFERROR(INDEX(G656:R656,1,MATCH(Parametres!$B$3,G$1:R$1,0)-1)*IF(OR(F656="L",F656="S",F656="I"),-1,1),"")</f>
        <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H40101</v>
      </c>
      <c r="AU656" s="599" t="str">
        <f t="shared" si="64"/>
        <v>CT ACCENT BERLINE 4P</v>
      </c>
      <c r="AV656" s="1030" t="str">
        <f>IFERROR(INDEX(V656:AG656,1,MATCH(Parametres!$B$3,V$1:AG$1,0)-1)*IF(OR(C656="L",C656="S",C656="I"),-1,1),"")</f>
        <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2026</v>
      </c>
      <c r="C657" s="832" t="s">
        <v>2446</v>
      </c>
      <c r="D657" s="832" t="s">
        <v>2447</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H40200</v>
      </c>
      <c r="AK657" s="1030" t="str">
        <f t="shared" si="61"/>
        <v>CT VHE NF ACCENT 5 PORTES</v>
      </c>
      <c r="AL657" s="1030" t="str">
        <f>IFERROR(INDEX(G657:R657,1,MATCH(Parametres!$B$3,G$1:R$1,0)-1)*IF(OR(F657="L",F657="S",F657="I"),-1,1),"")</f>
        <v/>
      </c>
      <c r="AM657" s="1030">
        <f t="shared" si="62"/>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t="str">
        <f t="shared" si="63"/>
        <v>H40200</v>
      </c>
      <c r="AU657" s="599" t="str">
        <f t="shared" si="64"/>
        <v>CT VHE NF ACCENT 5 PORTES</v>
      </c>
      <c r="AV657" s="1030" t="str">
        <f>IFERROR(INDEX(V657:AG657,1,MATCH(Parametres!$B$3,V$1:AG$1,0)-1)*IF(OR(C657="L",C657="S",C657="I"),-1,1),"")</f>
        <v/>
      </c>
      <c r="AW657" s="1030">
        <f t="shared" si="65"/>
        <v>0</v>
      </c>
      <c r="AX657" s="1030">
        <f>INDEX(V657:AG657,1,MATCH(Parametres!$B$3,V$1:AG$1,0))*IF(OR(C657="L",C657="S",C657="I"),-1,1)</f>
        <v>0</v>
      </c>
      <c r="AY657" s="598" t="s">
        <v>337</v>
      </c>
      <c r="AZ657" s="598" t="e">
        <f>+VLOOKUP($AJ657,Data_Validation!$A:$E,5,0)</f>
        <v>#N/A</v>
      </c>
    </row>
    <row r="658" spans="1:52" ht="15" customHeight="1">
      <c r="A658" s="832" t="s">
        <v>1150</v>
      </c>
      <c r="B658" s="832">
        <v>2026</v>
      </c>
      <c r="C658" s="832" t="s">
        <v>2448</v>
      </c>
      <c r="D658" s="832" t="s">
        <v>2449</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H40300</v>
      </c>
      <c r="AK658" s="1030" t="str">
        <f t="shared" si="61"/>
        <v>CT VEH NF GENESIS COUPE</v>
      </c>
      <c r="AL658" s="1030" t="str">
        <f>IFERROR(INDEX(G658:R658,1,MATCH(Parametres!$B$3,G$1:R$1,0)-1)*IF(OR(F658="L",F658="S",F658="I"),-1,1),"")</f>
        <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H40300</v>
      </c>
      <c r="AU658" s="599" t="str">
        <f t="shared" si="64"/>
        <v>CT VEH NF GENESIS COUPE</v>
      </c>
      <c r="AV658" s="1030" t="str">
        <f>IFERROR(INDEX(V658:AG658,1,MATCH(Parametres!$B$3,V$1:AG$1,0)-1)*IF(OR(C658="L",C658="S",C658="I"),-1,1),"")</f>
        <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2026</v>
      </c>
      <c r="C659" s="832" t="s">
        <v>2450</v>
      </c>
      <c r="D659" s="832" t="s">
        <v>2451</v>
      </c>
      <c r="E659" s="832" t="s">
        <v>1891</v>
      </c>
      <c r="F659" s="832" t="s">
        <v>2443</v>
      </c>
      <c r="G659" s="832">
        <v>52305.93</v>
      </c>
      <c r="H659" s="832">
        <v>100035.9</v>
      </c>
      <c r="I659" s="832">
        <v>100035.9</v>
      </c>
      <c r="J659" s="832">
        <v>194785.17</v>
      </c>
      <c r="K659" s="832">
        <v>147248.17000000001</v>
      </c>
      <c r="L659" s="832">
        <v>147248.17000000001</v>
      </c>
      <c r="M659" s="832">
        <v>147248.17000000001</v>
      </c>
      <c r="N659" s="832">
        <v>147248.17000000001</v>
      </c>
      <c r="O659" s="832">
        <v>0</v>
      </c>
      <c r="P659" s="832">
        <v>0</v>
      </c>
      <c r="Q659" s="832">
        <v>0</v>
      </c>
      <c r="R659" s="832">
        <v>0</v>
      </c>
      <c r="S659" s="832">
        <v>21035.45</v>
      </c>
      <c r="T659" s="832">
        <v>21035.45</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H40400</v>
      </c>
      <c r="AK659" s="1030" t="str">
        <f t="shared" ref="AK659:AK722" si="67">D659</f>
        <v>CT SANTA FE</v>
      </c>
      <c r="AL659" s="1030" t="str">
        <f>IFERROR(INDEX(G659:R659,1,MATCH(Parametres!$B$3,G$1:R$1,0)-1)*IF(OR(F659="L",F659="S",F659="I"),-1,1),"")</f>
        <v/>
      </c>
      <c r="AM659" s="1030">
        <f t="shared" si="62"/>
        <v>52305.93</v>
      </c>
      <c r="AN659" s="1030">
        <f>INDEX(G659:R659,1,MATCH(Parametres!$B$3,G$1:R$1,0))*IF(OR(F659="L",F659="S",F659="I"),-1,1)</f>
        <v>52305.93</v>
      </c>
      <c r="AO659" s="598" t="str">
        <f>+VLOOKUP($AJ659,Data_Validation!$A:$D,1,0)</f>
        <v>H40400</v>
      </c>
      <c r="AP659" s="598" t="str">
        <f>+VLOOKUP($AJ659,Data_Validation!$A:$D,3,0)</f>
        <v>Véhicules neufs</v>
      </c>
      <c r="AQ659" s="598" t="str">
        <f>+VLOOKUP($AJ659,Data_Validation!$A:$D,4,0)</f>
        <v>Camions détail</v>
      </c>
      <c r="AR659" s="598" t="s">
        <v>299</v>
      </c>
      <c r="AS659" s="598">
        <f>+VLOOKUP($AJ659,Data_Validation!$A:$E,5,0)</f>
        <v>0</v>
      </c>
      <c r="AT659" s="1036" t="str">
        <f t="shared" si="63"/>
        <v>H40400</v>
      </c>
      <c r="AU659" s="599" t="str">
        <f t="shared" si="64"/>
        <v>CT SANTA FE</v>
      </c>
      <c r="AV659" s="1030" t="str">
        <f>IFERROR(INDEX(V659:AG659,1,MATCH(Parametres!$B$3,V$1:AG$1,0)-1)*IF(OR(C659="L",C659="S",C659="I"),-1,1),"")</f>
        <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2026</v>
      </c>
      <c r="C660" s="832" t="s">
        <v>2452</v>
      </c>
      <c r="D660" s="832" t="s">
        <v>2453</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H40401</v>
      </c>
      <c r="AK660" s="1030" t="str">
        <f t="shared" si="67"/>
        <v>CT SANTA FE XL</v>
      </c>
      <c r="AL660" s="1030" t="str">
        <f>IFERROR(INDEX(G660:R660,1,MATCH(Parametres!$B$3,G$1:R$1,0)-1)*IF(OR(F660="L",F660="S",F660="I"),-1,1),"")</f>
        <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H40401</v>
      </c>
      <c r="AU660" s="599" t="str">
        <f t="shared" si="64"/>
        <v>CT SANTA FE XL</v>
      </c>
      <c r="AV660" s="1030" t="str">
        <f>IFERROR(INDEX(V660:AG660,1,MATCH(Parametres!$B$3,V$1:AG$1,0)-1)*IF(OR(C660="L",C660="S",C660="I"),-1,1),"")</f>
        <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2026</v>
      </c>
      <c r="C661" s="832" t="s">
        <v>2454</v>
      </c>
      <c r="D661" s="832" t="s">
        <v>2455</v>
      </c>
      <c r="E661" s="832" t="s">
        <v>1891</v>
      </c>
      <c r="F661" s="832" t="s">
        <v>2443</v>
      </c>
      <c r="G661" s="832">
        <v>43742</v>
      </c>
      <c r="H661" s="832">
        <v>93060.57</v>
      </c>
      <c r="I661" s="832">
        <v>140681.32</v>
      </c>
      <c r="J661" s="832">
        <v>140681.32</v>
      </c>
      <c r="K661" s="832">
        <v>140681.32</v>
      </c>
      <c r="L661" s="832">
        <v>140681.32</v>
      </c>
      <c r="M661" s="832">
        <v>140681.32</v>
      </c>
      <c r="N661" s="832">
        <v>140681.32</v>
      </c>
      <c r="O661" s="832">
        <v>0</v>
      </c>
      <c r="P661" s="832">
        <v>0</v>
      </c>
      <c r="Q661" s="832">
        <v>0</v>
      </c>
      <c r="R661" s="832">
        <v>0</v>
      </c>
      <c r="S661" s="832">
        <v>20097.330000000002</v>
      </c>
      <c r="T661" s="832">
        <v>20097.330000000002</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H40402</v>
      </c>
      <c r="AK661" s="1030" t="str">
        <f t="shared" si="67"/>
        <v>CT SANTA FE HYBRIDE</v>
      </c>
      <c r="AL661" s="1030" t="str">
        <f>IFERROR(INDEX(G661:R661,1,MATCH(Parametres!$B$3,G$1:R$1,0)-1)*IF(OR(F661="L",F661="S",F661="I"),-1,1),"")</f>
        <v/>
      </c>
      <c r="AM661" s="1030">
        <f t="shared" si="62"/>
        <v>43742</v>
      </c>
      <c r="AN661" s="1030">
        <f>INDEX(G661:R661,1,MATCH(Parametres!$B$3,G$1:R$1,0))*IF(OR(F661="L",F661="S",F661="I"),-1,1)</f>
        <v>43742</v>
      </c>
      <c r="AO661" s="598" t="str">
        <f>+VLOOKUP($AJ661,Data_Validation!$A:$D,1,0)</f>
        <v>H40402</v>
      </c>
      <c r="AP661" s="598" t="str">
        <f>+VLOOKUP($AJ661,Data_Validation!$A:$D,3,0)</f>
        <v>Véhicules neufs</v>
      </c>
      <c r="AQ661" s="598" t="str">
        <f>+VLOOKUP($AJ661,Data_Validation!$A:$D,4,0)</f>
        <v>Camions détail</v>
      </c>
      <c r="AR661" s="598" t="s">
        <v>299</v>
      </c>
      <c r="AS661" s="598">
        <f>+VLOOKUP($AJ661,Data_Validation!$A:$E,5,0)</f>
        <v>0</v>
      </c>
      <c r="AT661" s="1036" t="str">
        <f t="shared" si="63"/>
        <v>H40402</v>
      </c>
      <c r="AU661" s="599" t="str">
        <f t="shared" si="64"/>
        <v>CT SANTA FE HYBRIDE</v>
      </c>
      <c r="AV661" s="1030" t="str">
        <f>IFERROR(INDEX(V661:AG661,1,MATCH(Parametres!$B$3,V$1:AG$1,0)-1)*IF(OR(C661="L",C661="S",C661="I"),-1,1),"")</f>
        <v/>
      </c>
      <c r="AW661" s="1030">
        <f t="shared" si="65"/>
        <v>0</v>
      </c>
      <c r="AX661" s="1030">
        <f>INDEX(V661:AG661,1,MATCH(Parametres!$B$3,V$1:AG$1,0))*IF(OR(C661="L",C661="S",C661="I"),-1,1)</f>
        <v>0</v>
      </c>
      <c r="AY661" s="598" t="s">
        <v>337</v>
      </c>
      <c r="AZ661" s="598">
        <f>+VLOOKUP($AJ661,Data_Validation!$A:$E,5,0)</f>
        <v>0</v>
      </c>
    </row>
    <row r="662" spans="1:52" ht="15" customHeight="1">
      <c r="A662" s="832" t="s">
        <v>1150</v>
      </c>
      <c r="B662" s="832">
        <v>2026</v>
      </c>
      <c r="C662" s="832" t="s">
        <v>2456</v>
      </c>
      <c r="D662" s="832" t="s">
        <v>2457</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H40403</v>
      </c>
      <c r="AK662" s="1030" t="str">
        <f t="shared" si="67"/>
        <v>CT VENTE SANTA FE PHEV</v>
      </c>
      <c r="AL662" s="1030" t="str">
        <f>IFERROR(INDEX(G662:R662,1,MATCH(Parametres!$B$3,G$1:R$1,0)-1)*IF(OR(F662="L",F662="S",F662="I"),-1,1),"")</f>
        <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H40403</v>
      </c>
      <c r="AU662" s="599" t="str">
        <f t="shared" si="64"/>
        <v>CT VENTE SANTA FE PHEV</v>
      </c>
      <c r="AV662" s="1030" t="str">
        <f>IFERROR(INDEX(V662:AG662,1,MATCH(Parametres!$B$3,V$1:AG$1,0)-1)*IF(OR(C662="L",C662="S",C662="I"),-1,1),"")</f>
        <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2026</v>
      </c>
      <c r="C663" s="832" t="s">
        <v>2458</v>
      </c>
      <c r="D663" s="832" t="s">
        <v>2459</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H40410</v>
      </c>
      <c r="AK663" s="1030" t="str">
        <f t="shared" si="67"/>
        <v>CT SANTA FE  LWB</v>
      </c>
      <c r="AL663" s="1030" t="str">
        <f>IFERROR(INDEX(G663:R663,1,MATCH(Parametres!$B$3,G$1:R$1,0)-1)*IF(OR(F663="L",F663="S",F663="I"),-1,1),"")</f>
        <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H40410</v>
      </c>
      <c r="AU663" s="599" t="str">
        <f t="shared" si="64"/>
        <v>CT SANTA FE  LWB</v>
      </c>
      <c r="AV663" s="1030" t="str">
        <f>IFERROR(INDEX(V663:AG663,1,MATCH(Parametres!$B$3,V$1:AG$1,0)-1)*IF(OR(C663="L",C663="S",C663="I"),-1,1),"")</f>
        <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2026</v>
      </c>
      <c r="C664" s="832" t="s">
        <v>2460</v>
      </c>
      <c r="D664" s="832" t="s">
        <v>2461</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H40500</v>
      </c>
      <c r="AK664" s="1030" t="str">
        <f t="shared" si="67"/>
        <v>CT SONATA HYBRYDE</v>
      </c>
      <c r="AL664" s="1030" t="str">
        <f>IFERROR(INDEX(G664:R664,1,MATCH(Parametres!$B$3,G$1:R$1,0)-1)*IF(OR(F664="L",F664="S",F664="I"),-1,1),"")</f>
        <v/>
      </c>
      <c r="AM664" s="1030">
        <f t="shared" si="62"/>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t="str">
        <f t="shared" si="63"/>
        <v>H40500</v>
      </c>
      <c r="AU664" s="599" t="str">
        <f t="shared" si="64"/>
        <v>CT SONATA HYBRYDE</v>
      </c>
      <c r="AV664" s="1030" t="str">
        <f>IFERROR(INDEX(V664:AG664,1,MATCH(Parametres!$B$3,V$1:AG$1,0)-1)*IF(OR(C664="L",C664="S",C664="I"),-1,1),"")</f>
        <v/>
      </c>
      <c r="AW664" s="1030">
        <f t="shared" si="65"/>
        <v>0</v>
      </c>
      <c r="AX664" s="1030">
        <f>INDEX(V664:AG664,1,MATCH(Parametres!$B$3,V$1:AG$1,0))*IF(OR(C664="L",C664="S",C664="I"),-1,1)</f>
        <v>0</v>
      </c>
      <c r="AY664" s="598" t="s">
        <v>337</v>
      </c>
      <c r="AZ664" s="598" t="e">
        <f>+VLOOKUP($AJ664,Data_Validation!$A:$E,5,0)</f>
        <v>#N/A</v>
      </c>
    </row>
    <row r="665" spans="1:52" ht="15" customHeight="1">
      <c r="A665" s="832" t="s">
        <v>1150</v>
      </c>
      <c r="B665" s="832">
        <v>2026</v>
      </c>
      <c r="C665" s="832" t="s">
        <v>2462</v>
      </c>
      <c r="D665" s="832" t="s">
        <v>2463</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H40600</v>
      </c>
      <c r="AK665" s="1030" t="str">
        <f t="shared" si="67"/>
        <v>CT ELANTRA  TOURING</v>
      </c>
      <c r="AL665" s="1030" t="str">
        <f>IFERROR(INDEX(G665:R665,1,MATCH(Parametres!$B$3,G$1:R$1,0)-1)*IF(OR(F665="L",F665="S",F665="I"),-1,1),"")</f>
        <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H40600</v>
      </c>
      <c r="AU665" s="599" t="str">
        <f t="shared" si="64"/>
        <v>CT ELANTRA  TOURING</v>
      </c>
      <c r="AV665" s="1030" t="str">
        <f>IFERROR(INDEX(V665:AG665,1,MATCH(Parametres!$B$3,V$1:AG$1,0)-1)*IF(OR(C665="L",C665="S",C665="I"),-1,1),"")</f>
        <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2026</v>
      </c>
      <c r="C666" s="832" t="s">
        <v>2464</v>
      </c>
      <c r="D666" s="832" t="s">
        <v>2465</v>
      </c>
      <c r="E666" s="832" t="s">
        <v>1891</v>
      </c>
      <c r="F666" s="832" t="s">
        <v>2443</v>
      </c>
      <c r="G666" s="832">
        <v>156022.21</v>
      </c>
      <c r="H666" s="832">
        <v>385712.1</v>
      </c>
      <c r="I666" s="832">
        <v>683403.17</v>
      </c>
      <c r="J666" s="832">
        <v>999291.66</v>
      </c>
      <c r="K666" s="832">
        <v>1067965.92</v>
      </c>
      <c r="L666" s="832">
        <v>1067965.92</v>
      </c>
      <c r="M666" s="832">
        <v>1067965.92</v>
      </c>
      <c r="N666" s="832">
        <v>1067965.92</v>
      </c>
      <c r="O666" s="832">
        <v>0</v>
      </c>
      <c r="P666" s="832">
        <v>0</v>
      </c>
      <c r="Q666" s="832">
        <v>0</v>
      </c>
      <c r="R666" s="832">
        <v>0</v>
      </c>
      <c r="S666" s="832">
        <v>152566.56</v>
      </c>
      <c r="T666" s="832">
        <v>152566.56</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H40601</v>
      </c>
      <c r="AK666" s="1030" t="str">
        <f t="shared" si="67"/>
        <v>CT ELANTRA</v>
      </c>
      <c r="AL666" s="1030" t="str">
        <f>IFERROR(INDEX(G666:R666,1,MATCH(Parametres!$B$3,G$1:R$1,0)-1)*IF(OR(F666="L",F666="S",F666="I"),-1,1),"")</f>
        <v/>
      </c>
      <c r="AM666" s="1030">
        <f t="shared" si="62"/>
        <v>156022.21</v>
      </c>
      <c r="AN666" s="1030">
        <f>INDEX(G666:R666,1,MATCH(Parametres!$B$3,G$1:R$1,0))*IF(OR(F666="L",F666="S",F666="I"),-1,1)</f>
        <v>156022.21</v>
      </c>
      <c r="AO666" s="598" t="str">
        <f>+VLOOKUP($AJ666,Data_Validation!$A:$D,1,0)</f>
        <v>H40601</v>
      </c>
      <c r="AP666" s="598" t="str">
        <f>+VLOOKUP($AJ666,Data_Validation!$A:$D,3,0)</f>
        <v>Véhicules neufs</v>
      </c>
      <c r="AQ666" s="598" t="str">
        <f>+VLOOKUP($AJ666,Data_Validation!$A:$D,4,0)</f>
        <v>Autos détail</v>
      </c>
      <c r="AR666" s="598" t="s">
        <v>299</v>
      </c>
      <c r="AS666" s="598">
        <f>+VLOOKUP($AJ666,Data_Validation!$A:$E,5,0)</f>
        <v>0</v>
      </c>
      <c r="AT666" s="1036" t="str">
        <f t="shared" si="63"/>
        <v>H40601</v>
      </c>
      <c r="AU666" s="599" t="str">
        <f t="shared" si="64"/>
        <v>CT ELANTRA</v>
      </c>
      <c r="AV666" s="1030" t="str">
        <f>IFERROR(INDEX(V666:AG666,1,MATCH(Parametres!$B$3,V$1:AG$1,0)-1)*IF(OR(C666="L",C666="S",C666="I"),-1,1),"")</f>
        <v/>
      </c>
      <c r="AW666" s="1030">
        <f t="shared" si="65"/>
        <v>0</v>
      </c>
      <c r="AX666" s="1030">
        <f>INDEX(V666:AG666,1,MATCH(Parametres!$B$3,V$1:AG$1,0))*IF(OR(C666="L",C666="S",C666="I"),-1,1)</f>
        <v>0</v>
      </c>
      <c r="AY666" s="598" t="s">
        <v>337</v>
      </c>
      <c r="AZ666" s="598">
        <f>+VLOOKUP($AJ666,Data_Validation!$A:$E,5,0)</f>
        <v>0</v>
      </c>
    </row>
    <row r="667" spans="1:52" ht="15" customHeight="1">
      <c r="A667" s="832" t="s">
        <v>1150</v>
      </c>
      <c r="B667" s="832">
        <v>2026</v>
      </c>
      <c r="C667" s="832" t="s">
        <v>2466</v>
      </c>
      <c r="D667" s="832" t="s">
        <v>2467</v>
      </c>
      <c r="E667" s="832" t="s">
        <v>1891</v>
      </c>
      <c r="F667" s="832" t="s">
        <v>2443</v>
      </c>
      <c r="G667" s="832">
        <v>0</v>
      </c>
      <c r="H667" s="832">
        <v>0</v>
      </c>
      <c r="I667" s="832">
        <v>0</v>
      </c>
      <c r="J667" s="832">
        <v>0</v>
      </c>
      <c r="K667" s="832">
        <v>0</v>
      </c>
      <c r="L667" s="832">
        <v>0</v>
      </c>
      <c r="M667" s="832">
        <v>0</v>
      </c>
      <c r="N667" s="832">
        <v>0</v>
      </c>
      <c r="O667" s="832">
        <v>0</v>
      </c>
      <c r="P667" s="832">
        <v>0</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H40602</v>
      </c>
      <c r="AK667" s="1030" t="str">
        <f t="shared" si="67"/>
        <v>CT ELANTRA COUPE</v>
      </c>
      <c r="AL667" s="1030" t="str">
        <f>IFERROR(INDEX(G667:R667,1,MATCH(Parametres!$B$3,G$1:R$1,0)-1)*IF(OR(F667="L",F667="S",F667="I"),-1,1),"")</f>
        <v/>
      </c>
      <c r="AM667" s="1030">
        <f t="shared" si="62"/>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t="str">
        <f t="shared" si="63"/>
        <v>H40602</v>
      </c>
      <c r="AU667" s="599" t="str">
        <f t="shared" si="64"/>
        <v>CT ELANTRA COUPE</v>
      </c>
      <c r="AV667" s="1030" t="str">
        <f>IFERROR(INDEX(V667:AG667,1,MATCH(Parametres!$B$3,V$1:AG$1,0)-1)*IF(OR(C667="L",C667="S",C667="I"),-1,1),"")</f>
        <v/>
      </c>
      <c r="AW667" s="1030">
        <f t="shared" si="65"/>
        <v>0</v>
      </c>
      <c r="AX667" s="1030">
        <f>INDEX(V667:AG667,1,MATCH(Parametres!$B$3,V$1:AG$1,0))*IF(OR(C667="L",C667="S",C667="I"),-1,1)</f>
        <v>0</v>
      </c>
      <c r="AY667" s="598" t="s">
        <v>337</v>
      </c>
      <c r="AZ667" s="598" t="e">
        <f>+VLOOKUP($AJ667,Data_Validation!$A:$E,5,0)</f>
        <v>#N/A</v>
      </c>
    </row>
    <row r="668" spans="1:52" ht="15" customHeight="1">
      <c r="A668" s="832" t="s">
        <v>1150</v>
      </c>
      <c r="B668" s="832">
        <v>2026</v>
      </c>
      <c r="C668" s="832" t="s">
        <v>2468</v>
      </c>
      <c r="D668" s="832" t="s">
        <v>2469</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H40603</v>
      </c>
      <c r="AK668" s="1030" t="str">
        <f t="shared" si="67"/>
        <v>CT ELANTRA GT</v>
      </c>
      <c r="AL668" s="1030" t="str">
        <f>IFERROR(INDEX(G668:R668,1,MATCH(Parametres!$B$3,G$1:R$1,0)-1)*IF(OR(F668="L",F668="S",F668="I"),-1,1),"")</f>
        <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H40603</v>
      </c>
      <c r="AU668" s="599" t="str">
        <f t="shared" si="64"/>
        <v>CT ELANTRA GT</v>
      </c>
      <c r="AV668" s="1030" t="str">
        <f>IFERROR(INDEX(V668:AG668,1,MATCH(Parametres!$B$3,V$1:AG$1,0)-1)*IF(OR(C668="L",C668="S",C668="I"),-1,1),"")</f>
        <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2026</v>
      </c>
      <c r="C669" s="832" t="s">
        <v>2470</v>
      </c>
      <c r="D669" s="832" t="s">
        <v>2471</v>
      </c>
      <c r="E669" s="832" t="s">
        <v>1891</v>
      </c>
      <c r="F669" s="832" t="s">
        <v>2443</v>
      </c>
      <c r="G669" s="832">
        <v>0</v>
      </c>
      <c r="H669" s="832">
        <v>33734.61</v>
      </c>
      <c r="I669" s="832">
        <v>66430.36</v>
      </c>
      <c r="J669" s="832">
        <v>98861.11</v>
      </c>
      <c r="K669" s="832">
        <v>98861.11</v>
      </c>
      <c r="L669" s="832">
        <v>98861.11</v>
      </c>
      <c r="M669" s="832">
        <v>98861.11</v>
      </c>
      <c r="N669" s="832">
        <v>98861.11</v>
      </c>
      <c r="O669" s="832">
        <v>0</v>
      </c>
      <c r="P669" s="832">
        <v>0</v>
      </c>
      <c r="Q669" s="832">
        <v>0</v>
      </c>
      <c r="R669" s="832">
        <v>0</v>
      </c>
      <c r="S669" s="832">
        <v>14123.02</v>
      </c>
      <c r="T669" s="832">
        <v>14123.02</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H40604</v>
      </c>
      <c r="AK669" s="1030" t="str">
        <f t="shared" si="67"/>
        <v>CT ELANTRA HYBRIDE</v>
      </c>
      <c r="AL669" s="1030" t="str">
        <f>IFERROR(INDEX(G669:R669,1,MATCH(Parametres!$B$3,G$1:R$1,0)-1)*IF(OR(F669="L",F669="S",F669="I"),-1,1),"")</f>
        <v/>
      </c>
      <c r="AM669" s="1030">
        <f t="shared" si="62"/>
        <v>0</v>
      </c>
      <c r="AN669" s="1030">
        <f>INDEX(G669:R669,1,MATCH(Parametres!$B$3,G$1:R$1,0))*IF(OR(F669="L",F669="S",F669="I"),-1,1)</f>
        <v>0</v>
      </c>
      <c r="AO669" s="598" t="str">
        <f>+VLOOKUP($AJ669,Data_Validation!$A:$D,1,0)</f>
        <v>H40604</v>
      </c>
      <c r="AP669" s="598" t="str">
        <f>+VLOOKUP($AJ669,Data_Validation!$A:$D,3,0)</f>
        <v>Véhicules neufs</v>
      </c>
      <c r="AQ669" s="598" t="str">
        <f>+VLOOKUP($AJ669,Data_Validation!$A:$D,4,0)</f>
        <v>Autos détail</v>
      </c>
      <c r="AR669" s="598" t="s">
        <v>299</v>
      </c>
      <c r="AS669" s="598">
        <f>+VLOOKUP($AJ669,Data_Validation!$A:$E,5,0)</f>
        <v>0</v>
      </c>
      <c r="AT669" s="1036" t="str">
        <f t="shared" si="63"/>
        <v>H40604</v>
      </c>
      <c r="AU669" s="599" t="str">
        <f t="shared" si="64"/>
        <v>CT ELANTRA HYBRIDE</v>
      </c>
      <c r="AV669" s="1030" t="str">
        <f>IFERROR(INDEX(V669:AG669,1,MATCH(Parametres!$B$3,V$1:AG$1,0)-1)*IF(OR(C669="L",C669="S",C669="I"),-1,1),"")</f>
        <v/>
      </c>
      <c r="AW669" s="1030">
        <f t="shared" si="65"/>
        <v>0</v>
      </c>
      <c r="AX669" s="1030">
        <f>INDEX(V669:AG669,1,MATCH(Parametres!$B$3,V$1:AG$1,0))*IF(OR(C669="L",C669="S",C669="I"),-1,1)</f>
        <v>0</v>
      </c>
      <c r="AY669" s="598" t="s">
        <v>337</v>
      </c>
      <c r="AZ669" s="598">
        <f>+VLOOKUP($AJ669,Data_Validation!$A:$E,5,0)</f>
        <v>0</v>
      </c>
    </row>
    <row r="670" spans="1:52" ht="15" customHeight="1">
      <c r="A670" s="832" t="s">
        <v>1150</v>
      </c>
      <c r="B670" s="832">
        <v>2026</v>
      </c>
      <c r="C670" s="832" t="s">
        <v>2472</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H40620</v>
      </c>
      <c r="AK670" s="1030" t="str">
        <f t="shared" si="67"/>
        <v>CT ELANTRA COUPE</v>
      </c>
      <c r="AL670" s="1030" t="str">
        <f>IFERROR(INDEX(G670:R670,1,MATCH(Parametres!$B$3,G$1:R$1,0)-1)*IF(OR(F670="L",F670="S",F670="I"),-1,1),"")</f>
        <v/>
      </c>
      <c r="AM670" s="1030">
        <f t="shared" si="62"/>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t="str">
        <f t="shared" si="63"/>
        <v>H40620</v>
      </c>
      <c r="AU670" s="599" t="str">
        <f t="shared" si="64"/>
        <v>CT ELANTRA COUPE</v>
      </c>
      <c r="AV670" s="1030" t="str">
        <f>IFERROR(INDEX(V670:AG670,1,MATCH(Parametres!$B$3,V$1:AG$1,0)-1)*IF(OR(C670="L",C670="S",C670="I"),-1,1),"")</f>
        <v/>
      </c>
      <c r="AW670" s="1030">
        <f t="shared" si="65"/>
        <v>0</v>
      </c>
      <c r="AX670" s="1030">
        <f>INDEX(V670:AG670,1,MATCH(Parametres!$B$3,V$1:AG$1,0))*IF(OR(C670="L",C670="S",C670="I"),-1,1)</f>
        <v>0</v>
      </c>
      <c r="AY670" s="598" t="s">
        <v>337</v>
      </c>
      <c r="AZ670" s="598" t="e">
        <f>+VLOOKUP($AJ670,Data_Validation!$A:$E,5,0)</f>
        <v>#N/A</v>
      </c>
    </row>
    <row r="671" spans="1:52" ht="15" customHeight="1">
      <c r="A671" s="832" t="s">
        <v>1150</v>
      </c>
      <c r="B671" s="832">
        <v>2026</v>
      </c>
      <c r="C671" s="832" t="s">
        <v>2473</v>
      </c>
      <c r="D671" s="832" t="s">
        <v>2474</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H40700</v>
      </c>
      <c r="AK671" s="1030" t="str">
        <f t="shared" si="67"/>
        <v>CT VEH NF GENESIS</v>
      </c>
      <c r="AL671" s="1030" t="str">
        <f>IFERROR(INDEX(G671:R671,1,MATCH(Parametres!$B$3,G$1:R$1,0)-1)*IF(OR(F671="L",F671="S",F671="I"),-1,1),"")</f>
        <v/>
      </c>
      <c r="AM671" s="1030">
        <f t="shared" si="62"/>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t="str">
        <f t="shared" si="63"/>
        <v>H40700</v>
      </c>
      <c r="AU671" s="599" t="str">
        <f t="shared" si="64"/>
        <v>CT VEH NF GENESIS</v>
      </c>
      <c r="AV671" s="1030" t="str">
        <f>IFERROR(INDEX(V671:AG671,1,MATCH(Parametres!$B$3,V$1:AG$1,0)-1)*IF(OR(C671="L",C671="S",C671="I"),-1,1),"")</f>
        <v/>
      </c>
      <c r="AW671" s="1030">
        <f t="shared" si="65"/>
        <v>0</v>
      </c>
      <c r="AX671" s="1030">
        <f>INDEX(V671:AG671,1,MATCH(Parametres!$B$3,V$1:AG$1,0))*IF(OR(C671="L",C671="S",C671="I"),-1,1)</f>
        <v>0</v>
      </c>
      <c r="AY671" s="598" t="s">
        <v>337</v>
      </c>
      <c r="AZ671" s="598" t="e">
        <f>+VLOOKUP($AJ671,Data_Validation!$A:$E,5,0)</f>
        <v>#N/A</v>
      </c>
    </row>
    <row r="672" spans="1:52" ht="15" customHeight="1">
      <c r="A672" s="832" t="s">
        <v>1150</v>
      </c>
      <c r="B672" s="832">
        <v>2026</v>
      </c>
      <c r="C672" s="832" t="s">
        <v>2475</v>
      </c>
      <c r="D672" s="832" t="s">
        <v>2476</v>
      </c>
      <c r="E672" s="832" t="s">
        <v>1891</v>
      </c>
      <c r="F672" s="832" t="s">
        <v>2443</v>
      </c>
      <c r="G672" s="832">
        <v>0</v>
      </c>
      <c r="H672" s="832">
        <v>0</v>
      </c>
      <c r="I672" s="832">
        <v>0</v>
      </c>
      <c r="J672" s="832">
        <v>111853.55</v>
      </c>
      <c r="K672" s="832">
        <v>191023.79</v>
      </c>
      <c r="L672" s="832">
        <v>191023.79</v>
      </c>
      <c r="M672" s="832">
        <v>191023.79</v>
      </c>
      <c r="N672" s="832">
        <v>191023.79</v>
      </c>
      <c r="O672" s="832">
        <v>0</v>
      </c>
      <c r="P672" s="832">
        <v>0</v>
      </c>
      <c r="Q672" s="832">
        <v>0</v>
      </c>
      <c r="R672" s="832">
        <v>0</v>
      </c>
      <c r="S672" s="832">
        <v>27289.11</v>
      </c>
      <c r="T672" s="832">
        <v>27289.11</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H40800</v>
      </c>
      <c r="AK672" s="1030" t="str">
        <f t="shared" si="67"/>
        <v>CT VEH NF IONIQ EV ET H</v>
      </c>
      <c r="AL672" s="1030" t="str">
        <f>IFERROR(INDEX(G672:R672,1,MATCH(Parametres!$B$3,G$1:R$1,0)-1)*IF(OR(F672="L",F672="S",F672="I"),-1,1),"")</f>
        <v/>
      </c>
      <c r="AM672" s="1030">
        <f t="shared" si="62"/>
        <v>0</v>
      </c>
      <c r="AN672" s="1030">
        <f>INDEX(G672:R672,1,MATCH(Parametres!$B$3,G$1:R$1,0))*IF(OR(F672="L",F672="S",F672="I"),-1,1)</f>
        <v>0</v>
      </c>
      <c r="AO672" s="598" t="str">
        <f>+VLOOKUP($AJ672,Data_Validation!$A:$D,1,0)</f>
        <v>H40800</v>
      </c>
      <c r="AP672" s="598" t="str">
        <f>+VLOOKUP($AJ672,Data_Validation!$A:$D,3,0)</f>
        <v>Véhicules neufs</v>
      </c>
      <c r="AQ672" s="598" t="str">
        <f>+VLOOKUP($AJ672,Data_Validation!$A:$D,4,0)</f>
        <v>Voitures electriques</v>
      </c>
      <c r="AR672" s="598" t="s">
        <v>299</v>
      </c>
      <c r="AS672" s="598">
        <f>+VLOOKUP($AJ672,Data_Validation!$A:$E,5,0)</f>
        <v>0</v>
      </c>
      <c r="AT672" s="1036" t="str">
        <f t="shared" si="63"/>
        <v>H40800</v>
      </c>
      <c r="AU672" s="599" t="str">
        <f t="shared" si="64"/>
        <v>CT VEH NF IONIQ EV ET H</v>
      </c>
      <c r="AV672" s="1030" t="str">
        <f>IFERROR(INDEX(V672:AG672,1,MATCH(Parametres!$B$3,V$1:AG$1,0)-1)*IF(OR(C672="L",C672="S",C672="I"),-1,1),"")</f>
        <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2026</v>
      </c>
      <c r="C673" s="832" t="s">
        <v>2477</v>
      </c>
      <c r="D673" s="832" t="s">
        <v>2478</v>
      </c>
      <c r="E673" s="832" t="s">
        <v>1891</v>
      </c>
      <c r="F673" s="832" t="s">
        <v>2443</v>
      </c>
      <c r="G673" s="832">
        <v>0</v>
      </c>
      <c r="H673" s="832">
        <v>0</v>
      </c>
      <c r="I673" s="832">
        <v>0</v>
      </c>
      <c r="J673" s="832">
        <v>139627.18</v>
      </c>
      <c r="K673" s="832">
        <v>406445.42</v>
      </c>
      <c r="L673" s="832">
        <v>406445.42</v>
      </c>
      <c r="M673" s="832">
        <v>406445.42</v>
      </c>
      <c r="N673" s="832">
        <v>406445.42</v>
      </c>
      <c r="O673" s="832">
        <v>0</v>
      </c>
      <c r="P673" s="832">
        <v>0</v>
      </c>
      <c r="Q673" s="832">
        <v>0</v>
      </c>
      <c r="R673" s="832">
        <v>0</v>
      </c>
      <c r="S673" s="832">
        <v>58063.63</v>
      </c>
      <c r="T673" s="832">
        <v>58063.63</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H40801</v>
      </c>
      <c r="AK673" s="1030" t="str">
        <f t="shared" si="67"/>
        <v>CT VEH NF IONIQ HYBRIDE</v>
      </c>
      <c r="AL673" s="1030" t="str">
        <f>IFERROR(INDEX(G673:R673,1,MATCH(Parametres!$B$3,G$1:R$1,0)-1)*IF(OR(F673="L",F673="S",F673="I"),-1,1),"")</f>
        <v/>
      </c>
      <c r="AM673" s="1030">
        <f t="shared" si="62"/>
        <v>0</v>
      </c>
      <c r="AN673" s="1030">
        <f>INDEX(G673:R673,1,MATCH(Parametres!$B$3,G$1:R$1,0))*IF(OR(F673="L",F673="S",F673="I"),-1,1)</f>
        <v>0</v>
      </c>
      <c r="AO673" s="598" t="str">
        <f>+VLOOKUP($AJ673,Data_Validation!$A:$D,1,0)</f>
        <v>H40801</v>
      </c>
      <c r="AP673" s="598" t="str">
        <f>+VLOOKUP($AJ673,Data_Validation!$A:$D,3,0)</f>
        <v>Véhicules neufs</v>
      </c>
      <c r="AQ673" s="598" t="str">
        <f>+VLOOKUP($AJ673,Data_Validation!$A:$D,4,0)</f>
        <v>Voitures electriques</v>
      </c>
      <c r="AR673" s="598" t="s">
        <v>299</v>
      </c>
      <c r="AS673" s="598">
        <f>+VLOOKUP($AJ673,Data_Validation!$A:$E,5,0)</f>
        <v>0</v>
      </c>
      <c r="AT673" s="1036" t="str">
        <f t="shared" si="63"/>
        <v>H40801</v>
      </c>
      <c r="AU673" s="599" t="str">
        <f t="shared" si="64"/>
        <v>CT VEH NF IONIQ HYBRIDE</v>
      </c>
      <c r="AV673" s="1030" t="str">
        <f>IFERROR(INDEX(V673:AG673,1,MATCH(Parametres!$B$3,V$1:AG$1,0)-1)*IF(OR(C673="L",C673="S",C673="I"),-1,1),"")</f>
        <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2026</v>
      </c>
      <c r="C674" s="832" t="s">
        <v>2479</v>
      </c>
      <c r="D674" s="832" t="s">
        <v>2480</v>
      </c>
      <c r="E674" s="832" t="s">
        <v>1891</v>
      </c>
      <c r="F674" s="832" t="s">
        <v>2443</v>
      </c>
      <c r="G674" s="832">
        <v>309903.61</v>
      </c>
      <c r="H674" s="832">
        <v>501339.64</v>
      </c>
      <c r="I674" s="832">
        <v>902670.68</v>
      </c>
      <c r="J674" s="832">
        <v>1372152.49</v>
      </c>
      <c r="K674" s="832">
        <v>1651467.9</v>
      </c>
      <c r="L674" s="832">
        <v>1651467.9</v>
      </c>
      <c r="M674" s="832">
        <v>1651467.9</v>
      </c>
      <c r="N674" s="832">
        <v>1651467.9</v>
      </c>
      <c r="O674" s="832">
        <v>0</v>
      </c>
      <c r="P674" s="832">
        <v>0</v>
      </c>
      <c r="Q674" s="832">
        <v>0</v>
      </c>
      <c r="R674" s="832">
        <v>0</v>
      </c>
      <c r="S674" s="832">
        <v>235923.99</v>
      </c>
      <c r="T674" s="832">
        <v>235923.99</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H40900</v>
      </c>
      <c r="AK674" s="1030" t="str">
        <f t="shared" si="67"/>
        <v>CT KONA</v>
      </c>
      <c r="AL674" s="1030" t="str">
        <f>IFERROR(INDEX(G674:R674,1,MATCH(Parametres!$B$3,G$1:R$1,0)-1)*IF(OR(F674="L",F674="S",F674="I"),-1,1),"")</f>
        <v/>
      </c>
      <c r="AM674" s="1030">
        <f t="shared" si="62"/>
        <v>309903.61</v>
      </c>
      <c r="AN674" s="1030">
        <f>INDEX(G674:R674,1,MATCH(Parametres!$B$3,G$1:R$1,0))*IF(OR(F674="L",F674="S",F674="I"),-1,1)</f>
        <v>309903.61</v>
      </c>
      <c r="AO674" s="598" t="str">
        <f>+VLOOKUP($AJ674,Data_Validation!$A:$D,1,0)</f>
        <v>H40900</v>
      </c>
      <c r="AP674" s="598" t="str">
        <f>+VLOOKUP($AJ674,Data_Validation!$A:$D,3,0)</f>
        <v>Véhicules neufs</v>
      </c>
      <c r="AQ674" s="598" t="str">
        <f>+VLOOKUP($AJ674,Data_Validation!$A:$D,4,0)</f>
        <v>Camions détail</v>
      </c>
      <c r="AR674" s="598" t="s">
        <v>299</v>
      </c>
      <c r="AS674" s="598">
        <f>+VLOOKUP($AJ674,Data_Validation!$A:$E,5,0)</f>
        <v>0</v>
      </c>
      <c r="AT674" s="1036" t="str">
        <f t="shared" si="63"/>
        <v>H40900</v>
      </c>
      <c r="AU674" s="599" t="str">
        <f t="shared" si="64"/>
        <v>CT KONA</v>
      </c>
      <c r="AV674" s="1030" t="str">
        <f>IFERROR(INDEX(V674:AG674,1,MATCH(Parametres!$B$3,V$1:AG$1,0)-1)*IF(OR(C674="L",C674="S",C674="I"),-1,1),"")</f>
        <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2026</v>
      </c>
      <c r="C675" s="832" t="s">
        <v>2481</v>
      </c>
      <c r="D675" s="832" t="s">
        <v>2482</v>
      </c>
      <c r="E675" s="832" t="s">
        <v>1891</v>
      </c>
      <c r="F675" s="832" t="s">
        <v>2443</v>
      </c>
      <c r="G675" s="832">
        <v>44914</v>
      </c>
      <c r="H675" s="832">
        <v>226116.85</v>
      </c>
      <c r="I675" s="832">
        <v>726451.48</v>
      </c>
      <c r="J675" s="832">
        <v>1200221.22</v>
      </c>
      <c r="K675" s="832">
        <v>1512068.26</v>
      </c>
      <c r="L675" s="832">
        <v>1512068.26</v>
      </c>
      <c r="M675" s="832">
        <v>1512068.26</v>
      </c>
      <c r="N675" s="832">
        <v>1512068.26</v>
      </c>
      <c r="O675" s="832">
        <v>0</v>
      </c>
      <c r="P675" s="832">
        <v>0</v>
      </c>
      <c r="Q675" s="832">
        <v>0</v>
      </c>
      <c r="R675" s="832">
        <v>0</v>
      </c>
      <c r="S675" s="832">
        <v>216009.75</v>
      </c>
      <c r="T675" s="832">
        <v>216009.75</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H40901</v>
      </c>
      <c r="AK675" s="1030" t="str">
        <f t="shared" si="67"/>
        <v>CT KONA EV</v>
      </c>
      <c r="AL675" s="1030" t="str">
        <f>IFERROR(INDEX(G675:R675,1,MATCH(Parametres!$B$3,G$1:R$1,0)-1)*IF(OR(F675="L",F675="S",F675="I"),-1,1),"")</f>
        <v/>
      </c>
      <c r="AM675" s="1030">
        <f t="shared" si="62"/>
        <v>44914</v>
      </c>
      <c r="AN675" s="1030">
        <f>INDEX(G675:R675,1,MATCH(Parametres!$B$3,G$1:R$1,0))*IF(OR(F675="L",F675="S",F675="I"),-1,1)</f>
        <v>44914</v>
      </c>
      <c r="AO675" s="598" t="str">
        <f>+VLOOKUP($AJ675,Data_Validation!$A:$D,1,0)</f>
        <v>H40901</v>
      </c>
      <c r="AP675" s="598" t="str">
        <f>+VLOOKUP($AJ675,Data_Validation!$A:$D,3,0)</f>
        <v>Véhicules neufs</v>
      </c>
      <c r="AQ675" s="598" t="str">
        <f>+VLOOKUP($AJ675,Data_Validation!$A:$D,4,0)</f>
        <v>Voitures electriques</v>
      </c>
      <c r="AR675" s="598" t="s">
        <v>299</v>
      </c>
      <c r="AS675" s="598">
        <f>+VLOOKUP($AJ675,Data_Validation!$A:$E,5,0)</f>
        <v>0</v>
      </c>
      <c r="AT675" s="1036" t="str">
        <f t="shared" si="63"/>
        <v>H40901</v>
      </c>
      <c r="AU675" s="599" t="str">
        <f t="shared" si="64"/>
        <v>CT KONA EV</v>
      </c>
      <c r="AV675" s="1030" t="str">
        <f>IFERROR(INDEX(V675:AG675,1,MATCH(Parametres!$B$3,V$1:AG$1,0)-1)*IF(OR(C675="L",C675="S",C675="I"),-1,1),"")</f>
        <v/>
      </c>
      <c r="AW675" s="1030">
        <f t="shared" si="65"/>
        <v>0</v>
      </c>
      <c r="AX675" s="1030">
        <f>INDEX(V675:AG675,1,MATCH(Parametres!$B$3,V$1:AG$1,0))*IF(OR(C675="L",C675="S",C675="I"),-1,1)</f>
        <v>0</v>
      </c>
      <c r="AY675" s="598" t="s">
        <v>337</v>
      </c>
      <c r="AZ675" s="598">
        <f>+VLOOKUP($AJ675,Data_Validation!$A:$E,5,0)</f>
        <v>0</v>
      </c>
    </row>
    <row r="676" spans="1:52" ht="15" customHeight="1">
      <c r="A676" s="832" t="s">
        <v>1150</v>
      </c>
      <c r="B676" s="832">
        <v>2026</v>
      </c>
      <c r="C676" s="832" t="s">
        <v>2483</v>
      </c>
      <c r="D676" s="832" t="s">
        <v>2484</v>
      </c>
      <c r="E676" s="832" t="s">
        <v>1891</v>
      </c>
      <c r="F676" s="832" t="s">
        <v>2443</v>
      </c>
      <c r="G676" s="832">
        <v>38765.26</v>
      </c>
      <c r="H676" s="832">
        <v>38765.26</v>
      </c>
      <c r="I676" s="832">
        <v>38765.26</v>
      </c>
      <c r="J676" s="832">
        <v>113093.21</v>
      </c>
      <c r="K676" s="832">
        <v>149469.21</v>
      </c>
      <c r="L676" s="832">
        <v>149469.21</v>
      </c>
      <c r="M676" s="832">
        <v>149469.21</v>
      </c>
      <c r="N676" s="832">
        <v>149469.21</v>
      </c>
      <c r="O676" s="832">
        <v>0</v>
      </c>
      <c r="P676" s="832">
        <v>0</v>
      </c>
      <c r="Q676" s="832">
        <v>0</v>
      </c>
      <c r="R676" s="832">
        <v>0</v>
      </c>
      <c r="S676" s="832">
        <v>21352.74</v>
      </c>
      <c r="T676" s="832">
        <v>21352.74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H41000</v>
      </c>
      <c r="AK676" s="1030" t="str">
        <f t="shared" si="67"/>
        <v>CT SONATA</v>
      </c>
      <c r="AL676" s="1030" t="str">
        <f>IFERROR(INDEX(G676:R676,1,MATCH(Parametres!$B$3,G$1:R$1,0)-1)*IF(OR(F676="L",F676="S",F676="I"),-1,1),"")</f>
        <v/>
      </c>
      <c r="AM676" s="1030">
        <f t="shared" si="62"/>
        <v>38765.26</v>
      </c>
      <c r="AN676" s="1030">
        <f>INDEX(G676:R676,1,MATCH(Parametres!$B$3,G$1:R$1,0))*IF(OR(F676="L",F676="S",F676="I"),-1,1)</f>
        <v>38765.26</v>
      </c>
      <c r="AO676" s="598" t="str">
        <f>+VLOOKUP($AJ676,Data_Validation!$A:$D,1,0)</f>
        <v>H41000</v>
      </c>
      <c r="AP676" s="598" t="str">
        <f>+VLOOKUP($AJ676,Data_Validation!$A:$D,3,0)</f>
        <v>Véhicules neufs</v>
      </c>
      <c r="AQ676" s="598" t="str">
        <f>+VLOOKUP($AJ676,Data_Validation!$A:$D,4,0)</f>
        <v>Autos détail</v>
      </c>
      <c r="AR676" s="598" t="s">
        <v>299</v>
      </c>
      <c r="AS676" s="598">
        <f>+VLOOKUP($AJ676,Data_Validation!$A:$E,5,0)</f>
        <v>0</v>
      </c>
      <c r="AT676" s="1036" t="str">
        <f t="shared" si="63"/>
        <v>H41000</v>
      </c>
      <c r="AU676" s="599" t="str">
        <f t="shared" si="64"/>
        <v>CT SONATA</v>
      </c>
      <c r="AV676" s="1030" t="str">
        <f>IFERROR(INDEX(V676:AG676,1,MATCH(Parametres!$B$3,V$1:AG$1,0)-1)*IF(OR(C676="L",C676="S",C676="I"),-1,1),"")</f>
        <v/>
      </c>
      <c r="AW676" s="1030">
        <f t="shared" si="65"/>
        <v>0</v>
      </c>
      <c r="AX676" s="1030">
        <f>INDEX(V676:AG676,1,MATCH(Parametres!$B$3,V$1:AG$1,0))*IF(OR(C676="L",C676="S",C676="I"),-1,1)</f>
        <v>0</v>
      </c>
      <c r="AY676" s="598" t="s">
        <v>337</v>
      </c>
      <c r="AZ676" s="598">
        <f>+VLOOKUP($AJ676,Data_Validation!$A:$E,5,0)</f>
        <v>0</v>
      </c>
    </row>
    <row r="677" spans="1:52" ht="15" customHeight="1">
      <c r="A677" s="832" t="s">
        <v>1150</v>
      </c>
      <c r="B677" s="832">
        <v>2026</v>
      </c>
      <c r="C677" s="832" t="s">
        <v>2485</v>
      </c>
      <c r="D677" s="832" t="s">
        <v>2486</v>
      </c>
      <c r="E677" s="832" t="s">
        <v>1891</v>
      </c>
      <c r="F677" s="832" t="s">
        <v>2443</v>
      </c>
      <c r="G677" s="832">
        <v>0</v>
      </c>
      <c r="H677" s="832">
        <v>0</v>
      </c>
      <c r="I677" s="832">
        <v>0</v>
      </c>
      <c r="J677" s="832">
        <v>0</v>
      </c>
      <c r="K677" s="832">
        <v>0</v>
      </c>
      <c r="L677" s="832">
        <v>0</v>
      </c>
      <c r="M677" s="832">
        <v>0</v>
      </c>
      <c r="N677" s="832">
        <v>0</v>
      </c>
      <c r="O677" s="832">
        <v>0</v>
      </c>
      <c r="P677" s="832">
        <v>0</v>
      </c>
      <c r="Q677" s="832">
        <v>0</v>
      </c>
      <c r="R677" s="832">
        <v>0</v>
      </c>
      <c r="S677" s="832">
        <v>0</v>
      </c>
      <c r="T677" s="832">
        <v>0</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H41100</v>
      </c>
      <c r="AK677" s="1030" t="str">
        <f t="shared" si="67"/>
        <v>CT EQUUS</v>
      </c>
      <c r="AL677" s="1030" t="str">
        <f>IFERROR(INDEX(G677:R677,1,MATCH(Parametres!$B$3,G$1:R$1,0)-1)*IF(OR(F677="L",F677="S",F677="I"),-1,1),"")</f>
        <v/>
      </c>
      <c r="AM677" s="1030">
        <f t="shared" si="62"/>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t="str">
        <f t="shared" si="63"/>
        <v>H41100</v>
      </c>
      <c r="AU677" s="599" t="str">
        <f t="shared" si="64"/>
        <v>CT EQUUS</v>
      </c>
      <c r="AV677" s="1030" t="str">
        <f>IFERROR(INDEX(V677:AG677,1,MATCH(Parametres!$B$3,V$1:AG$1,0)-1)*IF(OR(C677="L",C677="S",C677="I"),-1,1),"")</f>
        <v/>
      </c>
      <c r="AW677" s="1030">
        <f t="shared" si="65"/>
        <v>0</v>
      </c>
      <c r="AX677" s="1030">
        <f>INDEX(V677:AG677,1,MATCH(Parametres!$B$3,V$1:AG$1,0))*IF(OR(C677="L",C677="S",C677="I"),-1,1)</f>
        <v>0</v>
      </c>
      <c r="AY677" s="598" t="s">
        <v>337</v>
      </c>
      <c r="AZ677" s="598" t="e">
        <f>+VLOOKUP($AJ677,Data_Validation!$A:$E,5,0)</f>
        <v>#N/A</v>
      </c>
    </row>
    <row r="678" spans="1:52" ht="15" customHeight="1">
      <c r="A678" s="832" t="s">
        <v>1150</v>
      </c>
      <c r="B678" s="832">
        <v>2026</v>
      </c>
      <c r="C678" s="832" t="s">
        <v>2487</v>
      </c>
      <c r="D678" s="832" t="s">
        <v>2488</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H41200</v>
      </c>
      <c r="AK678" s="1030" t="str">
        <f t="shared" si="67"/>
        <v>CT VELOSTER</v>
      </c>
      <c r="AL678" s="1030" t="str">
        <f>IFERROR(INDEX(G678:R678,1,MATCH(Parametres!$B$3,G$1:R$1,0)-1)*IF(OR(F678="L",F678="S",F678="I"),-1,1),"")</f>
        <v/>
      </c>
      <c r="AM678" s="1030">
        <f t="shared" si="62"/>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t="str">
        <f t="shared" si="63"/>
        <v>H41200</v>
      </c>
      <c r="AU678" s="599" t="str">
        <f t="shared" si="64"/>
        <v>CT VELOSTER</v>
      </c>
      <c r="AV678" s="1030" t="str">
        <f>IFERROR(INDEX(V678:AG678,1,MATCH(Parametres!$B$3,V$1:AG$1,0)-1)*IF(OR(C678="L",C678="S",C678="I"),-1,1),"")</f>
        <v/>
      </c>
      <c r="AW678" s="1030">
        <f t="shared" si="65"/>
        <v>0</v>
      </c>
      <c r="AX678" s="1030">
        <f>INDEX(V678:AG678,1,MATCH(Parametres!$B$3,V$1:AG$1,0))*IF(OR(C678="L",C678="S",C678="I"),-1,1)</f>
        <v>0</v>
      </c>
      <c r="AY678" s="598" t="s">
        <v>337</v>
      </c>
      <c r="AZ678" s="598" t="e">
        <f>+VLOOKUP($AJ678,Data_Validation!$A:$E,5,0)</f>
        <v>#N/A</v>
      </c>
    </row>
    <row r="679" spans="1:52" ht="15" customHeight="1">
      <c r="A679" s="832" t="s">
        <v>1150</v>
      </c>
      <c r="B679" s="832">
        <v>2026</v>
      </c>
      <c r="C679" s="832" t="s">
        <v>2489</v>
      </c>
      <c r="D679" s="832" t="s">
        <v>2490</v>
      </c>
      <c r="E679" s="832" t="s">
        <v>1891</v>
      </c>
      <c r="F679" s="832" t="s">
        <v>2443</v>
      </c>
      <c r="G679" s="832">
        <v>394554.89</v>
      </c>
      <c r="H679" s="832">
        <v>590629.12</v>
      </c>
      <c r="I679" s="832">
        <v>1060637.98</v>
      </c>
      <c r="J679" s="832">
        <v>1813290.57</v>
      </c>
      <c r="K679" s="832">
        <v>2229501.84</v>
      </c>
      <c r="L679" s="832">
        <v>2229501.84</v>
      </c>
      <c r="M679" s="832">
        <v>2229501.84</v>
      </c>
      <c r="N679" s="832">
        <v>2229501.84</v>
      </c>
      <c r="O679" s="832">
        <v>0</v>
      </c>
      <c r="P679" s="832">
        <v>0</v>
      </c>
      <c r="Q679" s="832">
        <v>0</v>
      </c>
      <c r="R679" s="832">
        <v>0</v>
      </c>
      <c r="S679" s="832">
        <v>318500.26</v>
      </c>
      <c r="T679" s="832">
        <v>318500.26</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H41300</v>
      </c>
      <c r="AK679" s="1030" t="str">
        <f t="shared" si="67"/>
        <v>CT VEH NF TUCSON</v>
      </c>
      <c r="AL679" s="1030" t="str">
        <f>IFERROR(INDEX(G679:R679,1,MATCH(Parametres!$B$3,G$1:R$1,0)-1)*IF(OR(F679="L",F679="S",F679="I"),-1,1),"")</f>
        <v/>
      </c>
      <c r="AM679" s="1030">
        <f t="shared" si="62"/>
        <v>394554.89</v>
      </c>
      <c r="AN679" s="1030">
        <f>INDEX(G679:R679,1,MATCH(Parametres!$B$3,G$1:R$1,0))*IF(OR(F679="L",F679="S",F679="I"),-1,1)</f>
        <v>394554.89</v>
      </c>
      <c r="AO679" s="598" t="str">
        <f>+VLOOKUP($AJ679,Data_Validation!$A:$D,1,0)</f>
        <v>H41300</v>
      </c>
      <c r="AP679" s="598" t="str">
        <f>+VLOOKUP($AJ679,Data_Validation!$A:$D,3,0)</f>
        <v>Véhicules neufs</v>
      </c>
      <c r="AQ679" s="598" t="str">
        <f>+VLOOKUP($AJ679,Data_Validation!$A:$D,4,0)</f>
        <v>Camions détail</v>
      </c>
      <c r="AR679" s="598" t="s">
        <v>299</v>
      </c>
      <c r="AS679" s="598">
        <f>+VLOOKUP($AJ679,Data_Validation!$A:$E,5,0)</f>
        <v>0</v>
      </c>
      <c r="AT679" s="1036" t="str">
        <f t="shared" si="63"/>
        <v>H41300</v>
      </c>
      <c r="AU679" s="599" t="str">
        <f t="shared" si="64"/>
        <v>CT VEH NF TUCSON</v>
      </c>
      <c r="AV679" s="1030" t="str">
        <f>IFERROR(INDEX(V679:AG679,1,MATCH(Parametres!$B$3,V$1:AG$1,0)-1)*IF(OR(C679="L",C679="S",C679="I"),-1,1),"")</f>
        <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2026</v>
      </c>
      <c r="C680" s="832" t="s">
        <v>2491</v>
      </c>
      <c r="D680" s="832" t="s">
        <v>2492</v>
      </c>
      <c r="E680" s="832" t="s">
        <v>1891</v>
      </c>
      <c r="F680" s="832" t="s">
        <v>2443</v>
      </c>
      <c r="G680" s="832">
        <v>229419.75</v>
      </c>
      <c r="H680" s="832">
        <v>406525.09</v>
      </c>
      <c r="I680" s="832">
        <v>1038564.55</v>
      </c>
      <c r="J680" s="832">
        <v>1038564.55</v>
      </c>
      <c r="K680" s="832">
        <v>1038564.55</v>
      </c>
      <c r="L680" s="832">
        <v>1038564.55</v>
      </c>
      <c r="M680" s="832">
        <v>1038564.55</v>
      </c>
      <c r="N680" s="832">
        <v>1038564.55</v>
      </c>
      <c r="O680" s="832">
        <v>0</v>
      </c>
      <c r="P680" s="832">
        <v>0</v>
      </c>
      <c r="Q680" s="832">
        <v>0</v>
      </c>
      <c r="R680" s="832">
        <v>0</v>
      </c>
      <c r="S680" s="832">
        <v>148366.35999999999</v>
      </c>
      <c r="T680" s="832">
        <v>148366.35999999999</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H41301</v>
      </c>
      <c r="AK680" s="1030" t="str">
        <f t="shared" si="67"/>
        <v>CT TUCSON HYBRID</v>
      </c>
      <c r="AL680" s="1030" t="str">
        <f>IFERROR(INDEX(G680:R680,1,MATCH(Parametres!$B$3,G$1:R$1,0)-1)*IF(OR(F680="L",F680="S",F680="I"),-1,1),"")</f>
        <v/>
      </c>
      <c r="AM680" s="1030">
        <f t="shared" si="62"/>
        <v>229419.75</v>
      </c>
      <c r="AN680" s="1030">
        <f>INDEX(G680:R680,1,MATCH(Parametres!$B$3,G$1:R$1,0))*IF(OR(F680="L",F680="S",F680="I"),-1,1)</f>
        <v>229419.75</v>
      </c>
      <c r="AO680" s="598" t="str">
        <f>+VLOOKUP($AJ680,Data_Validation!$A:$D,1,0)</f>
        <v>H41301</v>
      </c>
      <c r="AP680" s="598" t="str">
        <f>+VLOOKUP($AJ680,Data_Validation!$A:$D,3,0)</f>
        <v>Véhicules neufs</v>
      </c>
      <c r="AQ680" s="598" t="str">
        <f>+VLOOKUP($AJ680,Data_Validation!$A:$D,4,0)</f>
        <v>Camions détail</v>
      </c>
      <c r="AR680" s="598" t="s">
        <v>299</v>
      </c>
      <c r="AS680" s="598">
        <f>+VLOOKUP($AJ680,Data_Validation!$A:$E,5,0)</f>
        <v>0</v>
      </c>
      <c r="AT680" s="1036" t="str">
        <f t="shared" si="63"/>
        <v>H41301</v>
      </c>
      <c r="AU680" s="599" t="str">
        <f t="shared" si="64"/>
        <v>CT TUCSON HYBRID</v>
      </c>
      <c r="AV680" s="1030" t="str">
        <f>IFERROR(INDEX(V680:AG680,1,MATCH(Parametres!$B$3,V$1:AG$1,0)-1)*IF(OR(C680="L",C680="S",C680="I"),-1,1),"")</f>
        <v/>
      </c>
      <c r="AW680" s="1030">
        <f t="shared" si="65"/>
        <v>0</v>
      </c>
      <c r="AX680" s="1030">
        <f>INDEX(V680:AG680,1,MATCH(Parametres!$B$3,V$1:AG$1,0))*IF(OR(C680="L",C680="S",C680="I"),-1,1)</f>
        <v>0</v>
      </c>
      <c r="AY680" s="598" t="s">
        <v>337</v>
      </c>
      <c r="AZ680" s="598">
        <f>+VLOOKUP($AJ680,Data_Validation!$A:$E,5,0)</f>
        <v>0</v>
      </c>
    </row>
    <row r="681" spans="1:52" ht="15" customHeight="1">
      <c r="A681" s="832" t="s">
        <v>1150</v>
      </c>
      <c r="B681" s="832">
        <v>2026</v>
      </c>
      <c r="C681" s="832" t="s">
        <v>2493</v>
      </c>
      <c r="D681" s="832" t="s">
        <v>2494</v>
      </c>
      <c r="E681" s="832" t="s">
        <v>1891</v>
      </c>
      <c r="F681" s="832" t="s">
        <v>2443</v>
      </c>
      <c r="G681" s="832">
        <v>0</v>
      </c>
      <c r="H681" s="832">
        <v>100264.85</v>
      </c>
      <c r="I681" s="832">
        <v>506899.63</v>
      </c>
      <c r="J681" s="832">
        <v>542800.17000000004</v>
      </c>
      <c r="K681" s="832">
        <v>542800.17000000004</v>
      </c>
      <c r="L681" s="832">
        <v>542800.17000000004</v>
      </c>
      <c r="M681" s="832">
        <v>542800.17000000004</v>
      </c>
      <c r="N681" s="832">
        <v>542800.17000000004</v>
      </c>
      <c r="O681" s="832">
        <v>0</v>
      </c>
      <c r="P681" s="832">
        <v>0</v>
      </c>
      <c r="Q681" s="832">
        <v>0</v>
      </c>
      <c r="R681" s="832">
        <v>0</v>
      </c>
      <c r="S681" s="832">
        <v>77542.880000000005</v>
      </c>
      <c r="T681" s="832">
        <v>77542.880000000005</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H41302</v>
      </c>
      <c r="AK681" s="1030" t="str">
        <f t="shared" si="67"/>
        <v>CT TUCSON PHEV</v>
      </c>
      <c r="AL681" s="1030" t="str">
        <f>IFERROR(INDEX(G681:R681,1,MATCH(Parametres!$B$3,G$1:R$1,0)-1)*IF(OR(F681="L",F681="S",F681="I"),-1,1),"")</f>
        <v/>
      </c>
      <c r="AM681" s="1030">
        <f t="shared" si="62"/>
        <v>0</v>
      </c>
      <c r="AN681" s="1030">
        <f>INDEX(G681:R681,1,MATCH(Parametres!$B$3,G$1:R$1,0))*IF(OR(F681="L",F681="S",F681="I"),-1,1)</f>
        <v>0</v>
      </c>
      <c r="AO681" s="598" t="str">
        <f>+VLOOKUP($AJ681,Data_Validation!$A:$D,1,0)</f>
        <v>H41302</v>
      </c>
      <c r="AP681" s="598" t="str">
        <f>+VLOOKUP($AJ681,Data_Validation!$A:$D,3,0)</f>
        <v>Véhicules neufs</v>
      </c>
      <c r="AQ681" s="598" t="str">
        <f>+VLOOKUP($AJ681,Data_Validation!$A:$D,4,0)</f>
        <v>Voitures electriques</v>
      </c>
      <c r="AR681" s="598" t="s">
        <v>299</v>
      </c>
      <c r="AS681" s="598">
        <f>+VLOOKUP($AJ681,Data_Validation!$A:$E,5,0)</f>
        <v>0</v>
      </c>
      <c r="AT681" s="1036" t="str">
        <f t="shared" si="63"/>
        <v>H41302</v>
      </c>
      <c r="AU681" s="599" t="str">
        <f t="shared" si="64"/>
        <v>CT TUCSON PHEV</v>
      </c>
      <c r="AV681" s="1030" t="str">
        <f>IFERROR(INDEX(V681:AG681,1,MATCH(Parametres!$B$3,V$1:AG$1,0)-1)*IF(OR(C681="L",C681="S",C681="I"),-1,1),"")</f>
        <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2026</v>
      </c>
      <c r="C682" s="832" t="s">
        <v>2495</v>
      </c>
      <c r="D682" s="832" t="s">
        <v>2496</v>
      </c>
      <c r="E682" s="832" t="s">
        <v>333</v>
      </c>
      <c r="F682" s="832" t="s">
        <v>2443</v>
      </c>
      <c r="G682" s="832">
        <v>0</v>
      </c>
      <c r="H682" s="832">
        <v>0</v>
      </c>
      <c r="I682" s="832">
        <v>0</v>
      </c>
      <c r="J682" s="832">
        <v>0</v>
      </c>
      <c r="K682" s="832">
        <v>0</v>
      </c>
      <c r="L682" s="832">
        <v>0</v>
      </c>
      <c r="M682" s="832">
        <v>0</v>
      </c>
      <c r="N682" s="832">
        <v>0</v>
      </c>
      <c r="O682" s="832">
        <v>0</v>
      </c>
      <c r="P682" s="832">
        <v>0</v>
      </c>
      <c r="Q682" s="832">
        <v>0</v>
      </c>
      <c r="R682" s="832">
        <v>0</v>
      </c>
      <c r="S682" s="832">
        <v>0</v>
      </c>
      <c r="T682" s="832">
        <v>0</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H41400</v>
      </c>
      <c r="AK682" s="1030" t="str">
        <f t="shared" si="67"/>
        <v>CT ACC. INST. CONC.</v>
      </c>
      <c r="AL682" s="1030" t="str">
        <f>IFERROR(INDEX(G682:R682,1,MATCH(Parametres!$B$3,G$1:R$1,0)-1)*IF(OR(F682="L",F682="S",F682="I"),-1,1),"")</f>
        <v/>
      </c>
      <c r="AM682" s="1030">
        <f t="shared" si="62"/>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t="str">
        <f t="shared" si="63"/>
        <v>H41400</v>
      </c>
      <c r="AU682" s="599" t="str">
        <f t="shared" si="64"/>
        <v>CT ACC. INST. CONC.</v>
      </c>
      <c r="AV682" s="1030" t="str">
        <f>IFERROR(INDEX(V682:AG682,1,MATCH(Parametres!$B$3,V$1:AG$1,0)-1)*IF(OR(C682="L",C682="S",C682="I"),-1,1),"")</f>
        <v/>
      </c>
      <c r="AW682" s="1030">
        <f t="shared" si="65"/>
        <v>0</v>
      </c>
      <c r="AX682" s="1030">
        <f>INDEX(V682:AG682,1,MATCH(Parametres!$B$3,V$1:AG$1,0))*IF(OR(C682="L",C682="S",C682="I"),-1,1)</f>
        <v>0</v>
      </c>
      <c r="AY682" s="598" t="s">
        <v>337</v>
      </c>
      <c r="AZ682" s="598" t="e">
        <f>+VLOOKUP($AJ682,Data_Validation!$A:$E,5,0)</f>
        <v>#N/A</v>
      </c>
    </row>
    <row r="683" spans="1:52" ht="15" customHeight="1">
      <c r="A683" s="832" t="s">
        <v>1150</v>
      </c>
      <c r="B683" s="832">
        <v>2026</v>
      </c>
      <c r="C683" s="832" t="s">
        <v>2497</v>
      </c>
      <c r="D683" s="832" t="s">
        <v>2498</v>
      </c>
      <c r="E683" s="832" t="s">
        <v>333</v>
      </c>
      <c r="F683" s="832" t="s">
        <v>2443</v>
      </c>
      <c r="G683" s="832">
        <v>19944.169999999998</v>
      </c>
      <c r="H683" s="832">
        <v>31548.17</v>
      </c>
      <c r="I683" s="832">
        <v>59769.17</v>
      </c>
      <c r="J683" s="832">
        <v>77379.17</v>
      </c>
      <c r="K683" s="832">
        <v>90600.17</v>
      </c>
      <c r="L683" s="832">
        <v>90600.17</v>
      </c>
      <c r="M683" s="832">
        <v>90600.17</v>
      </c>
      <c r="N683" s="832">
        <v>90600.17</v>
      </c>
      <c r="O683" s="832">
        <v>0</v>
      </c>
      <c r="P683" s="832">
        <v>0</v>
      </c>
      <c r="Q683" s="832">
        <v>0</v>
      </c>
      <c r="R683" s="832">
        <v>0</v>
      </c>
      <c r="S683" s="832">
        <v>12942.88</v>
      </c>
      <c r="T683" s="832">
        <v>12942.88</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H41500</v>
      </c>
      <c r="AK683" s="1030" t="str">
        <f t="shared" si="67"/>
        <v>CT P.P.H.</v>
      </c>
      <c r="AL683" s="1030" t="str">
        <f>IFERROR(INDEX(G683:R683,1,MATCH(Parametres!$B$3,G$1:R$1,0)-1)*IF(OR(F683="L",F683="S",F683="I"),-1,1),"")</f>
        <v/>
      </c>
      <c r="AM683" s="1030">
        <f t="shared" si="62"/>
        <v>19944.169999999998</v>
      </c>
      <c r="AN683" s="1030">
        <f>INDEX(G683:R683,1,MATCH(Parametres!$B$3,G$1:R$1,0))*IF(OR(F683="L",F683="S",F683="I"),-1,1)</f>
        <v>19944.169999999998</v>
      </c>
      <c r="AO683" s="598" t="str">
        <f>+VLOOKUP($AJ683,Data_Validation!$A:$D,1,0)</f>
        <v>H41500</v>
      </c>
      <c r="AP683" s="598" t="str">
        <f>+VLOOKUP($AJ683,Data_Validation!$A:$D,3,0)</f>
        <v>Véhicules neufs</v>
      </c>
      <c r="AQ683" s="598" t="str">
        <f>+VLOOKUP($AJ683,Data_Validation!$A:$D,4,0)</f>
        <v>Rev. Protections</v>
      </c>
      <c r="AR683" s="598" t="s">
        <v>299</v>
      </c>
      <c r="AS683" s="598">
        <f>+VLOOKUP($AJ683,Data_Validation!$A:$E,5,0)</f>
        <v>0</v>
      </c>
      <c r="AT683" s="1036" t="str">
        <f t="shared" si="63"/>
        <v>H41500</v>
      </c>
      <c r="AU683" s="599" t="str">
        <f t="shared" si="64"/>
        <v>CT P.P.H.</v>
      </c>
      <c r="AV683" s="1030" t="str">
        <f>IFERROR(INDEX(V683:AG683,1,MATCH(Parametres!$B$3,V$1:AG$1,0)-1)*IF(OR(C683="L",C683="S",C683="I"),-1,1),"")</f>
        <v/>
      </c>
      <c r="AW683" s="1030">
        <f t="shared" si="65"/>
        <v>0</v>
      </c>
      <c r="AX683" s="1030">
        <f>INDEX(V683:AG683,1,MATCH(Parametres!$B$3,V$1:AG$1,0))*IF(OR(C683="L",C683="S",C683="I"),-1,1)</f>
        <v>0</v>
      </c>
      <c r="AY683" s="598" t="s">
        <v>337</v>
      </c>
      <c r="AZ683" s="598">
        <f>+VLOOKUP($AJ683,Data_Validation!$A:$E,5,0)</f>
        <v>0</v>
      </c>
    </row>
    <row r="684" spans="1:52" ht="15" customHeight="1">
      <c r="A684" s="832" t="s">
        <v>1150</v>
      </c>
      <c r="B684" s="832">
        <v>2026</v>
      </c>
      <c r="C684" s="832" t="s">
        <v>2499</v>
      </c>
      <c r="D684" s="832" t="s">
        <v>2500</v>
      </c>
      <c r="E684" s="832" t="s">
        <v>333</v>
      </c>
      <c r="F684" s="832" t="s">
        <v>2443</v>
      </c>
      <c r="G684" s="832">
        <v>0</v>
      </c>
      <c r="H684" s="832">
        <v>0</v>
      </c>
      <c r="I684" s="832">
        <v>7055.49</v>
      </c>
      <c r="J684" s="832">
        <v>9313</v>
      </c>
      <c r="K684" s="832">
        <v>11210.37</v>
      </c>
      <c r="L684" s="832">
        <v>11210.37</v>
      </c>
      <c r="M684" s="832">
        <v>11210.37</v>
      </c>
      <c r="N684" s="832">
        <v>11210.37</v>
      </c>
      <c r="O684" s="832">
        <v>0</v>
      </c>
      <c r="P684" s="832">
        <v>0</v>
      </c>
      <c r="Q684" s="832">
        <v>0</v>
      </c>
      <c r="R684" s="832">
        <v>0</v>
      </c>
      <c r="S684" s="832">
        <v>1601.48</v>
      </c>
      <c r="T684" s="832">
        <v>1601.48</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H41600</v>
      </c>
      <c r="AK684" s="1030" t="str">
        <f t="shared" si="67"/>
        <v>CT VEH NF REV ASSURANCE</v>
      </c>
      <c r="AL684" s="1030" t="str">
        <f>IFERROR(INDEX(G684:R684,1,MATCH(Parametres!$B$3,G$1:R$1,0)-1)*IF(OR(F684="L",F684="S",F684="I"),-1,1),"")</f>
        <v/>
      </c>
      <c r="AM684" s="1030">
        <f t="shared" si="62"/>
        <v>0</v>
      </c>
      <c r="AN684" s="1030">
        <f>INDEX(G684:R684,1,MATCH(Parametres!$B$3,G$1:R$1,0))*IF(OR(F684="L",F684="S",F684="I"),-1,1)</f>
        <v>0</v>
      </c>
      <c r="AO684" s="598" t="str">
        <f>+VLOOKUP($AJ684,Data_Validation!$A:$D,1,0)</f>
        <v>H41600</v>
      </c>
      <c r="AP684" s="598" t="str">
        <f>+VLOOKUP($AJ684,Data_Validation!$A:$D,3,0)</f>
        <v>Véhicules neufs</v>
      </c>
      <c r="AQ684" s="598" t="str">
        <f>+VLOOKUP($AJ684,Data_Validation!$A:$D,4,0)</f>
        <v>Rev. Protections</v>
      </c>
      <c r="AR684" s="598" t="s">
        <v>299</v>
      </c>
      <c r="AS684" s="598">
        <f>+VLOOKUP($AJ684,Data_Validation!$A:$E,5,0)</f>
        <v>0</v>
      </c>
      <c r="AT684" s="1036" t="str">
        <f t="shared" si="63"/>
        <v>H41600</v>
      </c>
      <c r="AU684" s="599" t="str">
        <f t="shared" si="64"/>
        <v>CT VEH NF REV ASSURANCE</v>
      </c>
      <c r="AV684" s="1030" t="str">
        <f>IFERROR(INDEX(V684:AG684,1,MATCH(Parametres!$B$3,V$1:AG$1,0)-1)*IF(OR(C684="L",C684="S",C684="I"),-1,1),"")</f>
        <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2026</v>
      </c>
      <c r="C685" s="832" t="s">
        <v>2501</v>
      </c>
      <c r="D685" s="832" t="s">
        <v>2502</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H41610</v>
      </c>
      <c r="AK685" s="1030" t="str">
        <f t="shared" si="67"/>
        <v>CT ASSURANCE ROUTIERE</v>
      </c>
      <c r="AL685" s="1030" t="str">
        <f>IFERROR(INDEX(G685:R685,1,MATCH(Parametres!$B$3,G$1:R$1,0)-1)*IF(OR(F685="L",F685="S",F685="I"),-1,1),"")</f>
        <v/>
      </c>
      <c r="AM685" s="1030">
        <f t="shared" si="62"/>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t="str">
        <f t="shared" si="63"/>
        <v>H41610</v>
      </c>
      <c r="AU685" s="599" t="str">
        <f t="shared" si="64"/>
        <v>CT ASSURANCE ROUTIERE</v>
      </c>
      <c r="AV685" s="1030" t="str">
        <f>IFERROR(INDEX(V685:AG685,1,MATCH(Parametres!$B$3,V$1:AG$1,0)-1)*IF(OR(C685="L",C685="S",C685="I"),-1,1),"")</f>
        <v/>
      </c>
      <c r="AW685" s="1030">
        <f t="shared" si="65"/>
        <v>0</v>
      </c>
      <c r="AX685" s="1030">
        <f>INDEX(V685:AG685,1,MATCH(Parametres!$B$3,V$1:AG$1,0))*IF(OR(C685="L",C685="S",C685="I"),-1,1)</f>
        <v>0</v>
      </c>
      <c r="AY685" s="598" t="s">
        <v>337</v>
      </c>
      <c r="AZ685" s="598" t="e">
        <f>+VLOOKUP($AJ685,Data_Validation!$A:$E,5,0)</f>
        <v>#N/A</v>
      </c>
    </row>
    <row r="686" spans="1:52" ht="15" customHeight="1">
      <c r="A686" s="832" t="s">
        <v>1150</v>
      </c>
      <c r="B686" s="832">
        <v>2026</v>
      </c>
      <c r="C686" s="832" t="s">
        <v>2503</v>
      </c>
      <c r="D686" s="832" t="s">
        <v>2502</v>
      </c>
      <c r="E686" s="832" t="s">
        <v>333</v>
      </c>
      <c r="F686" s="832" t="s">
        <v>2443</v>
      </c>
      <c r="G686" s="832">
        <v>0</v>
      </c>
      <c r="H686" s="832">
        <v>1398</v>
      </c>
      <c r="I686" s="832">
        <v>1398</v>
      </c>
      <c r="J686" s="832">
        <v>1398</v>
      </c>
      <c r="K686" s="832">
        <v>1398</v>
      </c>
      <c r="L686" s="832">
        <v>1398</v>
      </c>
      <c r="M686" s="832">
        <v>1398</v>
      </c>
      <c r="N686" s="832">
        <v>1398</v>
      </c>
      <c r="O686" s="832">
        <v>0</v>
      </c>
      <c r="P686" s="832">
        <v>0</v>
      </c>
      <c r="Q686" s="832">
        <v>0</v>
      </c>
      <c r="R686" s="832">
        <v>0</v>
      </c>
      <c r="S686" s="832">
        <v>199.71</v>
      </c>
      <c r="T686" s="832">
        <v>199.71</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H41640</v>
      </c>
      <c r="AK686" s="1030" t="str">
        <f t="shared" si="67"/>
        <v>CT ASSURANCE ROUTIERE</v>
      </c>
      <c r="AL686" s="1030" t="str">
        <f>IFERROR(INDEX(G686:R686,1,MATCH(Parametres!$B$3,G$1:R$1,0)-1)*IF(OR(F686="L",F686="S",F686="I"),-1,1),"")</f>
        <v/>
      </c>
      <c r="AM686" s="1030">
        <f t="shared" si="62"/>
        <v>0</v>
      </c>
      <c r="AN686" s="1030">
        <f>INDEX(G686:R686,1,MATCH(Parametres!$B$3,G$1:R$1,0))*IF(OR(F686="L",F686="S",F686="I"),-1,1)</f>
        <v>0</v>
      </c>
      <c r="AO686" s="598" t="str">
        <f>+VLOOKUP($AJ686,Data_Validation!$A:$D,1,0)</f>
        <v>H41640</v>
      </c>
      <c r="AP686" s="598" t="str">
        <f>+VLOOKUP($AJ686,Data_Validation!$A:$D,3,0)</f>
        <v>Véhicules neufs</v>
      </c>
      <c r="AQ686" s="598" t="str">
        <f>+VLOOKUP($AJ686,Data_Validation!$A:$D,4,0)</f>
        <v>Rev. Protections</v>
      </c>
      <c r="AR686" s="598" t="s">
        <v>299</v>
      </c>
      <c r="AS686" s="598">
        <f>+VLOOKUP($AJ686,Data_Validation!$A:$E,5,0)</f>
        <v>0</v>
      </c>
      <c r="AT686" s="1036" t="str">
        <f t="shared" si="63"/>
        <v>H41640</v>
      </c>
      <c r="AU686" s="599" t="str">
        <f t="shared" si="64"/>
        <v>CT ASSURANCE ROUTIERE</v>
      </c>
      <c r="AV686" s="1030" t="str">
        <f>IFERROR(INDEX(V686:AG686,1,MATCH(Parametres!$B$3,V$1:AG$1,0)-1)*IF(OR(C686="L",C686="S",C686="I"),-1,1),"")</f>
        <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2026</v>
      </c>
      <c r="C687" s="832" t="s">
        <v>2504</v>
      </c>
      <c r="D687" s="832" t="s">
        <v>2505</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H41700</v>
      </c>
      <c r="AK687" s="1030" t="str">
        <f t="shared" si="67"/>
        <v>CT VEH NF REV FINANCE</v>
      </c>
      <c r="AL687" s="1030" t="str">
        <f>IFERROR(INDEX(G687:R687,1,MATCH(Parametres!$B$3,G$1:R$1,0)-1)*IF(OR(F687="L",F687="S",F687="I"),-1,1),"")</f>
        <v/>
      </c>
      <c r="AM687" s="1030">
        <f t="shared" si="62"/>
        <v>0</v>
      </c>
      <c r="AN687" s="1030">
        <f>INDEX(G687:R687,1,MATCH(Parametres!$B$3,G$1:R$1,0))*IF(OR(F687="L",F687="S",F687="I"),-1,1)</f>
        <v>0</v>
      </c>
      <c r="AO687" s="598" t="str">
        <f>+VLOOKUP($AJ687,Data_Validation!$A:$D,1,0)</f>
        <v>H41700</v>
      </c>
      <c r="AP687" s="598" t="str">
        <f>+VLOOKUP($AJ687,Data_Validation!$A:$D,3,0)</f>
        <v>Véhicules neufs</v>
      </c>
      <c r="AQ687" s="598" t="str">
        <f>+VLOOKUP($AJ687,Data_Validation!$A:$D,4,0)</f>
        <v>Rev. Finances</v>
      </c>
      <c r="AR687" s="598" t="s">
        <v>299</v>
      </c>
      <c r="AS687" s="598">
        <f>+VLOOKUP($AJ687,Data_Validation!$A:$E,5,0)</f>
        <v>0</v>
      </c>
      <c r="AT687" s="1036" t="str">
        <f t="shared" si="63"/>
        <v>H41700</v>
      </c>
      <c r="AU687" s="599" t="str">
        <f t="shared" si="64"/>
        <v>CT VEH NF REV FINANCE</v>
      </c>
      <c r="AV687" s="1030" t="str">
        <f>IFERROR(INDEX(V687:AG687,1,MATCH(Parametres!$B$3,V$1:AG$1,0)-1)*IF(OR(C687="L",C687="S",C687="I"),-1,1),"")</f>
        <v/>
      </c>
      <c r="AW687" s="1030">
        <f t="shared" si="65"/>
        <v>0</v>
      </c>
      <c r="AX687" s="1030">
        <f>INDEX(V687:AG687,1,MATCH(Parametres!$B$3,V$1:AG$1,0))*IF(OR(C687="L",C687="S",C687="I"),-1,1)</f>
        <v>0</v>
      </c>
      <c r="AY687" s="598" t="s">
        <v>337</v>
      </c>
      <c r="AZ687" s="598">
        <f>+VLOOKUP($AJ687,Data_Validation!$A:$E,5,0)</f>
        <v>0</v>
      </c>
    </row>
    <row r="688" spans="1:52" ht="15" customHeight="1">
      <c r="A688" s="832" t="s">
        <v>1150</v>
      </c>
      <c r="B688" s="832">
        <v>2026</v>
      </c>
      <c r="C688" s="832" t="s">
        <v>2506</v>
      </c>
      <c r="D688" s="832" t="s">
        <v>2507</v>
      </c>
      <c r="E688" s="832" t="s">
        <v>333</v>
      </c>
      <c r="F688" s="832" t="s">
        <v>2443</v>
      </c>
      <c r="G688" s="832">
        <v>10515.33</v>
      </c>
      <c r="H688" s="832">
        <v>30378.65</v>
      </c>
      <c r="I688" s="832">
        <v>63244.36</v>
      </c>
      <c r="J688" s="832">
        <v>88278.84</v>
      </c>
      <c r="K688" s="832">
        <v>109913.8</v>
      </c>
      <c r="L688" s="832">
        <v>110023.8</v>
      </c>
      <c r="M688" s="832">
        <v>110023.8</v>
      </c>
      <c r="N688" s="832">
        <v>110023.8</v>
      </c>
      <c r="O688" s="832">
        <v>0</v>
      </c>
      <c r="P688" s="832">
        <v>0</v>
      </c>
      <c r="Q688" s="832">
        <v>0</v>
      </c>
      <c r="R688" s="832">
        <v>0</v>
      </c>
      <c r="S688" s="832">
        <v>15717.69</v>
      </c>
      <c r="T688" s="832">
        <v>15717.69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H41800</v>
      </c>
      <c r="AK688" s="1030" t="str">
        <f t="shared" si="67"/>
        <v>CT CHIMIQUES</v>
      </c>
      <c r="AL688" s="1030" t="str">
        <f>IFERROR(INDEX(G688:R688,1,MATCH(Parametres!$B$3,G$1:R$1,0)-1)*IF(OR(F688="L",F688="S",F688="I"),-1,1),"")</f>
        <v/>
      </c>
      <c r="AM688" s="1030">
        <f t="shared" si="62"/>
        <v>10515.33</v>
      </c>
      <c r="AN688" s="1030">
        <f>INDEX(G688:R688,1,MATCH(Parametres!$B$3,G$1:R$1,0))*IF(OR(F688="L",F688="S",F688="I"),-1,1)</f>
        <v>10515.33</v>
      </c>
      <c r="AO688" s="598" t="str">
        <f>+VLOOKUP($AJ688,Data_Validation!$A:$D,1,0)</f>
        <v>H41800</v>
      </c>
      <c r="AP688" s="598" t="str">
        <f>+VLOOKUP($AJ688,Data_Validation!$A:$D,3,0)</f>
        <v>Véhicules neufs</v>
      </c>
      <c r="AQ688" s="598" t="str">
        <f>+VLOOKUP($AJ688,Data_Validation!$A:$D,4,0)</f>
        <v>Rev. Protections</v>
      </c>
      <c r="AR688" s="598" t="s">
        <v>299</v>
      </c>
      <c r="AS688" s="598">
        <f>+VLOOKUP($AJ688,Data_Validation!$A:$E,5,0)</f>
        <v>0</v>
      </c>
      <c r="AT688" s="1036" t="str">
        <f t="shared" si="63"/>
        <v>H41800</v>
      </c>
      <c r="AU688" s="599" t="str">
        <f t="shared" si="64"/>
        <v>CT CHIMIQUES</v>
      </c>
      <c r="AV688" s="1030" t="str">
        <f>IFERROR(INDEX(V688:AG688,1,MATCH(Parametres!$B$3,V$1:AG$1,0)-1)*IF(OR(C688="L",C688="S",C688="I"),-1,1),"")</f>
        <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2026</v>
      </c>
      <c r="C689" s="832" t="s">
        <v>2508</v>
      </c>
      <c r="D689" s="832" t="s">
        <v>2509</v>
      </c>
      <c r="E689" s="832" t="s">
        <v>333</v>
      </c>
      <c r="F689" s="832" t="s">
        <v>2443</v>
      </c>
      <c r="G689" s="832">
        <v>0</v>
      </c>
      <c r="H689" s="832">
        <v>0</v>
      </c>
      <c r="I689" s="832">
        <v>0</v>
      </c>
      <c r="J689" s="832">
        <v>0</v>
      </c>
      <c r="K689" s="832">
        <v>0</v>
      </c>
      <c r="L689" s="832">
        <v>0</v>
      </c>
      <c r="M689" s="832">
        <v>0</v>
      </c>
      <c r="N689" s="832">
        <v>0</v>
      </c>
      <c r="O689" s="832">
        <v>0</v>
      </c>
      <c r="P689" s="832">
        <v>0</v>
      </c>
      <c r="Q689" s="832">
        <v>0</v>
      </c>
      <c r="R689" s="832">
        <v>0</v>
      </c>
      <c r="S689" s="832">
        <v>0</v>
      </c>
      <c r="T689" s="832">
        <v>0</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H41810</v>
      </c>
      <c r="AK689" s="1030" t="str">
        <f t="shared" si="67"/>
        <v>CT NF ENREGISTREMENT &amp;ADM</v>
      </c>
      <c r="AL689" s="1030" t="str">
        <f>IFERROR(INDEX(G689:R689,1,MATCH(Parametres!$B$3,G$1:R$1,0)-1)*IF(OR(F689="L",F689="S",F689="I"),-1,1),"")</f>
        <v/>
      </c>
      <c r="AM689" s="1030">
        <f t="shared" si="62"/>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t="str">
        <f t="shared" si="63"/>
        <v>H41810</v>
      </c>
      <c r="AU689" s="599" t="str">
        <f t="shared" si="64"/>
        <v>CT NF ENREGISTREMENT &amp;ADM</v>
      </c>
      <c r="AV689" s="1030" t="str">
        <f>IFERROR(INDEX(V689:AG689,1,MATCH(Parametres!$B$3,V$1:AG$1,0)-1)*IF(OR(C689="L",C689="S",C689="I"),-1,1),"")</f>
        <v/>
      </c>
      <c r="AW689" s="1030">
        <f t="shared" si="65"/>
        <v>0</v>
      </c>
      <c r="AX689" s="1030">
        <f>INDEX(V689:AG689,1,MATCH(Parametres!$B$3,V$1:AG$1,0))*IF(OR(C689="L",C689="S",C689="I"),-1,1)</f>
        <v>0</v>
      </c>
      <c r="AY689" s="598" t="s">
        <v>337</v>
      </c>
      <c r="AZ689" s="598" t="e">
        <f>+VLOOKUP($AJ689,Data_Validation!$A:$E,5,0)</f>
        <v>#N/A</v>
      </c>
    </row>
    <row r="690" spans="1:52" ht="15" customHeight="1">
      <c r="A690" s="832" t="s">
        <v>1150</v>
      </c>
      <c r="B690" s="832">
        <v>2026</v>
      </c>
      <c r="C690" s="832" t="s">
        <v>2510</v>
      </c>
      <c r="D690" s="832" t="s">
        <v>2511</v>
      </c>
      <c r="E690" s="832" t="s">
        <v>333</v>
      </c>
      <c r="F690" s="832" t="s">
        <v>2443</v>
      </c>
      <c r="G690" s="832">
        <v>11018</v>
      </c>
      <c r="H690" s="832">
        <v>19495</v>
      </c>
      <c r="I690" s="832">
        <v>33240</v>
      </c>
      <c r="J690" s="832">
        <v>44146</v>
      </c>
      <c r="K690" s="832">
        <v>54170</v>
      </c>
      <c r="L690" s="832">
        <v>54170</v>
      </c>
      <c r="M690" s="832">
        <v>54170</v>
      </c>
      <c r="N690" s="832">
        <v>54170</v>
      </c>
      <c r="O690" s="832">
        <v>0</v>
      </c>
      <c r="P690" s="832">
        <v>0</v>
      </c>
      <c r="Q690" s="832">
        <v>0</v>
      </c>
      <c r="R690" s="832">
        <v>0</v>
      </c>
      <c r="S690" s="832">
        <v>7738.57</v>
      </c>
      <c r="T690" s="832">
        <v>7738.57</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H41811</v>
      </c>
      <c r="AK690" s="1030" t="str">
        <f t="shared" si="67"/>
        <v>CT NF ASS. USURE</v>
      </c>
      <c r="AL690" s="1030" t="str">
        <f>IFERROR(INDEX(G690:R690,1,MATCH(Parametres!$B$3,G$1:R$1,0)-1)*IF(OR(F690="L",F690="S",F690="I"),-1,1),"")</f>
        <v/>
      </c>
      <c r="AM690" s="1030">
        <f t="shared" si="62"/>
        <v>11018</v>
      </c>
      <c r="AN690" s="1030">
        <f>INDEX(G690:R690,1,MATCH(Parametres!$B$3,G$1:R$1,0))*IF(OR(F690="L",F690="S",F690="I"),-1,1)</f>
        <v>11018</v>
      </c>
      <c r="AO690" s="598" t="str">
        <f>+VLOOKUP($AJ690,Data_Validation!$A:$D,1,0)</f>
        <v>H41811</v>
      </c>
      <c r="AP690" s="598" t="str">
        <f>+VLOOKUP($AJ690,Data_Validation!$A:$D,3,0)</f>
        <v>Véhicules neufs</v>
      </c>
      <c r="AQ690" s="598" t="str">
        <f>+VLOOKUP($AJ690,Data_Validation!$A:$D,4,0)</f>
        <v>Rev. Protections</v>
      </c>
      <c r="AR690" s="598" t="s">
        <v>299</v>
      </c>
      <c r="AS690" s="598">
        <f>+VLOOKUP($AJ690,Data_Validation!$A:$E,5,0)</f>
        <v>0</v>
      </c>
      <c r="AT690" s="1036" t="str">
        <f t="shared" si="63"/>
        <v>H41811</v>
      </c>
      <c r="AU690" s="599" t="str">
        <f t="shared" si="64"/>
        <v>CT NF ASS. USURE</v>
      </c>
      <c r="AV690" s="1030" t="str">
        <f>IFERROR(INDEX(V690:AG690,1,MATCH(Parametres!$B$3,V$1:AG$1,0)-1)*IF(OR(C690="L",C690="S",C690="I"),-1,1),"")</f>
        <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2026</v>
      </c>
      <c r="C691" s="832" t="s">
        <v>2512</v>
      </c>
      <c r="D691" s="832" t="s">
        <v>2513</v>
      </c>
      <c r="E691" s="832" t="s">
        <v>1891</v>
      </c>
      <c r="F691" s="832" t="s">
        <v>2443</v>
      </c>
      <c r="G691" s="832">
        <v>0</v>
      </c>
      <c r="H691" s="832">
        <v>0</v>
      </c>
      <c r="I691" s="832">
        <v>0</v>
      </c>
      <c r="J691" s="832">
        <v>0</v>
      </c>
      <c r="K691" s="832">
        <v>0</v>
      </c>
      <c r="L691" s="832">
        <v>0</v>
      </c>
      <c r="M691" s="832">
        <v>0</v>
      </c>
      <c r="N691" s="832">
        <v>0</v>
      </c>
      <c r="O691" s="832">
        <v>0</v>
      </c>
      <c r="P691" s="832">
        <v>0</v>
      </c>
      <c r="Q691" s="832">
        <v>0</v>
      </c>
      <c r="R691" s="832">
        <v>0</v>
      </c>
      <c r="S691" s="832">
        <v>0</v>
      </c>
      <c r="T691" s="832">
        <v>0</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H41900</v>
      </c>
      <c r="AK691" s="1030" t="str">
        <f t="shared" si="67"/>
        <v>CT VTE PARCS NEUFS</v>
      </c>
      <c r="AL691" s="1030" t="str">
        <f>IFERROR(INDEX(G691:R691,1,MATCH(Parametres!$B$3,G$1:R$1,0)-1)*IF(OR(F691="L",F691="S",F691="I"),-1,1),"")</f>
        <v/>
      </c>
      <c r="AM691" s="1030">
        <f t="shared" si="62"/>
        <v>0</v>
      </c>
      <c r="AN691" s="1030">
        <f>INDEX(G691:R691,1,MATCH(Parametres!$B$3,G$1:R$1,0))*IF(OR(F691="L",F691="S",F691="I"),-1,1)</f>
        <v>0</v>
      </c>
      <c r="AO691" s="598" t="str">
        <f>+VLOOKUP($AJ691,Data_Validation!$A:$D,1,0)</f>
        <v>H41900</v>
      </c>
      <c r="AP691" s="598" t="str">
        <f>+VLOOKUP($AJ691,Data_Validation!$A:$D,3,0)</f>
        <v>Véhicules neufs</v>
      </c>
      <c r="AQ691" s="598" t="str">
        <f>+VLOOKUP($AJ691,Data_Validation!$A:$D,4,0)</f>
        <v>Flottes</v>
      </c>
      <c r="AR691" s="598" t="s">
        <v>299</v>
      </c>
      <c r="AS691" s="598">
        <f>+VLOOKUP($AJ691,Data_Validation!$A:$E,5,0)</f>
        <v>0</v>
      </c>
      <c r="AT691" s="1036" t="str">
        <f t="shared" si="63"/>
        <v>H41900</v>
      </c>
      <c r="AU691" s="599" t="str">
        <f t="shared" si="64"/>
        <v>CT VTE PARCS NEUFS</v>
      </c>
      <c r="AV691" s="1030" t="str">
        <f>IFERROR(INDEX(V691:AG691,1,MATCH(Parametres!$B$3,V$1:AG$1,0)-1)*IF(OR(C691="L",C691="S",C691="I"),-1,1),"")</f>
        <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2026</v>
      </c>
      <c r="C692" s="832" t="s">
        <v>2514</v>
      </c>
      <c r="D692" s="832" t="s">
        <v>2515</v>
      </c>
      <c r="E692" s="832" t="s">
        <v>1891</v>
      </c>
      <c r="F692" s="832" t="s">
        <v>2443</v>
      </c>
      <c r="G692" s="832">
        <v>352810.07</v>
      </c>
      <c r="H692" s="832">
        <v>572653.12</v>
      </c>
      <c r="I692" s="832">
        <v>688281.68</v>
      </c>
      <c r="J692" s="832">
        <v>781694.84</v>
      </c>
      <c r="K692" s="832">
        <v>781783.84</v>
      </c>
      <c r="L692" s="832">
        <v>781783.84</v>
      </c>
      <c r="M692" s="832">
        <v>781783.84</v>
      </c>
      <c r="N692" s="832">
        <v>781783.84</v>
      </c>
      <c r="O692" s="832">
        <v>0</v>
      </c>
      <c r="P692" s="832">
        <v>0</v>
      </c>
      <c r="Q692" s="832">
        <v>0</v>
      </c>
      <c r="R692" s="832">
        <v>0</v>
      </c>
      <c r="S692" s="832">
        <v>111683.41</v>
      </c>
      <c r="T692" s="832">
        <v>111683.41</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H41910</v>
      </c>
      <c r="AK692" s="1030" t="str">
        <f t="shared" si="67"/>
        <v>CT PARC CAMION NEUF</v>
      </c>
      <c r="AL692" s="1030" t="str">
        <f>IFERROR(INDEX(G692:R692,1,MATCH(Parametres!$B$3,G$1:R$1,0)-1)*IF(OR(F692="L",F692="S",F692="I"),-1,1),"")</f>
        <v/>
      </c>
      <c r="AM692" s="1030">
        <f t="shared" si="62"/>
        <v>352810.07</v>
      </c>
      <c r="AN692" s="1030">
        <f>INDEX(G692:R692,1,MATCH(Parametres!$B$3,G$1:R$1,0))*IF(OR(F692="L",F692="S",F692="I"),-1,1)</f>
        <v>352810.07</v>
      </c>
      <c r="AO692" s="598" t="str">
        <f>+VLOOKUP($AJ692,Data_Validation!$A:$D,1,0)</f>
        <v>H41910</v>
      </c>
      <c r="AP692" s="598" t="str">
        <f>+VLOOKUP($AJ692,Data_Validation!$A:$D,3,0)</f>
        <v>Véhicules neufs</v>
      </c>
      <c r="AQ692" s="598" t="str">
        <f>+VLOOKUP($AJ692,Data_Validation!$A:$D,4,0)</f>
        <v>Flottes</v>
      </c>
      <c r="AR692" s="598" t="s">
        <v>299</v>
      </c>
      <c r="AS692" s="598">
        <f>+VLOOKUP($AJ692,Data_Validation!$A:$E,5,0)</f>
        <v>0</v>
      </c>
      <c r="AT692" s="1036" t="str">
        <f t="shared" si="63"/>
        <v>H41910</v>
      </c>
      <c r="AU692" s="599" t="str">
        <f t="shared" si="64"/>
        <v>CT PARC CAMION NEUF</v>
      </c>
      <c r="AV692" s="1030" t="str">
        <f>IFERROR(INDEX(V692:AG692,1,MATCH(Parametres!$B$3,V$1:AG$1,0)-1)*IF(OR(C692="L",C692="S",C692="I"),-1,1),"")</f>
        <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2026</v>
      </c>
      <c r="C693" s="832" t="s">
        <v>2516</v>
      </c>
      <c r="D693" s="832" t="s">
        <v>2517</v>
      </c>
      <c r="E693" s="832" t="s">
        <v>1891</v>
      </c>
      <c r="F693" s="832" t="s">
        <v>2443</v>
      </c>
      <c r="G693" s="832">
        <v>16949</v>
      </c>
      <c r="H693" s="832">
        <v>103883</v>
      </c>
      <c r="I693" s="832">
        <v>150197</v>
      </c>
      <c r="J693" s="832">
        <v>250911.57</v>
      </c>
      <c r="K693" s="832">
        <v>250911.57</v>
      </c>
      <c r="L693" s="832">
        <v>250911.57</v>
      </c>
      <c r="M693" s="832">
        <v>250911.57</v>
      </c>
      <c r="N693" s="832">
        <v>250911.57</v>
      </c>
      <c r="O693" s="832">
        <v>0</v>
      </c>
      <c r="P693" s="832">
        <v>0</v>
      </c>
      <c r="Q693" s="832">
        <v>0</v>
      </c>
      <c r="R693" s="832">
        <v>0</v>
      </c>
      <c r="S693" s="832">
        <v>35844.51</v>
      </c>
      <c r="T693" s="832">
        <v>35844.51</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H42000</v>
      </c>
      <c r="AK693" s="1030" t="str">
        <f t="shared" si="67"/>
        <v>CT DIVERS(AUTOS)</v>
      </c>
      <c r="AL693" s="1030" t="str">
        <f>IFERROR(INDEX(G693:R693,1,MATCH(Parametres!$B$3,G$1:R$1,0)-1)*IF(OR(F693="L",F693="S",F693="I"),-1,1),"")</f>
        <v/>
      </c>
      <c r="AM693" s="1030">
        <f t="shared" si="62"/>
        <v>16949</v>
      </c>
      <c r="AN693" s="1030">
        <f>INDEX(G693:R693,1,MATCH(Parametres!$B$3,G$1:R$1,0))*IF(OR(F693="L",F693="S",F693="I"),-1,1)</f>
        <v>16949</v>
      </c>
      <c r="AO693" s="598" t="str">
        <f>+VLOOKUP($AJ693,Data_Validation!$A:$D,1,0)</f>
        <v>H42000</v>
      </c>
      <c r="AP693" s="598" t="str">
        <f>+VLOOKUP($AJ693,Data_Validation!$A:$D,3,0)</f>
        <v>Véhicules usagés</v>
      </c>
      <c r="AQ693" s="598" t="str">
        <f>+VLOOKUP($AJ693,Data_Validation!$A:$D,4,0)</f>
        <v>Rachat bail</v>
      </c>
      <c r="AR693" s="598" t="s">
        <v>299</v>
      </c>
      <c r="AS693" s="598">
        <f>+VLOOKUP($AJ693,Data_Validation!$A:$E,5,0)</f>
        <v>0</v>
      </c>
      <c r="AT693" s="1036" t="str">
        <f t="shared" si="63"/>
        <v>H42000</v>
      </c>
      <c r="AU693" s="599" t="str">
        <f t="shared" si="64"/>
        <v>CT DIVERS(AUTOS)</v>
      </c>
      <c r="AV693" s="1030" t="str">
        <f>IFERROR(INDEX(V693:AG693,1,MATCH(Parametres!$B$3,V$1:AG$1,0)-1)*IF(OR(C693="L",C693="S",C693="I"),-1,1),"")</f>
        <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2026</v>
      </c>
      <c r="C694" s="832" t="s">
        <v>2518</v>
      </c>
      <c r="D694" s="832" t="s">
        <v>2519</v>
      </c>
      <c r="E694" s="832" t="s">
        <v>1891</v>
      </c>
      <c r="F694" s="832" t="s">
        <v>2443</v>
      </c>
      <c r="G694" s="832">
        <v>124791.37</v>
      </c>
      <c r="H694" s="832">
        <v>306528.87</v>
      </c>
      <c r="I694" s="832">
        <v>306528.87</v>
      </c>
      <c r="J694" s="832">
        <v>306528.87</v>
      </c>
      <c r="K694" s="832">
        <v>306528.87</v>
      </c>
      <c r="L694" s="832">
        <v>306528.87</v>
      </c>
      <c r="M694" s="832">
        <v>306528.87</v>
      </c>
      <c r="N694" s="832">
        <v>306528.87</v>
      </c>
      <c r="O694" s="832">
        <v>0</v>
      </c>
      <c r="P694" s="832">
        <v>0</v>
      </c>
      <c r="Q694" s="832">
        <v>0</v>
      </c>
      <c r="R694" s="832">
        <v>0</v>
      </c>
      <c r="S694" s="832">
        <v>43789.84</v>
      </c>
      <c r="T694" s="832">
        <v>43789.84</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H42100</v>
      </c>
      <c r="AK694" s="1030" t="str">
        <f t="shared" si="67"/>
        <v>CT PALISADE</v>
      </c>
      <c r="AL694" s="1030" t="str">
        <f>IFERROR(INDEX(G694:R694,1,MATCH(Parametres!$B$3,G$1:R$1,0)-1)*IF(OR(F694="L",F694="S",F694="I"),-1,1),"")</f>
        <v/>
      </c>
      <c r="AM694" s="1030">
        <f t="shared" si="62"/>
        <v>124791.37</v>
      </c>
      <c r="AN694" s="1030">
        <f>INDEX(G694:R694,1,MATCH(Parametres!$B$3,G$1:R$1,0))*IF(OR(F694="L",F694="S",F694="I"),-1,1)</f>
        <v>124791.37</v>
      </c>
      <c r="AO694" s="598" t="str">
        <f>+VLOOKUP($AJ694,Data_Validation!$A:$D,1,0)</f>
        <v>H42100</v>
      </c>
      <c r="AP694" s="598" t="str">
        <f>+VLOOKUP($AJ694,Data_Validation!$A:$D,3,0)</f>
        <v>Véhicules neufs</v>
      </c>
      <c r="AQ694" s="598" t="str">
        <f>+VLOOKUP($AJ694,Data_Validation!$A:$D,4,0)</f>
        <v>Camions détail</v>
      </c>
      <c r="AR694" s="598" t="s">
        <v>299</v>
      </c>
      <c r="AS694" s="598">
        <f>+VLOOKUP($AJ694,Data_Validation!$A:$E,5,0)</f>
        <v>0</v>
      </c>
      <c r="AT694" s="1036" t="str">
        <f t="shared" si="63"/>
        <v>H42100</v>
      </c>
      <c r="AU694" s="599" t="str">
        <f t="shared" si="64"/>
        <v>CT PALISADE</v>
      </c>
      <c r="AV694" s="1030" t="str">
        <f>IFERROR(INDEX(V694:AG694,1,MATCH(Parametres!$B$3,V$1:AG$1,0)-1)*IF(OR(C694="L",C694="S",C694="I"),-1,1),"")</f>
        <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2026</v>
      </c>
      <c r="C695" s="832" t="s">
        <v>2520</v>
      </c>
      <c r="D695" s="832" t="s">
        <v>2521</v>
      </c>
      <c r="E695" s="832" t="s">
        <v>1891</v>
      </c>
      <c r="F695" s="832" t="s">
        <v>2443</v>
      </c>
      <c r="G695" s="832">
        <v>210944.88</v>
      </c>
      <c r="H695" s="832">
        <v>358797.82</v>
      </c>
      <c r="I695" s="832">
        <v>620330.84</v>
      </c>
      <c r="J695" s="832">
        <v>863383.98</v>
      </c>
      <c r="K695" s="832">
        <v>1113360.1299999999</v>
      </c>
      <c r="L695" s="832">
        <v>1113360.1299999999</v>
      </c>
      <c r="M695" s="832">
        <v>1113360.1299999999</v>
      </c>
      <c r="N695" s="832">
        <v>1113360.1299999999</v>
      </c>
      <c r="O695" s="832">
        <v>0</v>
      </c>
      <c r="P695" s="832">
        <v>0</v>
      </c>
      <c r="Q695" s="832">
        <v>0</v>
      </c>
      <c r="R695" s="832">
        <v>0</v>
      </c>
      <c r="S695" s="832">
        <v>159051.45000000001</v>
      </c>
      <c r="T695" s="832">
        <v>159051.45000000001</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H42200</v>
      </c>
      <c r="AK695" s="1030" t="str">
        <f t="shared" si="67"/>
        <v>CT VENUE</v>
      </c>
      <c r="AL695" s="1030" t="str">
        <f>IFERROR(INDEX(G695:R695,1,MATCH(Parametres!$B$3,G$1:R$1,0)-1)*IF(OR(F695="L",F695="S",F695="I"),-1,1),"")</f>
        <v/>
      </c>
      <c r="AM695" s="1030">
        <f t="shared" si="62"/>
        <v>210944.88</v>
      </c>
      <c r="AN695" s="1030">
        <f>INDEX(G695:R695,1,MATCH(Parametres!$B$3,G$1:R$1,0))*IF(OR(F695="L",F695="S",F695="I"),-1,1)</f>
        <v>210944.88</v>
      </c>
      <c r="AO695" s="598" t="str">
        <f>+VLOOKUP($AJ695,Data_Validation!$A:$D,1,0)</f>
        <v>H42200</v>
      </c>
      <c r="AP695" s="598" t="str">
        <f>+VLOOKUP($AJ695,Data_Validation!$A:$D,3,0)</f>
        <v>Véhicules neufs</v>
      </c>
      <c r="AQ695" s="598" t="str">
        <f>+VLOOKUP($AJ695,Data_Validation!$A:$D,4,0)</f>
        <v>Camions détail</v>
      </c>
      <c r="AR695" s="598" t="s">
        <v>299</v>
      </c>
      <c r="AS695" s="598">
        <f>+VLOOKUP($AJ695,Data_Validation!$A:$E,5,0)</f>
        <v>0</v>
      </c>
      <c r="AT695" s="1036" t="str">
        <f t="shared" si="63"/>
        <v>H42200</v>
      </c>
      <c r="AU695" s="599" t="str">
        <f t="shared" si="64"/>
        <v>CT VENUE</v>
      </c>
      <c r="AV695" s="1030" t="str">
        <f>IFERROR(INDEX(V695:AG695,1,MATCH(Parametres!$B$3,V$1:AG$1,0)-1)*IF(OR(C695="L",C695="S",C695="I"),-1,1),"")</f>
        <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2026</v>
      </c>
      <c r="C696" s="832" t="s">
        <v>2522</v>
      </c>
      <c r="D696" s="832" t="s">
        <v>2523</v>
      </c>
      <c r="E696" s="832" t="s">
        <v>1891</v>
      </c>
      <c r="F696" s="832" t="s">
        <v>2443</v>
      </c>
      <c r="G696" s="832">
        <v>165829.67000000001</v>
      </c>
      <c r="H696" s="832">
        <v>360708.44</v>
      </c>
      <c r="I696" s="832">
        <v>551367.93000000005</v>
      </c>
      <c r="J696" s="832">
        <v>572630.73</v>
      </c>
      <c r="K696" s="832">
        <v>572630.73</v>
      </c>
      <c r="L696" s="832">
        <v>572630.73</v>
      </c>
      <c r="M696" s="832">
        <v>572630.73</v>
      </c>
      <c r="N696" s="832">
        <v>572630.73</v>
      </c>
      <c r="O696" s="832">
        <v>0</v>
      </c>
      <c r="P696" s="832">
        <v>0</v>
      </c>
      <c r="Q696" s="832">
        <v>0</v>
      </c>
      <c r="R696" s="832">
        <v>0</v>
      </c>
      <c r="S696" s="832">
        <v>81804.39</v>
      </c>
      <c r="T696" s="832">
        <v>81804.39</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H42300</v>
      </c>
      <c r="AK696" s="1030" t="str">
        <f t="shared" si="67"/>
        <v>CT USAGE CERTIFIE HD</v>
      </c>
      <c r="AL696" s="1030" t="str">
        <f>IFERROR(INDEX(G696:R696,1,MATCH(Parametres!$B$3,G$1:R$1,0)-1)*IF(OR(F696="L",F696="S",F696="I"),-1,1),"")</f>
        <v/>
      </c>
      <c r="AM696" s="1030">
        <f t="shared" si="62"/>
        <v>165829.67000000001</v>
      </c>
      <c r="AN696" s="1030">
        <f>INDEX(G696:R696,1,MATCH(Parametres!$B$3,G$1:R$1,0))*IF(OR(F696="L",F696="S",F696="I"),-1,1)</f>
        <v>165829.67000000001</v>
      </c>
      <c r="AO696" s="598" t="str">
        <f>+VLOOKUP($AJ696,Data_Validation!$A:$D,1,0)</f>
        <v>H42300</v>
      </c>
      <c r="AP696" s="598" t="str">
        <f>+VLOOKUP($AJ696,Data_Validation!$A:$D,3,0)</f>
        <v>Véhicules usagés</v>
      </c>
      <c r="AQ696" s="598" t="str">
        <f>+VLOOKUP($AJ696,Data_Validation!$A:$D,4,0)</f>
        <v>Certifié</v>
      </c>
      <c r="AR696" s="598" t="s">
        <v>299</v>
      </c>
      <c r="AS696" s="598">
        <f>+VLOOKUP($AJ696,Data_Validation!$A:$E,5,0)</f>
        <v>0</v>
      </c>
      <c r="AT696" s="1036" t="str">
        <f t="shared" si="63"/>
        <v>H42300</v>
      </c>
      <c r="AU696" s="599" t="str">
        <f t="shared" si="64"/>
        <v>CT USAGE CERTIFIE HD</v>
      </c>
      <c r="AV696" s="1030" t="str">
        <f>IFERROR(INDEX(V696:AG696,1,MATCH(Parametres!$B$3,V$1:AG$1,0)-1)*IF(OR(C696="L",C696="S",C696="I"),-1,1),"")</f>
        <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2026</v>
      </c>
      <c r="C697" s="832" t="s">
        <v>2524</v>
      </c>
      <c r="D697" s="832" t="s">
        <v>2525</v>
      </c>
      <c r="E697" s="832" t="s">
        <v>2526</v>
      </c>
      <c r="F697" s="832" t="s">
        <v>2443</v>
      </c>
      <c r="G697" s="832">
        <v>1</v>
      </c>
      <c r="H697" s="832">
        <v>2</v>
      </c>
      <c r="I697" s="832">
        <v>3</v>
      </c>
      <c r="J697" s="832">
        <v>4</v>
      </c>
      <c r="K697" s="832">
        <v>4</v>
      </c>
      <c r="L697" s="832">
        <v>4</v>
      </c>
      <c r="M697" s="832">
        <v>4</v>
      </c>
      <c r="N697" s="832">
        <v>4</v>
      </c>
      <c r="O697" s="832">
        <v>0</v>
      </c>
      <c r="P697" s="832">
        <v>0</v>
      </c>
      <c r="Q697" s="832">
        <v>0</v>
      </c>
      <c r="R697" s="832">
        <v>0</v>
      </c>
      <c r="S697" s="832">
        <v>0.56999999999999995</v>
      </c>
      <c r="T697" s="832">
        <v>0.56999999999999995</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H42400</v>
      </c>
      <c r="AK697" s="1030" t="str">
        <f t="shared" si="67"/>
        <v>CT USA REC CERTIF HYUNDAI</v>
      </c>
      <c r="AL697" s="1030" t="str">
        <f>IFERROR(INDEX(G697:R697,1,MATCH(Parametres!$B$3,G$1:R$1,0)-1)*IF(OR(F697="L",F697="S",F697="I"),-1,1),"")</f>
        <v/>
      </c>
      <c r="AM697" s="1030">
        <f t="shared" si="62"/>
        <v>1</v>
      </c>
      <c r="AN697" s="1030">
        <f>INDEX(G697:R697,1,MATCH(Parametres!$B$3,G$1:R$1,0))*IF(OR(F697="L",F697="S",F697="I"),-1,1)</f>
        <v>1</v>
      </c>
      <c r="AO697" s="598" t="str">
        <f>+VLOOKUP($AJ697,Data_Validation!$A:$D,1,0)</f>
        <v>H42400</v>
      </c>
      <c r="AP697" s="598" t="str">
        <f>+VLOOKUP($AJ697,Data_Validation!$A:$D,3,0)</f>
        <v>Véhicules usagés</v>
      </c>
      <c r="AQ697" s="598" t="str">
        <f>+VLOOKUP($AJ697,Data_Validation!$A:$D,4,0)</f>
        <v>Certifié</v>
      </c>
      <c r="AR697" s="598" t="s">
        <v>299</v>
      </c>
      <c r="AS697" s="598">
        <f>+VLOOKUP($AJ697,Data_Validation!$A:$E,5,0)</f>
        <v>0</v>
      </c>
      <c r="AT697" s="1036" t="str">
        <f t="shared" si="63"/>
        <v>H42400</v>
      </c>
      <c r="AU697" s="599" t="str">
        <f t="shared" si="64"/>
        <v>CT USA REC CERTIF HYUNDAI</v>
      </c>
      <c r="AV697" s="1030" t="str">
        <f>IFERROR(INDEX(V697:AG697,1,MATCH(Parametres!$B$3,V$1:AG$1,0)-1)*IF(OR(C697="L",C697="S",C697="I"),-1,1),"")</f>
        <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2026</v>
      </c>
      <c r="C698" s="832" t="s">
        <v>2527</v>
      </c>
      <c r="D698" s="832" t="s">
        <v>2528</v>
      </c>
      <c r="E698" s="832" t="s">
        <v>1891</v>
      </c>
      <c r="F698" s="832" t="s">
        <v>2443</v>
      </c>
      <c r="G698" s="832">
        <v>209261.79</v>
      </c>
      <c r="H698" s="832">
        <v>257027.83</v>
      </c>
      <c r="I698" s="832">
        <v>422105.27</v>
      </c>
      <c r="J698" s="832">
        <v>886520.29</v>
      </c>
      <c r="K698" s="832">
        <v>1109142.31</v>
      </c>
      <c r="L698" s="832">
        <v>1109142.31</v>
      </c>
      <c r="M698" s="832">
        <v>1109142.31</v>
      </c>
      <c r="N698" s="832">
        <v>1109142.31</v>
      </c>
      <c r="O698" s="832">
        <v>0</v>
      </c>
      <c r="P698" s="832">
        <v>0</v>
      </c>
      <c r="Q698" s="832">
        <v>0</v>
      </c>
      <c r="R698" s="832">
        <v>0</v>
      </c>
      <c r="S698" s="832">
        <v>158448.9</v>
      </c>
      <c r="T698" s="832">
        <v>158448.9</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H42500</v>
      </c>
      <c r="AK698" s="1030" t="str">
        <f t="shared" si="67"/>
        <v>CT VEHICULES OCC HYUNDAI</v>
      </c>
      <c r="AL698" s="1030" t="str">
        <f>IFERROR(INDEX(G698:R698,1,MATCH(Parametres!$B$3,G$1:R$1,0)-1)*IF(OR(F698="L",F698="S",F698="I"),-1,1),"")</f>
        <v/>
      </c>
      <c r="AM698" s="1030">
        <f t="shared" si="62"/>
        <v>209261.79</v>
      </c>
      <c r="AN698" s="1030">
        <f>INDEX(G698:R698,1,MATCH(Parametres!$B$3,G$1:R$1,0))*IF(OR(F698="L",F698="S",F698="I"),-1,1)</f>
        <v>209261.79</v>
      </c>
      <c r="AO698" s="598" t="str">
        <f>+VLOOKUP($AJ698,Data_Validation!$A:$D,1,0)</f>
        <v>H42500</v>
      </c>
      <c r="AP698" s="598" t="str">
        <f>+VLOOKUP($AJ698,Data_Validation!$A:$D,3,0)</f>
        <v>Véhicules usagés</v>
      </c>
      <c r="AQ698" s="598" t="str">
        <f>+VLOOKUP($AJ698,Data_Validation!$A:$D,4,0)</f>
        <v>Non Certifié</v>
      </c>
      <c r="AR698" s="598" t="s">
        <v>299</v>
      </c>
      <c r="AS698" s="598">
        <f>+VLOOKUP($AJ698,Data_Validation!$A:$E,5,0)</f>
        <v>0</v>
      </c>
      <c r="AT698" s="1036" t="str">
        <f t="shared" si="63"/>
        <v>H42500</v>
      </c>
      <c r="AU698" s="599" t="str">
        <f t="shared" si="64"/>
        <v>CT VEHICULES OCC HYUNDAI</v>
      </c>
      <c r="AV698" s="1030" t="str">
        <f>IFERROR(INDEX(V698:AG698,1,MATCH(Parametres!$B$3,V$1:AG$1,0)-1)*IF(OR(C698="L",C698="S",C698="I"),-1,1),"")</f>
        <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2026</v>
      </c>
      <c r="C699" s="832" t="s">
        <v>2529</v>
      </c>
      <c r="D699" s="832" t="s">
        <v>2312</v>
      </c>
      <c r="E699" s="832" t="s">
        <v>2526</v>
      </c>
      <c r="F699" s="832" t="s">
        <v>2443</v>
      </c>
      <c r="G699" s="832">
        <v>1</v>
      </c>
      <c r="H699" s="832">
        <v>2</v>
      </c>
      <c r="I699" s="832">
        <v>3</v>
      </c>
      <c r="J699" s="832">
        <v>4</v>
      </c>
      <c r="K699" s="832">
        <v>4</v>
      </c>
      <c r="L699" s="832">
        <v>4</v>
      </c>
      <c r="M699" s="832">
        <v>4</v>
      </c>
      <c r="N699" s="832">
        <v>4</v>
      </c>
      <c r="O699" s="832">
        <v>0</v>
      </c>
      <c r="P699" s="832">
        <v>0</v>
      </c>
      <c r="Q699" s="832">
        <v>0</v>
      </c>
      <c r="R699" s="832">
        <v>0</v>
      </c>
      <c r="S699" s="832">
        <v>0.56999999999999995</v>
      </c>
      <c r="T699" s="832">
        <v>0.56999999999999995</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H42600</v>
      </c>
      <c r="AK699" s="1030" t="str">
        <f t="shared" si="67"/>
        <v>REMISE EN ETAT VEH OCCASS</v>
      </c>
      <c r="AL699" s="1030" t="str">
        <f>IFERROR(INDEX(G699:R699,1,MATCH(Parametres!$B$3,G$1:R$1,0)-1)*IF(OR(F699="L",F699="S",F699="I"),-1,1),"")</f>
        <v/>
      </c>
      <c r="AM699" s="1030">
        <f t="shared" si="62"/>
        <v>1</v>
      </c>
      <c r="AN699" s="1030">
        <f>INDEX(G699:R699,1,MATCH(Parametres!$B$3,G$1:R$1,0))*IF(OR(F699="L",F699="S",F699="I"),-1,1)</f>
        <v>1</v>
      </c>
      <c r="AO699" s="598" t="str">
        <f>+VLOOKUP($AJ699,Data_Validation!$A:$D,1,0)</f>
        <v>H42600</v>
      </c>
      <c r="AP699" s="598" t="str">
        <f>+VLOOKUP($AJ699,Data_Validation!$A:$D,3,0)</f>
        <v>Véhicules usagés</v>
      </c>
      <c r="AQ699" s="598" t="str">
        <f>+VLOOKUP($AJ699,Data_Validation!$A:$D,4,0)</f>
        <v>Non Certifié</v>
      </c>
      <c r="AR699" s="598" t="s">
        <v>299</v>
      </c>
      <c r="AS699" s="598">
        <f>+VLOOKUP($AJ699,Data_Validation!$A:$E,5,0)</f>
        <v>0</v>
      </c>
      <c r="AT699" s="1036" t="str">
        <f t="shared" si="63"/>
        <v>H42600</v>
      </c>
      <c r="AU699" s="599" t="str">
        <f t="shared" si="64"/>
        <v>REMISE EN ETAT VEH OCCASS</v>
      </c>
      <c r="AV699" s="1030" t="str">
        <f>IFERROR(INDEX(V699:AG699,1,MATCH(Parametres!$B$3,V$1:AG$1,0)-1)*IF(OR(C699="L",C699="S",C699="I"),-1,1),"")</f>
        <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2026</v>
      </c>
      <c r="C700" s="832" t="s">
        <v>2530</v>
      </c>
      <c r="D700" s="832" t="s">
        <v>2531</v>
      </c>
      <c r="E700" s="832" t="s">
        <v>1891</v>
      </c>
      <c r="F700" s="832" t="s">
        <v>2443</v>
      </c>
      <c r="G700" s="832">
        <v>0</v>
      </c>
      <c r="H700" s="832">
        <v>26630.01</v>
      </c>
      <c r="I700" s="832">
        <v>26630.01</v>
      </c>
      <c r="J700" s="832">
        <v>26630.01</v>
      </c>
      <c r="K700" s="832">
        <v>26630.01</v>
      </c>
      <c r="L700" s="832">
        <v>26630.01</v>
      </c>
      <c r="M700" s="832">
        <v>26630.01</v>
      </c>
      <c r="N700" s="832">
        <v>26630.01</v>
      </c>
      <c r="O700" s="832">
        <v>0</v>
      </c>
      <c r="P700" s="832">
        <v>0</v>
      </c>
      <c r="Q700" s="832">
        <v>0</v>
      </c>
      <c r="R700" s="832">
        <v>0</v>
      </c>
      <c r="S700" s="832">
        <v>3804.29</v>
      </c>
      <c r="T700" s="832">
        <v>3804.29</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H42700</v>
      </c>
      <c r="AK700" s="1030" t="str">
        <f t="shared" si="67"/>
        <v>CT OCC VEH AUTRE DÉTAIL</v>
      </c>
      <c r="AL700" s="1030" t="str">
        <f>IFERROR(INDEX(G700:R700,1,MATCH(Parametres!$B$3,G$1:R$1,0)-1)*IF(OR(F700="L",F700="S",F700="I"),-1,1),"")</f>
        <v/>
      </c>
      <c r="AM700" s="1030">
        <f t="shared" si="62"/>
        <v>0</v>
      </c>
      <c r="AN700" s="1030">
        <f>INDEX(G700:R700,1,MATCH(Parametres!$B$3,G$1:R$1,0))*IF(OR(F700="L",F700="S",F700="I"),-1,1)</f>
        <v>0</v>
      </c>
      <c r="AO700" s="598" t="str">
        <f>+VLOOKUP($AJ700,Data_Validation!$A:$D,1,0)</f>
        <v>H42700</v>
      </c>
      <c r="AP700" s="598" t="str">
        <f>+VLOOKUP($AJ700,Data_Validation!$A:$D,3,0)</f>
        <v>Véhicules usagés</v>
      </c>
      <c r="AQ700" s="598" t="str">
        <f>+VLOOKUP($AJ700,Data_Validation!$A:$D,4,0)</f>
        <v>Autres Marques</v>
      </c>
      <c r="AR700" s="598" t="s">
        <v>299</v>
      </c>
      <c r="AS700" s="598">
        <f>+VLOOKUP($AJ700,Data_Validation!$A:$E,5,0)</f>
        <v>0</v>
      </c>
      <c r="AT700" s="1036" t="str">
        <f t="shared" si="63"/>
        <v>H42700</v>
      </c>
      <c r="AU700" s="599" t="str">
        <f t="shared" si="64"/>
        <v>CT OCC VEH AUTRE DÉTAIL</v>
      </c>
      <c r="AV700" s="1030" t="str">
        <f>IFERROR(INDEX(V700:AG700,1,MATCH(Parametres!$B$3,V$1:AG$1,0)-1)*IF(OR(C700="L",C700="S",C700="I"),-1,1),"")</f>
        <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2026</v>
      </c>
      <c r="C701" s="832" t="s">
        <v>2532</v>
      </c>
      <c r="D701" s="832" t="s">
        <v>2316</v>
      </c>
      <c r="E701" s="832" t="s">
        <v>2526</v>
      </c>
      <c r="F701" s="832" t="s">
        <v>2443</v>
      </c>
      <c r="G701" s="832">
        <v>0</v>
      </c>
      <c r="H701" s="832">
        <v>1</v>
      </c>
      <c r="I701" s="832">
        <v>2</v>
      </c>
      <c r="J701" s="832">
        <v>3</v>
      </c>
      <c r="K701" s="832">
        <v>3</v>
      </c>
      <c r="L701" s="832">
        <v>3</v>
      </c>
      <c r="M701" s="832">
        <v>3</v>
      </c>
      <c r="N701" s="832">
        <v>3</v>
      </c>
      <c r="O701" s="832">
        <v>0</v>
      </c>
      <c r="P701" s="832">
        <v>0</v>
      </c>
      <c r="Q701" s="832">
        <v>0</v>
      </c>
      <c r="R701" s="832">
        <v>0</v>
      </c>
      <c r="S701" s="832">
        <v>0.43</v>
      </c>
      <c r="T701" s="832">
        <v>0.43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H42800</v>
      </c>
      <c r="AK701" s="1030" t="str">
        <f t="shared" si="67"/>
        <v>REMISE ETAT VEH OCC AUTRE</v>
      </c>
      <c r="AL701" s="1030" t="str">
        <f>IFERROR(INDEX(G701:R701,1,MATCH(Parametres!$B$3,G$1:R$1,0)-1)*IF(OR(F701="L",F701="S",F701="I"),-1,1),"")</f>
        <v/>
      </c>
      <c r="AM701" s="1030">
        <f t="shared" si="62"/>
        <v>0</v>
      </c>
      <c r="AN701" s="1030">
        <f>INDEX(G701:R701,1,MATCH(Parametres!$B$3,G$1:R$1,0))*IF(OR(F701="L",F701="S",F701="I"),-1,1)</f>
        <v>0</v>
      </c>
      <c r="AO701" s="598" t="str">
        <f>+VLOOKUP($AJ701,Data_Validation!$A:$D,1,0)</f>
        <v>H42800</v>
      </c>
      <c r="AP701" s="598" t="str">
        <f>+VLOOKUP($AJ701,Data_Validation!$A:$D,3,0)</f>
        <v>Véhicules usagés</v>
      </c>
      <c r="AQ701" s="598" t="str">
        <f>+VLOOKUP($AJ701,Data_Validation!$A:$D,4,0)</f>
        <v>Autres Marques</v>
      </c>
      <c r="AR701" s="598" t="s">
        <v>299</v>
      </c>
      <c r="AS701" s="598">
        <f>+VLOOKUP($AJ701,Data_Validation!$A:$E,5,0)</f>
        <v>0</v>
      </c>
      <c r="AT701" s="1036" t="str">
        <f t="shared" si="63"/>
        <v>H42800</v>
      </c>
      <c r="AU701" s="599" t="str">
        <f t="shared" si="64"/>
        <v>REMISE ETAT VEH OCC AUTRE</v>
      </c>
      <c r="AV701" s="1030" t="str">
        <f>IFERROR(INDEX(V701:AG701,1,MATCH(Parametres!$B$3,V$1:AG$1,0)-1)*IF(OR(C701="L",C701="S",C701="I"),-1,1),"")</f>
        <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2026</v>
      </c>
      <c r="C702" s="832" t="s">
        <v>2533</v>
      </c>
      <c r="D702" s="832" t="s">
        <v>2534</v>
      </c>
      <c r="E702" s="832" t="s">
        <v>1891</v>
      </c>
      <c r="F702" s="832" t="s">
        <v>2443</v>
      </c>
      <c r="G702" s="832">
        <v>0</v>
      </c>
      <c r="H702" s="832">
        <v>14529.28</v>
      </c>
      <c r="I702" s="832">
        <v>72896.58</v>
      </c>
      <c r="J702" s="832">
        <v>94508.08</v>
      </c>
      <c r="K702" s="832">
        <v>94508.08</v>
      </c>
      <c r="L702" s="832">
        <v>94508.08</v>
      </c>
      <c r="M702" s="832">
        <v>94508.08</v>
      </c>
      <c r="N702" s="832">
        <v>94508.08</v>
      </c>
      <c r="O702" s="832">
        <v>0</v>
      </c>
      <c r="P702" s="832">
        <v>0</v>
      </c>
      <c r="Q702" s="832">
        <v>0</v>
      </c>
      <c r="R702" s="832">
        <v>0</v>
      </c>
      <c r="S702" s="832">
        <v>13501.15</v>
      </c>
      <c r="T702" s="832">
        <v>13501.15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H42900</v>
      </c>
      <c r="AK702" s="1030" t="str">
        <f t="shared" si="67"/>
        <v>CT ACCOMODATION</v>
      </c>
      <c r="AL702" s="1030" t="str">
        <f>IFERROR(INDEX(G702:R702,1,MATCH(Parametres!$B$3,G$1:R$1,0)-1)*IF(OR(F702="L",F702="S",F702="I"),-1,1),"")</f>
        <v/>
      </c>
      <c r="AM702" s="1030">
        <f t="shared" si="62"/>
        <v>0</v>
      </c>
      <c r="AN702" s="1030">
        <f>INDEX(G702:R702,1,MATCH(Parametres!$B$3,G$1:R$1,0))*IF(OR(F702="L",F702="S",F702="I"),-1,1)</f>
        <v>0</v>
      </c>
      <c r="AO702" s="598" t="str">
        <f>+VLOOKUP($AJ702,Data_Validation!$A:$D,1,0)</f>
        <v>H42900</v>
      </c>
      <c r="AP702" s="598" t="str">
        <f>+VLOOKUP($AJ702,Data_Validation!$A:$D,3,0)</f>
        <v>Véhicules usagés</v>
      </c>
      <c r="AQ702" s="598" t="str">
        <f>+VLOOKUP($AJ702,Data_Validation!$A:$D,4,0)</f>
        <v>Non Certifié</v>
      </c>
      <c r="AR702" s="598" t="s">
        <v>299</v>
      </c>
      <c r="AS702" s="598">
        <f>+VLOOKUP($AJ702,Data_Validation!$A:$E,5,0)</f>
        <v>0</v>
      </c>
      <c r="AT702" s="1036" t="str">
        <f t="shared" si="63"/>
        <v>H42900</v>
      </c>
      <c r="AU702" s="599" t="str">
        <f t="shared" si="64"/>
        <v>CT ACCOMODATION</v>
      </c>
      <c r="AV702" s="1030" t="str">
        <f>IFERROR(INDEX(V702:AG702,1,MATCH(Parametres!$B$3,V$1:AG$1,0)-1)*IF(OR(C702="L",C702="S",C702="I"),-1,1),"")</f>
        <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2026</v>
      </c>
      <c r="C703" s="832" t="s">
        <v>2535</v>
      </c>
      <c r="D703" s="832" t="s">
        <v>2536</v>
      </c>
      <c r="E703" s="832" t="s">
        <v>1891</v>
      </c>
      <c r="F703" s="832" t="s">
        <v>2443</v>
      </c>
      <c r="G703" s="832">
        <v>0</v>
      </c>
      <c r="H703" s="832">
        <v>475290.08</v>
      </c>
      <c r="I703" s="832">
        <v>847163.41</v>
      </c>
      <c r="J703" s="832">
        <v>1321210.93</v>
      </c>
      <c r="K703" s="832">
        <v>1321210.93</v>
      </c>
      <c r="L703" s="832">
        <v>1321210.93</v>
      </c>
      <c r="M703" s="832">
        <v>1321210.93</v>
      </c>
      <c r="N703" s="832">
        <v>1321210.93</v>
      </c>
      <c r="O703" s="832">
        <v>0</v>
      </c>
      <c r="P703" s="832">
        <v>0</v>
      </c>
      <c r="Q703" s="832">
        <v>0</v>
      </c>
      <c r="R703" s="832">
        <v>0</v>
      </c>
      <c r="S703" s="832">
        <v>188744.42</v>
      </c>
      <c r="T703" s="832">
        <v>188744.42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H42999</v>
      </c>
      <c r="AK703" s="1030" t="str">
        <f t="shared" si="67"/>
        <v>CT ECHANGE CONCESSIONNAIR</v>
      </c>
      <c r="AL703" s="1030" t="str">
        <f>IFERROR(INDEX(G703:R703,1,MATCH(Parametres!$B$3,G$1:R$1,0)-1)*IF(OR(F703="L",F703="S",F703="I"),-1,1),"")</f>
        <v/>
      </c>
      <c r="AM703" s="1030">
        <f t="shared" si="62"/>
        <v>0</v>
      </c>
      <c r="AN703" s="1030">
        <f>INDEX(G703:R703,1,MATCH(Parametres!$B$3,G$1:R$1,0))*IF(OR(F703="L",F703="S",F703="I"),-1,1)</f>
        <v>0</v>
      </c>
      <c r="AO703" s="598" t="str">
        <f>+VLOOKUP($AJ703,Data_Validation!$A:$D,1,0)</f>
        <v>H42999</v>
      </c>
      <c r="AP703" s="598" t="str">
        <f>+VLOOKUP($AJ703,Data_Validation!$A:$D,3,0)</f>
        <v>Véhicules neufs</v>
      </c>
      <c r="AQ703" s="598" t="str">
        <f>+VLOOKUP($AJ703,Data_Validation!$A:$D,4,0)</f>
        <v>Dealer trade</v>
      </c>
      <c r="AR703" s="598" t="s">
        <v>299</v>
      </c>
      <c r="AS703" s="598">
        <f>+VLOOKUP($AJ703,Data_Validation!$A:$E,5,0)</f>
        <v>0</v>
      </c>
      <c r="AT703" s="1036" t="str">
        <f t="shared" si="63"/>
        <v>H42999</v>
      </c>
      <c r="AU703" s="599" t="str">
        <f t="shared" si="64"/>
        <v>CT ECHANGE CONCESSIONNAIR</v>
      </c>
      <c r="AV703" s="1030" t="str">
        <f>IFERROR(INDEX(V703:AG703,1,MATCH(Parametres!$B$3,V$1:AG$1,0)-1)*IF(OR(C703="L",C703="S",C703="I"),-1,1),"")</f>
        <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2026</v>
      </c>
      <c r="C704" s="832" t="s">
        <v>2537</v>
      </c>
      <c r="D704" s="832" t="s">
        <v>2465</v>
      </c>
      <c r="E704" s="832" t="s">
        <v>1891</v>
      </c>
      <c r="F704" s="832" t="s">
        <v>2443</v>
      </c>
      <c r="G704" s="832">
        <v>0</v>
      </c>
      <c r="H704" s="832">
        <v>0</v>
      </c>
      <c r="I704" s="832">
        <v>0</v>
      </c>
      <c r="J704" s="832">
        <v>0</v>
      </c>
      <c r="K704" s="832">
        <v>25759.75</v>
      </c>
      <c r="L704" s="832">
        <v>25759.75</v>
      </c>
      <c r="M704" s="832">
        <v>25759.75</v>
      </c>
      <c r="N704" s="832">
        <v>25759.75</v>
      </c>
      <c r="O704" s="832">
        <v>0</v>
      </c>
      <c r="P704" s="832">
        <v>0</v>
      </c>
      <c r="Q704" s="832">
        <v>0</v>
      </c>
      <c r="R704" s="832">
        <v>0</v>
      </c>
      <c r="S704" s="832">
        <v>3679.96</v>
      </c>
      <c r="T704" s="832">
        <v>3679.96</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H43000</v>
      </c>
      <c r="AK704" s="1030" t="str">
        <f t="shared" si="67"/>
        <v>CT ELANTRA</v>
      </c>
      <c r="AL704" s="1030" t="str">
        <f>IFERROR(INDEX(G704:R704,1,MATCH(Parametres!$B$3,G$1:R$1,0)-1)*IF(OR(F704="L",F704="S",F704="I"),-1,1),"")</f>
        <v/>
      </c>
      <c r="AM704" s="1030">
        <f t="shared" si="62"/>
        <v>0</v>
      </c>
      <c r="AN704" s="1030">
        <f>INDEX(G704:R704,1,MATCH(Parametres!$B$3,G$1:R$1,0))*IF(OR(F704="L",F704="S",F704="I"),-1,1)</f>
        <v>0</v>
      </c>
      <c r="AO704" s="598" t="str">
        <f>+VLOOKUP($AJ704,Data_Validation!$A:$D,1,0)</f>
        <v>H43000</v>
      </c>
      <c r="AP704" s="598" t="str">
        <f>+VLOOKUP($AJ704,Data_Validation!$A:$D,3,0)</f>
        <v>Véhicules neufs</v>
      </c>
      <c r="AQ704" s="598" t="str">
        <f>+VLOOKUP($AJ704,Data_Validation!$A:$D,4,0)</f>
        <v>Autos détail</v>
      </c>
      <c r="AR704" s="598" t="s">
        <v>299</v>
      </c>
      <c r="AS704" s="598">
        <f>+VLOOKUP($AJ704,Data_Validation!$A:$E,5,0)</f>
        <v>0</v>
      </c>
      <c r="AT704" s="1036" t="str">
        <f t="shared" si="63"/>
        <v>H43000</v>
      </c>
      <c r="AU704" s="599" t="str">
        <f t="shared" si="64"/>
        <v>CT ELANTRA</v>
      </c>
      <c r="AV704" s="1030" t="str">
        <f>IFERROR(INDEX(V704:AG704,1,MATCH(Parametres!$B$3,V$1:AG$1,0)-1)*IF(OR(C704="L",C704="S",C704="I"),-1,1),"")</f>
        <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2026</v>
      </c>
      <c r="C705" s="832" t="s">
        <v>2538</v>
      </c>
      <c r="D705" s="832" t="s">
        <v>2539</v>
      </c>
      <c r="E705" s="832" t="s">
        <v>1891</v>
      </c>
      <c r="F705" s="832" t="s">
        <v>2443</v>
      </c>
      <c r="G705" s="832">
        <v>200</v>
      </c>
      <c r="H705" s="832">
        <v>200</v>
      </c>
      <c r="I705" s="832">
        <v>17310.97</v>
      </c>
      <c r="J705" s="832">
        <v>73927.97</v>
      </c>
      <c r="K705" s="832">
        <v>73927.97</v>
      </c>
      <c r="L705" s="832">
        <v>73927.97</v>
      </c>
      <c r="M705" s="832">
        <v>73927.97</v>
      </c>
      <c r="N705" s="832">
        <v>73927.97</v>
      </c>
      <c r="O705" s="832">
        <v>0</v>
      </c>
      <c r="P705" s="832">
        <v>0</v>
      </c>
      <c r="Q705" s="832">
        <v>0</v>
      </c>
      <c r="R705" s="832">
        <v>0</v>
      </c>
      <c r="S705" s="832">
        <v>10561.14</v>
      </c>
      <c r="T705" s="832">
        <v>10561.14</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H43200</v>
      </c>
      <c r="AK705" s="1030" t="str">
        <f t="shared" si="67"/>
        <v>CT VEHICULES D OC- GROS</v>
      </c>
      <c r="AL705" s="1030" t="str">
        <f>IFERROR(INDEX(G705:R705,1,MATCH(Parametres!$B$3,G$1:R$1,0)-1)*IF(OR(F705="L",F705="S",F705="I"),-1,1),"")</f>
        <v/>
      </c>
      <c r="AM705" s="1030">
        <f t="shared" si="62"/>
        <v>200</v>
      </c>
      <c r="AN705" s="1030">
        <f>INDEX(G705:R705,1,MATCH(Parametres!$B$3,G$1:R$1,0))*IF(OR(F705="L",F705="S",F705="I"),-1,1)</f>
        <v>200</v>
      </c>
      <c r="AO705" s="598" t="str">
        <f>+VLOOKUP($AJ705,Data_Validation!$A:$D,1,0)</f>
        <v>H43200</v>
      </c>
      <c r="AP705" s="598" t="str">
        <f>+VLOOKUP($AJ705,Data_Validation!$A:$D,3,0)</f>
        <v>Véhicules usagés</v>
      </c>
      <c r="AQ705" s="598" t="str">
        <f>+VLOOKUP($AJ705,Data_Validation!$A:$D,4,0)</f>
        <v>Ventes au Gros</v>
      </c>
      <c r="AR705" s="598" t="s">
        <v>299</v>
      </c>
      <c r="AS705" s="598">
        <f>+VLOOKUP($AJ705,Data_Validation!$A:$E,5,0)</f>
        <v>0</v>
      </c>
      <c r="AT705" s="1036" t="str">
        <f t="shared" si="63"/>
        <v>H43200</v>
      </c>
      <c r="AU705" s="599" t="str">
        <f t="shared" si="64"/>
        <v>CT VEHICULES D OC- GROS</v>
      </c>
      <c r="AV705" s="1030" t="str">
        <f>IFERROR(INDEX(V705:AG705,1,MATCH(Parametres!$B$3,V$1:AG$1,0)-1)*IF(OR(C705="L",C705="S",C705="I"),-1,1),"")</f>
        <v/>
      </c>
      <c r="AW705" s="1030">
        <f t="shared" si="65"/>
        <v>0</v>
      </c>
      <c r="AX705" s="1030">
        <f>INDEX(V705:AG705,1,MATCH(Parametres!$B$3,V$1:AG$1,0))*IF(OR(C705="L",C705="S",C705="I"),-1,1)</f>
        <v>0</v>
      </c>
      <c r="AY705" s="598" t="s">
        <v>337</v>
      </c>
      <c r="AZ705" s="598">
        <f>+VLOOKUP($AJ705,Data_Validation!$A:$E,5,0)</f>
        <v>0</v>
      </c>
    </row>
    <row r="706" spans="1:52" ht="15" customHeight="1">
      <c r="A706" s="832" t="s">
        <v>1150</v>
      </c>
      <c r="B706" s="832">
        <v>2026</v>
      </c>
      <c r="C706" s="832" t="s">
        <v>2540</v>
      </c>
      <c r="D706" s="832" t="s">
        <v>2541</v>
      </c>
      <c r="E706" s="832" t="s">
        <v>1891</v>
      </c>
      <c r="F706" s="832" t="s">
        <v>2443</v>
      </c>
      <c r="G706" s="832">
        <v>182215.11</v>
      </c>
      <c r="H706" s="832">
        <v>361020.55</v>
      </c>
      <c r="I706" s="832">
        <v>620987.39</v>
      </c>
      <c r="J706" s="832">
        <v>890260.34</v>
      </c>
      <c r="K706" s="832">
        <v>914060.34</v>
      </c>
      <c r="L706" s="832">
        <v>914060.34</v>
      </c>
      <c r="M706" s="832">
        <v>914060.34</v>
      </c>
      <c r="N706" s="832">
        <v>914060.34</v>
      </c>
      <c r="O706" s="832">
        <v>0</v>
      </c>
      <c r="P706" s="832">
        <v>0</v>
      </c>
      <c r="Q706" s="832">
        <v>0</v>
      </c>
      <c r="R706" s="832">
        <v>0</v>
      </c>
      <c r="S706" s="832">
        <v>130580.05</v>
      </c>
      <c r="T706" s="832">
        <v>130580.05</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H43201</v>
      </c>
      <c r="AK706" s="1030" t="str">
        <f t="shared" si="67"/>
        <v>CT EBLOCK - EN GROS</v>
      </c>
      <c r="AL706" s="1030" t="str">
        <f>IFERROR(INDEX(G706:R706,1,MATCH(Parametres!$B$3,G$1:R$1,0)-1)*IF(OR(F706="L",F706="S",F706="I"),-1,1),"")</f>
        <v/>
      </c>
      <c r="AM706" s="1030">
        <f t="shared" si="62"/>
        <v>182215.11</v>
      </c>
      <c r="AN706" s="1030">
        <f>INDEX(G706:R706,1,MATCH(Parametres!$B$3,G$1:R$1,0))*IF(OR(F706="L",F706="S",F706="I"),-1,1)</f>
        <v>182215.11</v>
      </c>
      <c r="AO706" s="598" t="str">
        <f>+VLOOKUP($AJ706,Data_Validation!$A:$D,1,0)</f>
        <v>H43201</v>
      </c>
      <c r="AP706" s="598" t="str">
        <f>+VLOOKUP($AJ706,Data_Validation!$A:$D,3,0)</f>
        <v>Véhicules usagés</v>
      </c>
      <c r="AQ706" s="598" t="str">
        <f>+VLOOKUP($AJ706,Data_Validation!$A:$D,4,0)</f>
        <v>Ventes au Gros</v>
      </c>
      <c r="AR706" s="598" t="s">
        <v>299</v>
      </c>
      <c r="AS706" s="598">
        <f>+VLOOKUP($AJ706,Data_Validation!$A:$E,5,0)</f>
        <v>0</v>
      </c>
      <c r="AT706" s="1036" t="str">
        <f t="shared" si="63"/>
        <v>H43201</v>
      </c>
      <c r="AU706" s="599" t="str">
        <f t="shared" si="64"/>
        <v>CT EBLOCK - EN GROS</v>
      </c>
      <c r="AV706" s="1030" t="str">
        <f>IFERROR(INDEX(V706:AG706,1,MATCH(Parametres!$B$3,V$1:AG$1,0)-1)*IF(OR(C706="L",C706="S",C706="I"),-1,1),"")</f>
        <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2026</v>
      </c>
      <c r="C707" s="832" t="s">
        <v>2542</v>
      </c>
      <c r="D707" s="832" t="s">
        <v>2543</v>
      </c>
      <c r="E707" s="832" t="s">
        <v>1891</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H43202</v>
      </c>
      <c r="AK707" s="1030" t="str">
        <f t="shared" si="67"/>
        <v>CT WHOLESALE PAT</v>
      </c>
      <c r="AL707" s="1030" t="str">
        <f>IFERROR(INDEX(G707:R707,1,MATCH(Parametres!$B$3,G$1:R$1,0)-1)*IF(OR(F707="L",F707="S",F707="I"),-1,1),"")</f>
        <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H43202</v>
      </c>
      <c r="AU707" s="599" t="str">
        <f t="shared" si="64"/>
        <v>CT WHOLESALE PAT</v>
      </c>
      <c r="AV707" s="1030" t="str">
        <f>IFERROR(INDEX(V707:AG707,1,MATCH(Parametres!$B$3,V$1:AG$1,0)-1)*IF(OR(C707="L",C707="S",C707="I"),-1,1),"")</f>
        <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2026</v>
      </c>
      <c r="C708" s="832" t="s">
        <v>2544</v>
      </c>
      <c r="D708" s="832" t="s">
        <v>2545</v>
      </c>
      <c r="E708" s="832" t="s">
        <v>1891</v>
      </c>
      <c r="F708" s="832" t="s">
        <v>2443</v>
      </c>
      <c r="G708" s="832">
        <v>0</v>
      </c>
      <c r="H708" s="832">
        <v>0</v>
      </c>
      <c r="I708" s="832">
        <v>0</v>
      </c>
      <c r="J708" s="832">
        <v>9330.36</v>
      </c>
      <c r="K708" s="832">
        <v>9330.36</v>
      </c>
      <c r="L708" s="832">
        <v>9330.36</v>
      </c>
      <c r="M708" s="832">
        <v>9330.36</v>
      </c>
      <c r="N708" s="832">
        <v>9330.36</v>
      </c>
      <c r="O708" s="832">
        <v>0</v>
      </c>
      <c r="P708" s="832">
        <v>0</v>
      </c>
      <c r="Q708" s="832">
        <v>0</v>
      </c>
      <c r="R708" s="832">
        <v>0</v>
      </c>
      <c r="S708" s="832">
        <v>1332.91</v>
      </c>
      <c r="T708" s="832">
        <v>1332.91</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H43300</v>
      </c>
      <c r="AK708" s="1030" t="str">
        <f t="shared" si="67"/>
        <v>CT USAGE RACHAT LOCATION</v>
      </c>
      <c r="AL708" s="1030" t="str">
        <f>IFERROR(INDEX(G708:R708,1,MATCH(Parametres!$B$3,G$1:R$1,0)-1)*IF(OR(F708="L",F708="S",F708="I"),-1,1),"")</f>
        <v/>
      </c>
      <c r="AM708" s="1030">
        <f t="shared" ref="AM708:AM771" si="68">AN708-N(AL708)</f>
        <v>0</v>
      </c>
      <c r="AN708" s="1030">
        <f>INDEX(G708:R708,1,MATCH(Parametres!$B$3,G$1:R$1,0))*IF(OR(F708="L",F708="S",F708="I"),-1,1)</f>
        <v>0</v>
      </c>
      <c r="AO708" s="598" t="str">
        <f>+VLOOKUP($AJ708,Data_Validation!$A:$D,1,0)</f>
        <v>H43300</v>
      </c>
      <c r="AP708" s="598" t="str">
        <f>+VLOOKUP($AJ708,Data_Validation!$A:$D,3,0)</f>
        <v>Véhicules usagés</v>
      </c>
      <c r="AQ708" s="598" t="str">
        <f>+VLOOKUP($AJ708,Data_Validation!$A:$D,4,0)</f>
        <v>Rachat bail</v>
      </c>
      <c r="AR708" s="598" t="s">
        <v>299</v>
      </c>
      <c r="AS708" s="598">
        <f>+VLOOKUP($AJ708,Data_Validation!$A:$E,5,0)</f>
        <v>0</v>
      </c>
      <c r="AT708" s="1036" t="str">
        <f t="shared" ref="AT708:AT771" si="69">C708</f>
        <v>H43300</v>
      </c>
      <c r="AU708" s="599" t="str">
        <f t="shared" ref="AU708:AU771" si="70">D708</f>
        <v>CT USAGE RACHAT LOCATION</v>
      </c>
      <c r="AV708" s="1030" t="str">
        <f>IFERROR(INDEX(V708:AG708,1,MATCH(Parametres!$B$3,V$1:AG$1,0)-1)*IF(OR(C708="L",C708="S",C708="I"),-1,1),"")</f>
        <v/>
      </c>
      <c r="AW708" s="1030">
        <f t="shared" ref="AW708:AW771" si="71">AX708-N(AV708)</f>
        <v>0</v>
      </c>
      <c r="AX708" s="1030">
        <f>INDEX(V708:AG708,1,MATCH(Parametres!$B$3,V$1:AG$1,0))*IF(OR(C708="L",C708="S",C708="I"),-1,1)</f>
        <v>0</v>
      </c>
      <c r="AY708" s="598" t="s">
        <v>337</v>
      </c>
      <c r="AZ708" s="598">
        <f>+VLOOKUP($AJ708,Data_Validation!$A:$E,5,0)</f>
        <v>0</v>
      </c>
    </row>
    <row r="709" spans="1:52" ht="15" customHeight="1">
      <c r="A709" s="832" t="s">
        <v>1150</v>
      </c>
      <c r="B709" s="832">
        <v>2026</v>
      </c>
      <c r="C709" s="832" t="s">
        <v>2546</v>
      </c>
      <c r="D709" s="832" t="s">
        <v>2547</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H43310</v>
      </c>
      <c r="AK709" s="1030" t="str">
        <f t="shared" si="67"/>
        <v>CT PPP USED</v>
      </c>
      <c r="AL709" s="1030" t="str">
        <f>IFERROR(INDEX(G709:R709,1,MATCH(Parametres!$B$3,G$1:R$1,0)-1)*IF(OR(F709="L",F709="S",F709="I"),-1,1),"")</f>
        <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H43310</v>
      </c>
      <c r="AU709" s="599" t="str">
        <f t="shared" si="70"/>
        <v>CT PPP USED</v>
      </c>
      <c r="AV709" s="1030" t="str">
        <f>IFERROR(INDEX(V709:AG709,1,MATCH(Parametres!$B$3,V$1:AG$1,0)-1)*IF(OR(C709="L",C709="S",C709="I"),-1,1),"")</f>
        <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2026</v>
      </c>
      <c r="C710" s="832" t="s">
        <v>2548</v>
      </c>
      <c r="D710" s="832" t="s">
        <v>2549</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H43320</v>
      </c>
      <c r="AK710" s="1030" t="str">
        <f t="shared" si="67"/>
        <v>CT ASSURANCE USAGES</v>
      </c>
      <c r="AL710" s="1030" t="str">
        <f>IFERROR(INDEX(G710:R710,1,MATCH(Parametres!$B$3,G$1:R$1,0)-1)*IF(OR(F710="L",F710="S",F710="I"),-1,1),"")</f>
        <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H43320</v>
      </c>
      <c r="AU710" s="599" t="str">
        <f t="shared" si="70"/>
        <v>CT ASSURANCE USAGES</v>
      </c>
      <c r="AV710" s="1030" t="str">
        <f>IFERROR(INDEX(V710:AG710,1,MATCH(Parametres!$B$3,V$1:AG$1,0)-1)*IF(OR(C710="L",C710="S",C710="I"),-1,1),"")</f>
        <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2026</v>
      </c>
      <c r="C711" s="832" t="s">
        <v>2550</v>
      </c>
      <c r="D711" s="832" t="s">
        <v>2551</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H43330</v>
      </c>
      <c r="AK711" s="1030" t="str">
        <f t="shared" si="67"/>
        <v>CT OCC REVENU FINANCE</v>
      </c>
      <c r="AL711" s="1030" t="str">
        <f>IFERROR(INDEX(G711:R711,1,MATCH(Parametres!$B$3,G$1:R$1,0)-1)*IF(OR(F711="L",F711="S",F711="I"),-1,1),"")</f>
        <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H43330</v>
      </c>
      <c r="AU711" s="599" t="str">
        <f t="shared" si="70"/>
        <v>CT OCC REVENU FINANCE</v>
      </c>
      <c r="AV711" s="1030" t="str">
        <f>IFERROR(INDEX(V711:AG711,1,MATCH(Parametres!$B$3,V$1:AG$1,0)-1)*IF(OR(C711="L",C711="S",C711="I"),-1,1),"")</f>
        <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2026</v>
      </c>
      <c r="C712" s="832" t="s">
        <v>2552</v>
      </c>
      <c r="D712" s="832" t="s">
        <v>2553</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H43340</v>
      </c>
      <c r="AK712" s="1030" t="str">
        <f t="shared" si="67"/>
        <v>CT OCC CHIMIQUES</v>
      </c>
      <c r="AL712" s="1030" t="str">
        <f>IFERROR(INDEX(G712:R712,1,MATCH(Parametres!$B$3,G$1:R$1,0)-1)*IF(OR(F712="L",F712="S",F712="I"),-1,1),"")</f>
        <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H43340</v>
      </c>
      <c r="AU712" s="599" t="str">
        <f t="shared" si="70"/>
        <v>CT OCC CHIMIQUES</v>
      </c>
      <c r="AV712" s="1030" t="str">
        <f>IFERROR(INDEX(V712:AG712,1,MATCH(Parametres!$B$3,V$1:AG$1,0)-1)*IF(OR(C712="L",C712="S",C712="I"),-1,1),"")</f>
        <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2026</v>
      </c>
      <c r="C713" s="832" t="s">
        <v>2554</v>
      </c>
      <c r="D713" s="832" t="s">
        <v>2555</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H43350</v>
      </c>
      <c r="AK713" s="1030" t="str">
        <f t="shared" si="67"/>
        <v>CT OCC  ANTIVOL</v>
      </c>
      <c r="AL713" s="1030" t="str">
        <f>IFERROR(INDEX(G713:R713,1,MATCH(Parametres!$B$3,G$1:R$1,0)-1)*IF(OR(F713="L",F713="S",F713="I"),-1,1),"")</f>
        <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H43350</v>
      </c>
      <c r="AU713" s="599" t="str">
        <f t="shared" si="70"/>
        <v>CT OCC  ANTIVOL</v>
      </c>
      <c r="AV713" s="1030" t="str">
        <f>IFERROR(INDEX(V713:AG713,1,MATCH(Parametres!$B$3,V$1:AG$1,0)-1)*IF(OR(C713="L",C713="S",C713="I"),-1,1),"")</f>
        <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2026</v>
      </c>
      <c r="C714" s="832" t="s">
        <v>2556</v>
      </c>
      <c r="D714" s="832" t="s">
        <v>2557</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H43360</v>
      </c>
      <c r="AK714" s="1030" t="str">
        <f t="shared" si="67"/>
        <v>CT OCC AUTRES PRODUIT</v>
      </c>
      <c r="AL714" s="1030" t="str">
        <f>IFERROR(INDEX(G714:R714,1,MATCH(Parametres!$B$3,G$1:R$1,0)-1)*IF(OR(F714="L",F714="S",F714="I"),-1,1),"")</f>
        <v/>
      </c>
      <c r="AM714" s="1030">
        <f t="shared" si="68"/>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t="str">
        <f t="shared" si="69"/>
        <v>H43360</v>
      </c>
      <c r="AU714" s="599" t="str">
        <f t="shared" si="70"/>
        <v>CT OCC AUTRES PRODUIT</v>
      </c>
      <c r="AV714" s="1030" t="str">
        <f>IFERROR(INDEX(V714:AG714,1,MATCH(Parametres!$B$3,V$1:AG$1,0)-1)*IF(OR(C714="L",C714="S",C714="I"),-1,1),"")</f>
        <v/>
      </c>
      <c r="AW714" s="1030">
        <f t="shared" si="71"/>
        <v>0</v>
      </c>
      <c r="AX714" s="1030">
        <f>INDEX(V714:AG714,1,MATCH(Parametres!$B$3,V$1:AG$1,0))*IF(OR(C714="L",C714="S",C714="I"),-1,1)</f>
        <v>0</v>
      </c>
      <c r="AY714" s="598" t="s">
        <v>337</v>
      </c>
      <c r="AZ714" s="598" t="e">
        <f>+VLOOKUP($AJ714,Data_Validation!$A:$E,5,0)</f>
        <v>#N/A</v>
      </c>
    </row>
    <row r="715" spans="1:52" ht="15" customHeight="1">
      <c r="A715" s="832" t="s">
        <v>1150</v>
      </c>
      <c r="B715" s="832">
        <v>2026</v>
      </c>
      <c r="C715" s="832" t="s">
        <v>2558</v>
      </c>
      <c r="D715" s="832" t="s">
        <v>2559</v>
      </c>
      <c r="E715" s="832" t="s">
        <v>1891</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H43390</v>
      </c>
      <c r="AK715" s="1030" t="str">
        <f t="shared" si="67"/>
        <v>CT OCC RACHAT CONT LOC</v>
      </c>
      <c r="AL715" s="1030" t="str">
        <f>IFERROR(INDEX(G715:R715,1,MATCH(Parametres!$B$3,G$1:R$1,0)-1)*IF(OR(F715="L",F715="S",F715="I"),-1,1),"")</f>
        <v/>
      </c>
      <c r="AM715" s="1030">
        <f t="shared" si="68"/>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t="str">
        <f t="shared" si="69"/>
        <v>H43390</v>
      </c>
      <c r="AU715" s="599" t="str">
        <f t="shared" si="70"/>
        <v>CT OCC RACHAT CONT LOC</v>
      </c>
      <c r="AV715" s="1030" t="str">
        <f>IFERROR(INDEX(V715:AG715,1,MATCH(Parametres!$B$3,V$1:AG$1,0)-1)*IF(OR(C715="L",C715="S",C715="I"),-1,1),"")</f>
        <v/>
      </c>
      <c r="AW715" s="1030">
        <f t="shared" si="71"/>
        <v>0</v>
      </c>
      <c r="AX715" s="1030">
        <f>INDEX(V715:AG715,1,MATCH(Parametres!$B$3,V$1:AG$1,0))*IF(OR(C715="L",C715="S",C715="I"),-1,1)</f>
        <v>0</v>
      </c>
      <c r="AY715" s="598" t="s">
        <v>337</v>
      </c>
      <c r="AZ715" s="598" t="e">
        <f>+VLOOKUP($AJ715,Data_Validation!$A:$E,5,0)</f>
        <v>#N/A</v>
      </c>
    </row>
    <row r="716" spans="1:52" ht="15" customHeight="1">
      <c r="A716" s="832" t="s">
        <v>1150</v>
      </c>
      <c r="B716" s="832">
        <v>2026</v>
      </c>
      <c r="C716" s="832" t="s">
        <v>2560</v>
      </c>
      <c r="D716" s="832" t="s">
        <v>2561</v>
      </c>
      <c r="E716" s="832" t="s">
        <v>333</v>
      </c>
      <c r="F716" s="832" t="s">
        <v>2443</v>
      </c>
      <c r="G716" s="832">
        <v>13850</v>
      </c>
      <c r="H716" s="832">
        <v>28245</v>
      </c>
      <c r="I716" s="832">
        <v>43867</v>
      </c>
      <c r="J716" s="832">
        <v>65237</v>
      </c>
      <c r="K716" s="832">
        <v>73622</v>
      </c>
      <c r="L716" s="832">
        <v>73622</v>
      </c>
      <c r="M716" s="832">
        <v>73622</v>
      </c>
      <c r="N716" s="832">
        <v>73622</v>
      </c>
      <c r="O716" s="832">
        <v>0</v>
      </c>
      <c r="P716" s="832">
        <v>0</v>
      </c>
      <c r="Q716" s="832">
        <v>0</v>
      </c>
      <c r="R716" s="832">
        <v>0</v>
      </c>
      <c r="S716" s="832">
        <v>10517.43</v>
      </c>
      <c r="T716" s="832">
        <v>10517.43</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H43400</v>
      </c>
      <c r="AK716" s="1030" t="str">
        <f t="shared" si="67"/>
        <v>CT HPP - MARQUAGE</v>
      </c>
      <c r="AL716" s="1030" t="str">
        <f>IFERROR(INDEX(G716:R716,1,MATCH(Parametres!$B$3,G$1:R$1,0)-1)*IF(OR(F716="L",F716="S",F716="I"),-1,1),"")</f>
        <v/>
      </c>
      <c r="AM716" s="1030">
        <f t="shared" si="68"/>
        <v>13850</v>
      </c>
      <c r="AN716" s="1030">
        <f>INDEX(G716:R716,1,MATCH(Parametres!$B$3,G$1:R$1,0))*IF(OR(F716="L",F716="S",F716="I"),-1,1)</f>
        <v>13850</v>
      </c>
      <c r="AO716" s="598" t="str">
        <f>+VLOOKUP($AJ716,Data_Validation!$A:$D,1,0)</f>
        <v>H43400</v>
      </c>
      <c r="AP716" s="598" t="str">
        <f>+VLOOKUP($AJ716,Data_Validation!$A:$D,3,0)</f>
        <v>Véhicules usagés</v>
      </c>
      <c r="AQ716" s="598" t="str">
        <f>+VLOOKUP($AJ716,Data_Validation!$A:$D,4,0)</f>
        <v>Rev. Protections</v>
      </c>
      <c r="AR716" s="598" t="s">
        <v>299</v>
      </c>
      <c r="AS716" s="598">
        <f>+VLOOKUP($AJ716,Data_Validation!$A:$E,5,0)</f>
        <v>0</v>
      </c>
      <c r="AT716" s="1036" t="str">
        <f t="shared" si="69"/>
        <v>H43400</v>
      </c>
      <c r="AU716" s="599" t="str">
        <f t="shared" si="70"/>
        <v>CT HPP - MARQUAGE</v>
      </c>
      <c r="AV716" s="1030" t="str">
        <f>IFERROR(INDEX(V716:AG716,1,MATCH(Parametres!$B$3,V$1:AG$1,0)-1)*IF(OR(C716="L",C716="S",C716="I"),-1,1),"")</f>
        <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2026</v>
      </c>
      <c r="C717" s="832" t="s">
        <v>2562</v>
      </c>
      <c r="D717" s="832" t="s">
        <v>2563</v>
      </c>
      <c r="E717" s="832" t="s">
        <v>333</v>
      </c>
      <c r="F717" s="832" t="s">
        <v>2443</v>
      </c>
      <c r="G717" s="832">
        <v>1661.5</v>
      </c>
      <c r="H717" s="832">
        <v>10281.1</v>
      </c>
      <c r="I717" s="832">
        <v>20696.5</v>
      </c>
      <c r="J717" s="832">
        <v>36026.5</v>
      </c>
      <c r="K717" s="832">
        <v>39313.81</v>
      </c>
      <c r="L717" s="832">
        <v>39313.81</v>
      </c>
      <c r="M717" s="832">
        <v>39313.81</v>
      </c>
      <c r="N717" s="832">
        <v>39313.81</v>
      </c>
      <c r="O717" s="832">
        <v>0</v>
      </c>
      <c r="P717" s="832">
        <v>0</v>
      </c>
      <c r="Q717" s="832">
        <v>0</v>
      </c>
      <c r="R717" s="832">
        <v>0</v>
      </c>
      <c r="S717" s="832">
        <v>5616.26</v>
      </c>
      <c r="T717" s="832">
        <v>5616.26</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H43410</v>
      </c>
      <c r="AK717" s="1030" t="str">
        <f t="shared" si="67"/>
        <v>CT OCC ASS VIE REMPL</v>
      </c>
      <c r="AL717" s="1030" t="str">
        <f>IFERROR(INDEX(G717:R717,1,MATCH(Parametres!$B$3,G$1:R$1,0)-1)*IF(OR(F717="L",F717="S",F717="I"),-1,1),"")</f>
        <v/>
      </c>
      <c r="AM717" s="1030">
        <f t="shared" si="68"/>
        <v>1661.5</v>
      </c>
      <c r="AN717" s="1030">
        <f>INDEX(G717:R717,1,MATCH(Parametres!$B$3,G$1:R$1,0))*IF(OR(F717="L",F717="S",F717="I"),-1,1)</f>
        <v>1661.5</v>
      </c>
      <c r="AO717" s="598" t="str">
        <f>+VLOOKUP($AJ717,Data_Validation!$A:$D,1,0)</f>
        <v>H43410</v>
      </c>
      <c r="AP717" s="598" t="str">
        <f>+VLOOKUP($AJ717,Data_Validation!$A:$D,3,0)</f>
        <v>Véhicules usagés</v>
      </c>
      <c r="AQ717" s="598" t="str">
        <f>+VLOOKUP($AJ717,Data_Validation!$A:$D,4,0)</f>
        <v>Rev. Protections</v>
      </c>
      <c r="AR717" s="598" t="s">
        <v>299</v>
      </c>
      <c r="AS717" s="598">
        <f>+VLOOKUP($AJ717,Data_Validation!$A:$E,5,0)</f>
        <v>0</v>
      </c>
      <c r="AT717" s="1036" t="str">
        <f t="shared" si="69"/>
        <v>H43410</v>
      </c>
      <c r="AU717" s="599" t="str">
        <f t="shared" si="70"/>
        <v>CT OCC ASS VIE REMPL</v>
      </c>
      <c r="AV717" s="1030" t="str">
        <f>IFERROR(INDEX(V717:AG717,1,MATCH(Parametres!$B$3,V$1:AG$1,0)-1)*IF(OR(C717="L",C717="S",C717="I"),-1,1),"")</f>
        <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2026</v>
      </c>
      <c r="C718" s="832" t="s">
        <v>2564</v>
      </c>
      <c r="D718" s="832" t="s">
        <v>2565</v>
      </c>
      <c r="E718" s="832" t="s">
        <v>333</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H43420</v>
      </c>
      <c r="AK718" s="1030" t="str">
        <f t="shared" si="67"/>
        <v>CT OCC FINANCE</v>
      </c>
      <c r="AL718" s="1030" t="str">
        <f>IFERROR(INDEX(G718:R718,1,MATCH(Parametres!$B$3,G$1:R$1,0)-1)*IF(OR(F718="L",F718="S",F718="I"),-1,1),"")</f>
        <v/>
      </c>
      <c r="AM718" s="1030">
        <f t="shared" si="68"/>
        <v>0</v>
      </c>
      <c r="AN718" s="1030">
        <f>INDEX(G718:R718,1,MATCH(Parametres!$B$3,G$1:R$1,0))*IF(OR(F718="L",F718="S",F718="I"),-1,1)</f>
        <v>0</v>
      </c>
      <c r="AO718" s="598" t="str">
        <f>+VLOOKUP($AJ718,Data_Validation!$A:$D,1,0)</f>
        <v>H43420</v>
      </c>
      <c r="AP718" s="598" t="str">
        <f>+VLOOKUP($AJ718,Data_Validation!$A:$D,3,0)</f>
        <v>Véhicules usagés</v>
      </c>
      <c r="AQ718" s="598" t="str">
        <f>+VLOOKUP($AJ718,Data_Validation!$A:$D,4,0)</f>
        <v>Rev. Finances</v>
      </c>
      <c r="AR718" s="598" t="s">
        <v>299</v>
      </c>
      <c r="AS718" s="598">
        <f>+VLOOKUP($AJ718,Data_Validation!$A:$E,5,0)</f>
        <v>0</v>
      </c>
      <c r="AT718" s="1036" t="str">
        <f t="shared" si="69"/>
        <v>H43420</v>
      </c>
      <c r="AU718" s="599" t="str">
        <f t="shared" si="70"/>
        <v>CT OCC FINANCE</v>
      </c>
      <c r="AV718" s="1030" t="str">
        <f>IFERROR(INDEX(V718:AG718,1,MATCH(Parametres!$B$3,V$1:AG$1,0)-1)*IF(OR(C718="L",C718="S",C718="I"),-1,1),"")</f>
        <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2026</v>
      </c>
      <c r="C719" s="832" t="s">
        <v>2566</v>
      </c>
      <c r="D719" s="832" t="s">
        <v>2567</v>
      </c>
      <c r="E719" s="832" t="s">
        <v>333</v>
      </c>
      <c r="F719" s="832" t="s">
        <v>2443</v>
      </c>
      <c r="G719" s="832">
        <v>272</v>
      </c>
      <c r="H719" s="832">
        <v>752</v>
      </c>
      <c r="I719" s="832">
        <v>1232</v>
      </c>
      <c r="J719" s="832">
        <v>4304</v>
      </c>
      <c r="K719" s="832">
        <v>4880</v>
      </c>
      <c r="L719" s="832">
        <v>4880</v>
      </c>
      <c r="M719" s="832">
        <v>4880</v>
      </c>
      <c r="N719" s="832">
        <v>4880</v>
      </c>
      <c r="O719" s="832">
        <v>0</v>
      </c>
      <c r="P719" s="832">
        <v>0</v>
      </c>
      <c r="Q719" s="832">
        <v>0</v>
      </c>
      <c r="R719" s="832">
        <v>0</v>
      </c>
      <c r="S719" s="832">
        <v>697.14</v>
      </c>
      <c r="T719" s="832">
        <v>697.14</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H43430</v>
      </c>
      <c r="AK719" s="1030" t="str">
        <f t="shared" si="67"/>
        <v>CT OCC PRODUITS CHIMIQUE</v>
      </c>
      <c r="AL719" s="1030" t="str">
        <f>IFERROR(INDEX(G719:R719,1,MATCH(Parametres!$B$3,G$1:R$1,0)-1)*IF(OR(F719="L",F719="S",F719="I"),-1,1),"")</f>
        <v/>
      </c>
      <c r="AM719" s="1030">
        <f t="shared" si="68"/>
        <v>272</v>
      </c>
      <c r="AN719" s="1030">
        <f>INDEX(G719:R719,1,MATCH(Parametres!$B$3,G$1:R$1,0))*IF(OR(F719="L",F719="S",F719="I"),-1,1)</f>
        <v>272</v>
      </c>
      <c r="AO719" s="598" t="str">
        <f>+VLOOKUP($AJ719,Data_Validation!$A:$D,1,0)</f>
        <v>H43430</v>
      </c>
      <c r="AP719" s="598" t="str">
        <f>+VLOOKUP($AJ719,Data_Validation!$A:$D,3,0)</f>
        <v>Véhicules usagés</v>
      </c>
      <c r="AQ719" s="598" t="str">
        <f>+VLOOKUP($AJ719,Data_Validation!$A:$D,4,0)</f>
        <v>Rev. Protections</v>
      </c>
      <c r="AR719" s="598" t="s">
        <v>299</v>
      </c>
      <c r="AS719" s="598">
        <f>+VLOOKUP($AJ719,Data_Validation!$A:$E,5,0)</f>
        <v>0</v>
      </c>
      <c r="AT719" s="1036" t="str">
        <f t="shared" si="69"/>
        <v>H43430</v>
      </c>
      <c r="AU719" s="599" t="str">
        <f t="shared" si="70"/>
        <v>CT OCC PRODUITS CHIMIQUE</v>
      </c>
      <c r="AV719" s="1030" t="str">
        <f>IFERROR(INDEX(V719:AG719,1,MATCH(Parametres!$B$3,V$1:AG$1,0)-1)*IF(OR(C719="L",C719="S",C719="I"),-1,1),"")</f>
        <v/>
      </c>
      <c r="AW719" s="1030">
        <f t="shared" si="71"/>
        <v>0</v>
      </c>
      <c r="AX719" s="1030">
        <f>INDEX(V719:AG719,1,MATCH(Parametres!$B$3,V$1:AG$1,0))*IF(OR(C719="L",C719="S",C719="I"),-1,1)</f>
        <v>0</v>
      </c>
      <c r="AY719" s="598" t="s">
        <v>337</v>
      </c>
      <c r="AZ719" s="598">
        <f>+VLOOKUP($AJ719,Data_Validation!$A:$E,5,0)</f>
        <v>0</v>
      </c>
    </row>
    <row r="720" spans="1:52" ht="15" customHeight="1">
      <c r="A720" s="832" t="s">
        <v>1150</v>
      </c>
      <c r="B720" s="832">
        <v>2026</v>
      </c>
      <c r="C720" s="832" t="s">
        <v>2568</v>
      </c>
      <c r="D720" s="832" t="s">
        <v>2502</v>
      </c>
      <c r="E720" s="832" t="s">
        <v>333</v>
      </c>
      <c r="F720" s="832" t="s">
        <v>2443</v>
      </c>
      <c r="G720" s="832">
        <v>0</v>
      </c>
      <c r="H720" s="832">
        <v>0</v>
      </c>
      <c r="I720" s="832">
        <v>0</v>
      </c>
      <c r="J720" s="832">
        <v>1207</v>
      </c>
      <c r="K720" s="832">
        <v>1207</v>
      </c>
      <c r="L720" s="832">
        <v>1207</v>
      </c>
      <c r="M720" s="832">
        <v>1207</v>
      </c>
      <c r="N720" s="832">
        <v>1207</v>
      </c>
      <c r="O720" s="832">
        <v>0</v>
      </c>
      <c r="P720" s="832">
        <v>0</v>
      </c>
      <c r="Q720" s="832">
        <v>0</v>
      </c>
      <c r="R720" s="832">
        <v>0</v>
      </c>
      <c r="S720" s="832">
        <v>172.43</v>
      </c>
      <c r="T720" s="832">
        <v>172.43</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H43440</v>
      </c>
      <c r="AK720" s="1030" t="str">
        <f t="shared" si="67"/>
        <v>CT ASSURANCE ROUTIERE</v>
      </c>
      <c r="AL720" s="1030" t="str">
        <f>IFERROR(INDEX(G720:R720,1,MATCH(Parametres!$B$3,G$1:R$1,0)-1)*IF(OR(F720="L",F720="S",F720="I"),-1,1),"")</f>
        <v/>
      </c>
      <c r="AM720" s="1030">
        <f t="shared" si="68"/>
        <v>0</v>
      </c>
      <c r="AN720" s="1030">
        <f>INDEX(G720:R720,1,MATCH(Parametres!$B$3,G$1:R$1,0))*IF(OR(F720="L",F720="S",F720="I"),-1,1)</f>
        <v>0</v>
      </c>
      <c r="AO720" s="598" t="str">
        <f>+VLOOKUP($AJ720,Data_Validation!$A:$D,1,0)</f>
        <v>H43440</v>
      </c>
      <c r="AP720" s="598" t="str">
        <f>+VLOOKUP($AJ720,Data_Validation!$A:$D,3,0)</f>
        <v>Véhicules usagés</v>
      </c>
      <c r="AQ720" s="598" t="str">
        <f>+VLOOKUP($AJ720,Data_Validation!$A:$D,4,0)</f>
        <v>Rev. Protections</v>
      </c>
      <c r="AR720" s="598" t="s">
        <v>299</v>
      </c>
      <c r="AS720" s="598">
        <f>+VLOOKUP($AJ720,Data_Validation!$A:$E,5,0)</f>
        <v>0</v>
      </c>
      <c r="AT720" s="1036" t="str">
        <f t="shared" si="69"/>
        <v>H43440</v>
      </c>
      <c r="AU720" s="599" t="str">
        <f t="shared" si="70"/>
        <v>CT ASSURANCE ROUTIERE</v>
      </c>
      <c r="AV720" s="1030" t="str">
        <f>IFERROR(INDEX(V720:AG720,1,MATCH(Parametres!$B$3,V$1:AG$1,0)-1)*IF(OR(C720="L",C720="S",C720="I"),-1,1),"")</f>
        <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2026</v>
      </c>
      <c r="C721" s="832" t="s">
        <v>2569</v>
      </c>
      <c r="D721" s="832" t="s">
        <v>2356</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H43500</v>
      </c>
      <c r="AK721" s="1030" t="str">
        <f t="shared" si="67"/>
        <v>REEVALUATION DU STOCK</v>
      </c>
      <c r="AL721" s="1030" t="str">
        <f>IFERROR(INDEX(G721:R721,1,MATCH(Parametres!$B$3,G$1:R$1,0)-1)*IF(OR(F721="L",F721="S",F721="I"),-1,1),"")</f>
        <v/>
      </c>
      <c r="AM721" s="1030">
        <f t="shared" si="68"/>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t="str">
        <f t="shared" si="69"/>
        <v>H43500</v>
      </c>
      <c r="AU721" s="599" t="str">
        <f t="shared" si="70"/>
        <v>REEVALUATION DU STOCK</v>
      </c>
      <c r="AV721" s="1030" t="str">
        <f>IFERROR(INDEX(V721:AG721,1,MATCH(Parametres!$B$3,V$1:AG$1,0)-1)*IF(OR(C721="L",C721="S",C721="I"),-1,1),"")</f>
        <v/>
      </c>
      <c r="AW721" s="1030">
        <f t="shared" si="71"/>
        <v>0</v>
      </c>
      <c r="AX721" s="1030">
        <f>INDEX(V721:AG721,1,MATCH(Parametres!$B$3,V$1:AG$1,0))*IF(OR(C721="L",C721="S",C721="I"),-1,1)</f>
        <v>0</v>
      </c>
      <c r="AY721" s="598" t="s">
        <v>337</v>
      </c>
      <c r="AZ721" s="598" t="e">
        <f>+VLOOKUP($AJ721,Data_Validation!$A:$E,5,0)</f>
        <v>#N/A</v>
      </c>
    </row>
    <row r="722" spans="1:52" ht="15" customHeight="1">
      <c r="A722" s="832" t="s">
        <v>1150</v>
      </c>
      <c r="B722" s="832">
        <v>2026</v>
      </c>
      <c r="C722" s="832" t="s">
        <v>2570</v>
      </c>
      <c r="D722" s="832" t="s">
        <v>2571</v>
      </c>
      <c r="E722" s="832" t="s">
        <v>1891</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H43700</v>
      </c>
      <c r="AK722" s="1030" t="str">
        <f t="shared" si="67"/>
        <v>CT SANTA CRUZ</v>
      </c>
      <c r="AL722" s="1030" t="str">
        <f>IFERROR(INDEX(G722:R722,1,MATCH(Parametres!$B$3,G$1:R$1,0)-1)*IF(OR(F722="L",F722="S",F722="I"),-1,1),"")</f>
        <v/>
      </c>
      <c r="AM722" s="1030">
        <f t="shared" si="68"/>
        <v>0</v>
      </c>
      <c r="AN722" s="1030">
        <f>INDEX(G722:R722,1,MATCH(Parametres!$B$3,G$1:R$1,0))*IF(OR(F722="L",F722="S",F722="I"),-1,1)</f>
        <v>0</v>
      </c>
      <c r="AO722" s="598" t="str">
        <f>+VLOOKUP($AJ722,Data_Validation!$A:$D,1,0)</f>
        <v>H43700</v>
      </c>
      <c r="AP722" s="598" t="str">
        <f>+VLOOKUP($AJ722,Data_Validation!$A:$D,3,0)</f>
        <v>Véhicules neufs</v>
      </c>
      <c r="AQ722" s="598" t="str">
        <f>+VLOOKUP($AJ722,Data_Validation!$A:$D,4,0)</f>
        <v>Camions détail</v>
      </c>
      <c r="AR722" s="598" t="s">
        <v>299</v>
      </c>
      <c r="AS722" s="598">
        <f>+VLOOKUP($AJ722,Data_Validation!$A:$E,5,0)</f>
        <v>0</v>
      </c>
      <c r="AT722" s="1036" t="str">
        <f t="shared" si="69"/>
        <v>H43700</v>
      </c>
      <c r="AU722" s="599" t="str">
        <f t="shared" si="70"/>
        <v>CT SANTA CRUZ</v>
      </c>
      <c r="AV722" s="1030" t="str">
        <f>IFERROR(INDEX(V722:AG722,1,MATCH(Parametres!$B$3,V$1:AG$1,0)-1)*IF(OR(C722="L",C722="S",C722="I"),-1,1),"")</f>
        <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2026</v>
      </c>
      <c r="C723" s="832" t="s">
        <v>2572</v>
      </c>
      <c r="D723" s="832" t="s">
        <v>2573</v>
      </c>
      <c r="E723" s="832" t="s">
        <v>1891</v>
      </c>
      <c r="F723" s="832" t="s">
        <v>2443</v>
      </c>
      <c r="G723" s="832">
        <v>0</v>
      </c>
      <c r="H723" s="832">
        <v>62684.85</v>
      </c>
      <c r="I723" s="832">
        <v>230203.74</v>
      </c>
      <c r="J723" s="832">
        <v>230203.74</v>
      </c>
      <c r="K723" s="832">
        <v>230203.74</v>
      </c>
      <c r="L723" s="832">
        <v>230203.74</v>
      </c>
      <c r="M723" s="832">
        <v>230203.74</v>
      </c>
      <c r="N723" s="832">
        <v>230203.74</v>
      </c>
      <c r="O723" s="832">
        <v>0</v>
      </c>
      <c r="P723" s="832">
        <v>0</v>
      </c>
      <c r="Q723" s="832">
        <v>0</v>
      </c>
      <c r="R723" s="832">
        <v>0</v>
      </c>
      <c r="S723" s="832">
        <v>32886.25</v>
      </c>
      <c r="T723" s="832">
        <v>32886.25</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H43800</v>
      </c>
      <c r="AK723" s="1030" t="str">
        <f t="shared" ref="AK723:AK786" si="73">D723</f>
        <v>CT IONIQ 5</v>
      </c>
      <c r="AL723" s="1030" t="str">
        <f>IFERROR(INDEX(G723:R723,1,MATCH(Parametres!$B$3,G$1:R$1,0)-1)*IF(OR(F723="L",F723="S",F723="I"),-1,1),"")</f>
        <v/>
      </c>
      <c r="AM723" s="1030">
        <f t="shared" si="68"/>
        <v>0</v>
      </c>
      <c r="AN723" s="1030">
        <f>INDEX(G723:R723,1,MATCH(Parametres!$B$3,G$1:R$1,0))*IF(OR(F723="L",F723="S",F723="I"),-1,1)</f>
        <v>0</v>
      </c>
      <c r="AO723" s="598" t="str">
        <f>+VLOOKUP($AJ723,Data_Validation!$A:$D,1,0)</f>
        <v>H43800</v>
      </c>
      <c r="AP723" s="598" t="str">
        <f>+VLOOKUP($AJ723,Data_Validation!$A:$D,3,0)</f>
        <v>Véhicules neufs</v>
      </c>
      <c r="AQ723" s="598" t="str">
        <f>+VLOOKUP($AJ723,Data_Validation!$A:$D,4,0)</f>
        <v>Voitures electriques</v>
      </c>
      <c r="AR723" s="598" t="s">
        <v>299</v>
      </c>
      <c r="AS723" s="598">
        <f>+VLOOKUP($AJ723,Data_Validation!$A:$E,5,0)</f>
        <v>0</v>
      </c>
      <c r="AT723" s="1036" t="str">
        <f t="shared" si="69"/>
        <v>H43800</v>
      </c>
      <c r="AU723" s="599" t="str">
        <f t="shared" si="70"/>
        <v>CT IONIQ 5</v>
      </c>
      <c r="AV723" s="1030" t="str">
        <f>IFERROR(INDEX(V723:AG723,1,MATCH(Parametres!$B$3,V$1:AG$1,0)-1)*IF(OR(C723="L",C723="S",C723="I"),-1,1),"")</f>
        <v/>
      </c>
      <c r="AW723" s="1030">
        <f t="shared" si="71"/>
        <v>0</v>
      </c>
      <c r="AX723" s="1030">
        <f>INDEX(V723:AG723,1,MATCH(Parametres!$B$3,V$1:AG$1,0))*IF(OR(C723="L",C723="S",C723="I"),-1,1)</f>
        <v>0</v>
      </c>
      <c r="AY723" s="598" t="s">
        <v>337</v>
      </c>
      <c r="AZ723" s="598">
        <f>+VLOOKUP($AJ723,Data_Validation!$A:$E,5,0)</f>
        <v>0</v>
      </c>
    </row>
    <row r="724" spans="1:52" ht="15" customHeight="1">
      <c r="A724" s="832" t="s">
        <v>1150</v>
      </c>
      <c r="B724" s="832">
        <v>2026</v>
      </c>
      <c r="C724" s="832" t="s">
        <v>2574</v>
      </c>
      <c r="D724" s="832" t="s">
        <v>2575</v>
      </c>
      <c r="E724" s="832" t="s">
        <v>1891</v>
      </c>
      <c r="F724" s="832" t="s">
        <v>2443</v>
      </c>
      <c r="G724" s="832">
        <v>59668.47</v>
      </c>
      <c r="H724" s="832">
        <v>109295.96</v>
      </c>
      <c r="I724" s="832">
        <v>451514.31</v>
      </c>
      <c r="J724" s="832">
        <v>451514.31</v>
      </c>
      <c r="K724" s="832">
        <v>451514.31</v>
      </c>
      <c r="L724" s="832">
        <v>451514.31</v>
      </c>
      <c r="M724" s="832">
        <v>451514.31</v>
      </c>
      <c r="N724" s="832">
        <v>451514.31</v>
      </c>
      <c r="O724" s="832">
        <v>0</v>
      </c>
      <c r="P724" s="832">
        <v>0</v>
      </c>
      <c r="Q724" s="832">
        <v>0</v>
      </c>
      <c r="R724" s="832">
        <v>0</v>
      </c>
      <c r="S724" s="832">
        <v>64502.04</v>
      </c>
      <c r="T724" s="832">
        <v>64502.04</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H44200</v>
      </c>
      <c r="AK724" s="1030" t="str">
        <f t="shared" si="73"/>
        <v>CT IONIQ 6</v>
      </c>
      <c r="AL724" s="1030" t="str">
        <f>IFERROR(INDEX(G724:R724,1,MATCH(Parametres!$B$3,G$1:R$1,0)-1)*IF(OR(F724="L",F724="S",F724="I"),-1,1),"")</f>
        <v/>
      </c>
      <c r="AM724" s="1030">
        <f t="shared" si="68"/>
        <v>59668.47</v>
      </c>
      <c r="AN724" s="1030">
        <f>INDEX(G724:R724,1,MATCH(Parametres!$B$3,G$1:R$1,0))*IF(OR(F724="L",F724="S",F724="I"),-1,1)</f>
        <v>59668.47</v>
      </c>
      <c r="AO724" s="598" t="str">
        <f>+VLOOKUP($AJ724,Data_Validation!$A:$D,1,0)</f>
        <v>H44200</v>
      </c>
      <c r="AP724" s="598" t="str">
        <f>+VLOOKUP($AJ724,Data_Validation!$A:$D,3,0)</f>
        <v>Véhicules neufs</v>
      </c>
      <c r="AQ724" s="598" t="str">
        <f>+VLOOKUP($AJ724,Data_Validation!$A:$D,4,0)</f>
        <v>Voitures electriques</v>
      </c>
      <c r="AR724" s="598" t="s">
        <v>299</v>
      </c>
      <c r="AS724" s="598">
        <f>+VLOOKUP($AJ724,Data_Validation!$A:$E,5,0)</f>
        <v>0</v>
      </c>
      <c r="AT724" s="1036" t="str">
        <f t="shared" si="69"/>
        <v>H44200</v>
      </c>
      <c r="AU724" s="599" t="str">
        <f t="shared" si="70"/>
        <v>CT IONIQ 6</v>
      </c>
      <c r="AV724" s="1030" t="str">
        <f>IFERROR(INDEX(V724:AG724,1,MATCH(Parametres!$B$3,V$1:AG$1,0)-1)*IF(OR(C724="L",C724="S",C724="I"),-1,1),"")</f>
        <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2026</v>
      </c>
      <c r="C725" s="832" t="s">
        <v>2576</v>
      </c>
      <c r="D725" s="832" t="s">
        <v>2573</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H44300</v>
      </c>
      <c r="AK725" s="1030" t="str">
        <f t="shared" si="73"/>
        <v>CT IONIQ 5</v>
      </c>
      <c r="AL725" s="1030" t="str">
        <f>IFERROR(INDEX(G725:R725,1,MATCH(Parametres!$B$3,G$1:R$1,0)-1)*IF(OR(F725="L",F725="S",F725="I"),-1,1),"")</f>
        <v/>
      </c>
      <c r="AM725" s="1030">
        <f t="shared" si="68"/>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t="str">
        <f t="shared" si="69"/>
        <v>H44300</v>
      </c>
      <c r="AU725" s="599" t="str">
        <f t="shared" si="70"/>
        <v>CT IONIQ 5</v>
      </c>
      <c r="AV725" s="1030" t="str">
        <f>IFERROR(INDEX(V725:AG725,1,MATCH(Parametres!$B$3,V$1:AG$1,0)-1)*IF(OR(C725="L",C725="S",C725="I"),-1,1),"")</f>
        <v/>
      </c>
      <c r="AW725" s="1030">
        <f t="shared" si="71"/>
        <v>0</v>
      </c>
      <c r="AX725" s="1030">
        <f>INDEX(V725:AG725,1,MATCH(Parametres!$B$3,V$1:AG$1,0))*IF(OR(C725="L",C725="S",C725="I"),-1,1)</f>
        <v>0</v>
      </c>
      <c r="AY725" s="598" t="s">
        <v>337</v>
      </c>
      <c r="AZ725" s="598" t="e">
        <f>+VLOOKUP($AJ725,Data_Validation!$A:$E,5,0)</f>
        <v>#N/A</v>
      </c>
    </row>
    <row r="726" spans="1:52" ht="15" customHeight="1">
      <c r="A726" s="832" t="s">
        <v>1150</v>
      </c>
      <c r="B726" s="832">
        <v>2026</v>
      </c>
      <c r="C726" s="832" t="s">
        <v>2577</v>
      </c>
      <c r="D726" s="832" t="s">
        <v>2578</v>
      </c>
      <c r="E726" s="832" t="s">
        <v>1891</v>
      </c>
      <c r="F726" s="832" t="s">
        <v>2443</v>
      </c>
      <c r="G726" s="832">
        <v>108005.59</v>
      </c>
      <c r="H726" s="832">
        <v>243276.46</v>
      </c>
      <c r="I726" s="832">
        <v>242676.46</v>
      </c>
      <c r="J726" s="832">
        <v>242676.46</v>
      </c>
      <c r="K726" s="832">
        <v>242676.46</v>
      </c>
      <c r="L726" s="832">
        <v>242676.46</v>
      </c>
      <c r="M726" s="832">
        <v>242676.46</v>
      </c>
      <c r="N726" s="832">
        <v>242676.46</v>
      </c>
      <c r="O726" s="832">
        <v>0</v>
      </c>
      <c r="P726" s="832">
        <v>0</v>
      </c>
      <c r="Q726" s="832">
        <v>0</v>
      </c>
      <c r="R726" s="832">
        <v>0</v>
      </c>
      <c r="S726" s="832">
        <v>34668.07</v>
      </c>
      <c r="T726" s="832">
        <v>34668.07</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H44400</v>
      </c>
      <c r="AK726" s="1030" t="str">
        <f t="shared" si="73"/>
        <v>CT IONIQ 9</v>
      </c>
      <c r="AL726" s="1030" t="str">
        <f>IFERROR(INDEX(G726:R726,1,MATCH(Parametres!$B$3,G$1:R$1,0)-1)*IF(OR(F726="L",F726="S",F726="I"),-1,1),"")</f>
        <v/>
      </c>
      <c r="AM726" s="1030">
        <f t="shared" si="68"/>
        <v>108005.59</v>
      </c>
      <c r="AN726" s="1030">
        <f>INDEX(G726:R726,1,MATCH(Parametres!$B$3,G$1:R$1,0))*IF(OR(F726="L",F726="S",F726="I"),-1,1)</f>
        <v>108005.59</v>
      </c>
      <c r="AO726" s="598" t="str">
        <f>+VLOOKUP($AJ726,Data_Validation!$A:$D,1,0)</f>
        <v>H44400</v>
      </c>
      <c r="AP726" s="598" t="str">
        <f>+VLOOKUP($AJ726,Data_Validation!$A:$D,3,0)</f>
        <v>Véhicules neufs</v>
      </c>
      <c r="AQ726" s="598" t="str">
        <f>+VLOOKUP($AJ726,Data_Validation!$A:$D,4,0)</f>
        <v>Voitures electriques</v>
      </c>
      <c r="AR726" s="598" t="s">
        <v>299</v>
      </c>
      <c r="AS726" s="598">
        <f>+VLOOKUP($AJ726,Data_Validation!$A:$E,5,0)</f>
        <v>0</v>
      </c>
      <c r="AT726" s="1036" t="str">
        <f t="shared" si="69"/>
        <v>H44400</v>
      </c>
      <c r="AU726" s="599" t="str">
        <f t="shared" si="70"/>
        <v>CT IONIQ 9</v>
      </c>
      <c r="AV726" s="1030" t="str">
        <f>IFERROR(INDEX(V726:AG726,1,MATCH(Parametres!$B$3,V$1:AG$1,0)-1)*IF(OR(C726="L",C726="S",C726="I"),-1,1),"")</f>
        <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2026</v>
      </c>
      <c r="C727" s="832" t="s">
        <v>2579</v>
      </c>
      <c r="D727" s="832" t="s">
        <v>2580</v>
      </c>
      <c r="E727" s="832" t="s">
        <v>333</v>
      </c>
      <c r="F727" s="832" t="s">
        <v>2443</v>
      </c>
      <c r="G727" s="832">
        <v>363775.18</v>
      </c>
      <c r="H727" s="832">
        <v>693119.21</v>
      </c>
      <c r="I727" s="832">
        <v>1049280.02</v>
      </c>
      <c r="J727" s="832">
        <v>1351553.24</v>
      </c>
      <c r="K727" s="832">
        <v>1636593.55</v>
      </c>
      <c r="L727" s="832">
        <v>1650560.3</v>
      </c>
      <c r="M727" s="832">
        <v>1650560.3</v>
      </c>
      <c r="N727" s="832">
        <v>1650560.3</v>
      </c>
      <c r="O727" s="832">
        <v>0</v>
      </c>
      <c r="P727" s="832">
        <v>0</v>
      </c>
      <c r="Q727" s="832">
        <v>0</v>
      </c>
      <c r="R727" s="832">
        <v>0</v>
      </c>
      <c r="S727" s="832">
        <v>235794.33</v>
      </c>
      <c r="T727" s="832">
        <v>235794.33</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H45000</v>
      </c>
      <c r="AK727" s="1030" t="str">
        <f t="shared" si="73"/>
        <v>CT PCS - COMPTOIR - GROS</v>
      </c>
      <c r="AL727" s="1030" t="str">
        <f>IFERROR(INDEX(G727:R727,1,MATCH(Parametres!$B$3,G$1:R$1,0)-1)*IF(OR(F727="L",F727="S",F727="I"),-1,1),"")</f>
        <v/>
      </c>
      <c r="AM727" s="1030">
        <f t="shared" si="68"/>
        <v>363775.18</v>
      </c>
      <c r="AN727" s="1030">
        <f>INDEX(G727:R727,1,MATCH(Parametres!$B$3,G$1:R$1,0))*IF(OR(F727="L",F727="S",F727="I"),-1,1)</f>
        <v>363775.18</v>
      </c>
      <c r="AO727" s="598" t="str">
        <f>+VLOOKUP($AJ727,Data_Validation!$A:$D,1,0)</f>
        <v>H45000</v>
      </c>
      <c r="AP727" s="598" t="str">
        <f>+VLOOKUP($AJ727,Data_Validation!$A:$D,3,0)</f>
        <v>Pièces</v>
      </c>
      <c r="AQ727" s="598" t="str">
        <f>+VLOOKUP($AJ727,Data_Validation!$A:$D,4,0)</f>
        <v>Ventes de Gros</v>
      </c>
      <c r="AR727" s="598" t="s">
        <v>299</v>
      </c>
      <c r="AS727" s="598">
        <f>+VLOOKUP($AJ727,Data_Validation!$A:$E,5,0)</f>
        <v>0</v>
      </c>
      <c r="AT727" s="1036" t="str">
        <f t="shared" si="69"/>
        <v>H45000</v>
      </c>
      <c r="AU727" s="599" t="str">
        <f t="shared" si="70"/>
        <v>CT PCS - COMPTOIR - GROS</v>
      </c>
      <c r="AV727" s="1030" t="str">
        <f>IFERROR(INDEX(V727:AG727,1,MATCH(Parametres!$B$3,V$1:AG$1,0)-1)*IF(OR(C727="L",C727="S",C727="I"),-1,1),"")</f>
        <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2026</v>
      </c>
      <c r="C728" s="832" t="s">
        <v>2581</v>
      </c>
      <c r="D728" s="832" t="s">
        <v>2582</v>
      </c>
      <c r="E728" s="832" t="s">
        <v>333</v>
      </c>
      <c r="F728" s="832" t="s">
        <v>2443</v>
      </c>
      <c r="G728" s="832">
        <v>3392.63</v>
      </c>
      <c r="H728" s="832">
        <v>7592.88</v>
      </c>
      <c r="I728" s="832">
        <v>18425.919999999998</v>
      </c>
      <c r="J728" s="832">
        <v>31790.68</v>
      </c>
      <c r="K728" s="832">
        <v>40288.339999999997</v>
      </c>
      <c r="L728" s="832">
        <v>43662.5</v>
      </c>
      <c r="M728" s="832">
        <v>43662.5</v>
      </c>
      <c r="N728" s="832">
        <v>43662.5</v>
      </c>
      <c r="O728" s="832">
        <v>0</v>
      </c>
      <c r="P728" s="832">
        <v>0</v>
      </c>
      <c r="Q728" s="832">
        <v>0</v>
      </c>
      <c r="R728" s="832">
        <v>0</v>
      </c>
      <c r="S728" s="832">
        <v>6237.5</v>
      </c>
      <c r="T728" s="832">
        <v>6237.5</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H45200</v>
      </c>
      <c r="AK728" s="1030" t="str">
        <f t="shared" si="73"/>
        <v>CT PCS COMPTOIR - DETAIL</v>
      </c>
      <c r="AL728" s="1030" t="str">
        <f>IFERROR(INDEX(G728:R728,1,MATCH(Parametres!$B$3,G$1:R$1,0)-1)*IF(OR(F728="L",F728="S",F728="I"),-1,1),"")</f>
        <v/>
      </c>
      <c r="AM728" s="1030">
        <f t="shared" si="68"/>
        <v>3392.63</v>
      </c>
      <c r="AN728" s="1030">
        <f>INDEX(G728:R728,1,MATCH(Parametres!$B$3,G$1:R$1,0))*IF(OR(F728="L",F728="S",F728="I"),-1,1)</f>
        <v>3392.63</v>
      </c>
      <c r="AO728" s="598" t="str">
        <f>+VLOOKUP($AJ728,Data_Validation!$A:$D,1,0)</f>
        <v>H45200</v>
      </c>
      <c r="AP728" s="598" t="str">
        <f>+VLOOKUP($AJ728,Data_Validation!$A:$D,3,0)</f>
        <v>Pièces</v>
      </c>
      <c r="AQ728" s="598" t="str">
        <f>+VLOOKUP($AJ728,Data_Validation!$A:$D,4,0)</f>
        <v>Ventes Détails</v>
      </c>
      <c r="AR728" s="598" t="s">
        <v>299</v>
      </c>
      <c r="AS728" s="598">
        <f>+VLOOKUP($AJ728,Data_Validation!$A:$E,5,0)</f>
        <v>0</v>
      </c>
      <c r="AT728" s="1036" t="str">
        <f t="shared" si="69"/>
        <v>H45200</v>
      </c>
      <c r="AU728" s="599" t="str">
        <f t="shared" si="70"/>
        <v>CT PCS COMPTOIR - DETAIL</v>
      </c>
      <c r="AV728" s="1030" t="str">
        <f>IFERROR(INDEX(V728:AG728,1,MATCH(Parametres!$B$3,V$1:AG$1,0)-1)*IF(OR(C728="L",C728="S",C728="I"),-1,1),"")</f>
        <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2026</v>
      </c>
      <c r="C729" s="832" t="s">
        <v>2583</v>
      </c>
      <c r="D729" s="832" t="s">
        <v>2584</v>
      </c>
      <c r="E729" s="832" t="s">
        <v>333</v>
      </c>
      <c r="F729" s="832" t="s">
        <v>2443</v>
      </c>
      <c r="G729" s="832">
        <v>11669.13</v>
      </c>
      <c r="H729" s="832">
        <v>23952.84</v>
      </c>
      <c r="I729" s="832">
        <v>45538.76</v>
      </c>
      <c r="J729" s="832">
        <v>63251.67</v>
      </c>
      <c r="K729" s="832">
        <v>80607.839999999997</v>
      </c>
      <c r="L729" s="832">
        <v>80799.759999999995</v>
      </c>
      <c r="M729" s="832">
        <v>80799.759999999995</v>
      </c>
      <c r="N729" s="832">
        <v>80799.759999999995</v>
      </c>
      <c r="O729" s="832">
        <v>0</v>
      </c>
      <c r="P729" s="832">
        <v>0</v>
      </c>
      <c r="Q729" s="832">
        <v>0</v>
      </c>
      <c r="R729" s="832">
        <v>0</v>
      </c>
      <c r="S729" s="832">
        <v>11542.82</v>
      </c>
      <c r="T729" s="832">
        <v>11542.82</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H45300</v>
      </c>
      <c r="AK729" s="1030" t="str">
        <f t="shared" si="73"/>
        <v>CT ACCESS DETAIL</v>
      </c>
      <c r="AL729" s="1030" t="str">
        <f>IFERROR(INDEX(G729:R729,1,MATCH(Parametres!$B$3,G$1:R$1,0)-1)*IF(OR(F729="L",F729="S",F729="I"),-1,1),"")</f>
        <v/>
      </c>
      <c r="AM729" s="1030">
        <f t="shared" si="68"/>
        <v>11669.13</v>
      </c>
      <c r="AN729" s="1030">
        <f>INDEX(G729:R729,1,MATCH(Parametres!$B$3,G$1:R$1,0))*IF(OR(F729="L",F729="S",F729="I"),-1,1)</f>
        <v>11669.13</v>
      </c>
      <c r="AO729" s="598" t="str">
        <f>+VLOOKUP($AJ729,Data_Validation!$A:$D,1,0)</f>
        <v>H45300</v>
      </c>
      <c r="AP729" s="598" t="str">
        <f>+VLOOKUP($AJ729,Data_Validation!$A:$D,3,0)</f>
        <v>Pièces</v>
      </c>
      <c r="AQ729" s="598" t="str">
        <f>+VLOOKUP($AJ729,Data_Validation!$A:$D,4,0)</f>
        <v>Ventes Détails</v>
      </c>
      <c r="AR729" s="598" t="s">
        <v>299</v>
      </c>
      <c r="AS729" s="598">
        <f>+VLOOKUP($AJ729,Data_Validation!$A:$E,5,0)</f>
        <v>0</v>
      </c>
      <c r="AT729" s="1036" t="str">
        <f t="shared" si="69"/>
        <v>H45300</v>
      </c>
      <c r="AU729" s="599" t="str">
        <f t="shared" si="70"/>
        <v>CT ACCESS DETAIL</v>
      </c>
      <c r="AV729" s="1030" t="str">
        <f>IFERROR(INDEX(V729:AG729,1,MATCH(Parametres!$B$3,V$1:AG$1,0)-1)*IF(OR(C729="L",C729="S",C729="I"),-1,1),"")</f>
        <v/>
      </c>
      <c r="AW729" s="1030">
        <f t="shared" si="71"/>
        <v>0</v>
      </c>
      <c r="AX729" s="1030">
        <f>INDEX(V729:AG729,1,MATCH(Parametres!$B$3,V$1:AG$1,0))*IF(OR(C729="L",C729="S",C729="I"),-1,1)</f>
        <v>0</v>
      </c>
      <c r="AY729" s="598" t="s">
        <v>337</v>
      </c>
      <c r="AZ729" s="598">
        <f>+VLOOKUP($AJ729,Data_Validation!$A:$E,5,0)</f>
        <v>0</v>
      </c>
    </row>
    <row r="730" spans="1:52" ht="15" customHeight="1">
      <c r="A730" s="832" t="s">
        <v>1150</v>
      </c>
      <c r="B730" s="832">
        <v>2026</v>
      </c>
      <c r="C730" s="832" t="s">
        <v>2585</v>
      </c>
      <c r="D730" s="832" t="s">
        <v>2586</v>
      </c>
      <c r="E730" s="832" t="s">
        <v>333</v>
      </c>
      <c r="F730" s="832" t="s">
        <v>2443</v>
      </c>
      <c r="G730" s="832">
        <v>32949.360000000001</v>
      </c>
      <c r="H730" s="832">
        <v>67684.960000000006</v>
      </c>
      <c r="I730" s="832">
        <v>103062.17</v>
      </c>
      <c r="J730" s="832">
        <v>157862.04</v>
      </c>
      <c r="K730" s="832">
        <v>203907.16</v>
      </c>
      <c r="L730" s="832">
        <v>206166.45</v>
      </c>
      <c r="M730" s="832">
        <v>206166.45</v>
      </c>
      <c r="N730" s="832">
        <v>206166.45</v>
      </c>
      <c r="O730" s="832">
        <v>0</v>
      </c>
      <c r="P730" s="832">
        <v>0</v>
      </c>
      <c r="Q730" s="832">
        <v>0</v>
      </c>
      <c r="R730" s="832">
        <v>0</v>
      </c>
      <c r="S730" s="832">
        <v>29452.35</v>
      </c>
      <c r="T730" s="832">
        <v>29452.35</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H45400</v>
      </c>
      <c r="AK730" s="1030" t="str">
        <f t="shared" si="73"/>
        <v>CT PCS B.R CLIENT - MEC</v>
      </c>
      <c r="AL730" s="1030" t="str">
        <f>IFERROR(INDEX(G730:R730,1,MATCH(Parametres!$B$3,G$1:R$1,0)-1)*IF(OR(F730="L",F730="S",F730="I"),-1,1),"")</f>
        <v/>
      </c>
      <c r="AM730" s="1030">
        <f t="shared" si="68"/>
        <v>32949.360000000001</v>
      </c>
      <c r="AN730" s="1030">
        <f>INDEX(G730:R730,1,MATCH(Parametres!$B$3,G$1:R$1,0))*IF(OR(F730="L",F730="S",F730="I"),-1,1)</f>
        <v>32949.360000000001</v>
      </c>
      <c r="AO730" s="598" t="str">
        <f>+VLOOKUP($AJ730,Data_Validation!$A:$D,1,0)</f>
        <v>H45400</v>
      </c>
      <c r="AP730" s="598" t="str">
        <f>+VLOOKUP($AJ730,Data_Validation!$A:$D,3,0)</f>
        <v>Pièces</v>
      </c>
      <c r="AQ730" s="598" t="str">
        <f>+VLOOKUP($AJ730,Data_Validation!$A:$D,4,0)</f>
        <v>Pièces Ro Clients</v>
      </c>
      <c r="AR730" s="598" t="s">
        <v>299</v>
      </c>
      <c r="AS730" s="598">
        <f>+VLOOKUP($AJ730,Data_Validation!$A:$E,5,0)</f>
        <v>0</v>
      </c>
      <c r="AT730" s="1036" t="str">
        <f t="shared" si="69"/>
        <v>H45400</v>
      </c>
      <c r="AU730" s="599" t="str">
        <f t="shared" si="70"/>
        <v>CT PCS B.R CLIENT - MEC</v>
      </c>
      <c r="AV730" s="1030" t="str">
        <f>IFERROR(INDEX(V730:AG730,1,MATCH(Parametres!$B$3,V$1:AG$1,0)-1)*IF(OR(C730="L",C730="S",C730="I"),-1,1),"")</f>
        <v/>
      </c>
      <c r="AW730" s="1030">
        <f t="shared" si="71"/>
        <v>0</v>
      </c>
      <c r="AX730" s="1030">
        <f>INDEX(V730:AG730,1,MATCH(Parametres!$B$3,V$1:AG$1,0))*IF(OR(C730="L",C730="S",C730="I"),-1,1)</f>
        <v>0</v>
      </c>
      <c r="AY730" s="598" t="s">
        <v>337</v>
      </c>
      <c r="AZ730" s="598">
        <f>+VLOOKUP($AJ730,Data_Validation!$A:$E,5,0)</f>
        <v>0</v>
      </c>
    </row>
    <row r="731" spans="1:52" ht="15" customHeight="1">
      <c r="A731" s="832" t="s">
        <v>1150</v>
      </c>
      <c r="B731" s="832">
        <v>2026</v>
      </c>
      <c r="C731" s="832" t="s">
        <v>2587</v>
      </c>
      <c r="D731" s="832" t="s">
        <v>2588</v>
      </c>
      <c r="E731" s="832" t="s">
        <v>333</v>
      </c>
      <c r="F731" s="832" t="s">
        <v>2443</v>
      </c>
      <c r="G731" s="832">
        <v>0</v>
      </c>
      <c r="H731" s="832">
        <v>0</v>
      </c>
      <c r="I731" s="832">
        <v>0</v>
      </c>
      <c r="J731" s="832">
        <v>0</v>
      </c>
      <c r="K731" s="832">
        <v>0</v>
      </c>
      <c r="L731" s="832">
        <v>0</v>
      </c>
      <c r="M731" s="832">
        <v>0</v>
      </c>
      <c r="N731" s="832">
        <v>0</v>
      </c>
      <c r="O731" s="832">
        <v>0</v>
      </c>
      <c r="P731" s="832">
        <v>0</v>
      </c>
      <c r="Q731" s="832">
        <v>0</v>
      </c>
      <c r="R731" s="832">
        <v>0</v>
      </c>
      <c r="S731" s="832">
        <v>0</v>
      </c>
      <c r="T731" s="832">
        <v>0</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H45410</v>
      </c>
      <c r="AK731" s="1030" t="str">
        <f t="shared" si="73"/>
        <v>CT PIECES HPP</v>
      </c>
      <c r="AL731" s="1030" t="str">
        <f>IFERROR(INDEX(G731:R731,1,MATCH(Parametres!$B$3,G$1:R$1,0)-1)*IF(OR(F731="L",F731="S",F731="I"),-1,1),"")</f>
        <v/>
      </c>
      <c r="AM731" s="1030">
        <f t="shared" si="68"/>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t="str">
        <f t="shared" si="69"/>
        <v>H45410</v>
      </c>
      <c r="AU731" s="599" t="str">
        <f t="shared" si="70"/>
        <v>CT PIECES HPP</v>
      </c>
      <c r="AV731" s="1030" t="str">
        <f>IFERROR(INDEX(V731:AG731,1,MATCH(Parametres!$B$3,V$1:AG$1,0)-1)*IF(OR(C731="L",C731="S",C731="I"),-1,1),"")</f>
        <v/>
      </c>
      <c r="AW731" s="1030">
        <f t="shared" si="71"/>
        <v>0</v>
      </c>
      <c r="AX731" s="1030">
        <f>INDEX(V731:AG731,1,MATCH(Parametres!$B$3,V$1:AG$1,0))*IF(OR(C731="L",C731="S",C731="I"),-1,1)</f>
        <v>0</v>
      </c>
      <c r="AY731" s="598" t="s">
        <v>337</v>
      </c>
      <c r="AZ731" s="598" t="e">
        <f>+VLOOKUP($AJ731,Data_Validation!$A:$E,5,0)</f>
        <v>#N/A</v>
      </c>
    </row>
    <row r="732" spans="1:52" ht="15" customHeight="1">
      <c r="A732" s="832" t="s">
        <v>1150</v>
      </c>
      <c r="B732" s="832">
        <v>2026</v>
      </c>
      <c r="C732" s="832" t="s">
        <v>2589</v>
      </c>
      <c r="D732" s="832" t="s">
        <v>2590</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H45500</v>
      </c>
      <c r="AK732" s="1030" t="str">
        <f t="shared" si="73"/>
        <v>CT PCS B.R CLIENT - CARR</v>
      </c>
      <c r="AL732" s="1030" t="str">
        <f>IFERROR(INDEX(G732:R732,1,MATCH(Parametres!$B$3,G$1:R$1,0)-1)*IF(OR(F732="L",F732="S",F732="I"),-1,1),"")</f>
        <v/>
      </c>
      <c r="AM732" s="1030">
        <f t="shared" si="68"/>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t="str">
        <f t="shared" si="69"/>
        <v>H45500</v>
      </c>
      <c r="AU732" s="599" t="str">
        <f t="shared" si="70"/>
        <v>CT PCS B.R CLIENT - CARR</v>
      </c>
      <c r="AV732" s="1030" t="str">
        <f>IFERROR(INDEX(V732:AG732,1,MATCH(Parametres!$B$3,V$1:AG$1,0)-1)*IF(OR(C732="L",C732="S",C732="I"),-1,1),"")</f>
        <v/>
      </c>
      <c r="AW732" s="1030">
        <f t="shared" si="71"/>
        <v>0</v>
      </c>
      <c r="AX732" s="1030">
        <f>INDEX(V732:AG732,1,MATCH(Parametres!$B$3,V$1:AG$1,0))*IF(OR(C732="L",C732="S",C732="I"),-1,1)</f>
        <v>0</v>
      </c>
      <c r="AY732" s="598" t="s">
        <v>337</v>
      </c>
      <c r="AZ732" s="598" t="e">
        <f>+VLOOKUP($AJ732,Data_Validation!$A:$E,5,0)</f>
        <v>#N/A</v>
      </c>
    </row>
    <row r="733" spans="1:52" ht="15" customHeight="1">
      <c r="A733" s="832" t="s">
        <v>1150</v>
      </c>
      <c r="B733" s="832">
        <v>2026</v>
      </c>
      <c r="C733" s="832" t="s">
        <v>2591</v>
      </c>
      <c r="D733" s="832" t="s">
        <v>2592</v>
      </c>
      <c r="E733" s="832" t="s">
        <v>333</v>
      </c>
      <c r="F733" s="832" t="s">
        <v>2443</v>
      </c>
      <c r="G733" s="832">
        <v>166263.5</v>
      </c>
      <c r="H733" s="832">
        <v>287865.96999999997</v>
      </c>
      <c r="I733" s="832">
        <v>401094.9</v>
      </c>
      <c r="J733" s="832">
        <v>436743.48</v>
      </c>
      <c r="K733" s="832">
        <v>491616.06</v>
      </c>
      <c r="L733" s="832">
        <v>496866.13</v>
      </c>
      <c r="M733" s="832">
        <v>496866.13</v>
      </c>
      <c r="N733" s="832">
        <v>496866.13</v>
      </c>
      <c r="O733" s="832">
        <v>0</v>
      </c>
      <c r="P733" s="832">
        <v>0</v>
      </c>
      <c r="Q733" s="832">
        <v>0</v>
      </c>
      <c r="R733" s="832">
        <v>0</v>
      </c>
      <c r="S733" s="832">
        <v>70980.88</v>
      </c>
      <c r="T733" s="832">
        <v>70980.88</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H45600</v>
      </c>
      <c r="AK733" s="1030" t="str">
        <f t="shared" si="73"/>
        <v>CT PCS B.R GARANTIE -MEC</v>
      </c>
      <c r="AL733" s="1030" t="str">
        <f>IFERROR(INDEX(G733:R733,1,MATCH(Parametres!$B$3,G$1:R$1,0)-1)*IF(OR(F733="L",F733="S",F733="I"),-1,1),"")</f>
        <v/>
      </c>
      <c r="AM733" s="1030">
        <f t="shared" si="68"/>
        <v>166263.5</v>
      </c>
      <c r="AN733" s="1030">
        <f>INDEX(G733:R733,1,MATCH(Parametres!$B$3,G$1:R$1,0))*IF(OR(F733="L",F733="S",F733="I"),-1,1)</f>
        <v>166263.5</v>
      </c>
      <c r="AO733" s="598" t="str">
        <f>+VLOOKUP($AJ733,Data_Validation!$A:$D,1,0)</f>
        <v>H45600</v>
      </c>
      <c r="AP733" s="598" t="str">
        <f>+VLOOKUP($AJ733,Data_Validation!$A:$D,3,0)</f>
        <v>Pièces</v>
      </c>
      <c r="AQ733" s="598" t="str">
        <f>+VLOOKUP($AJ733,Data_Validation!$A:$D,4,0)</f>
        <v>P/A Garantie</v>
      </c>
      <c r="AR733" s="598" t="s">
        <v>299</v>
      </c>
      <c r="AS733" s="598">
        <f>+VLOOKUP($AJ733,Data_Validation!$A:$E,5,0)</f>
        <v>0</v>
      </c>
      <c r="AT733" s="1036" t="str">
        <f t="shared" si="69"/>
        <v>H45600</v>
      </c>
      <c r="AU733" s="599" t="str">
        <f t="shared" si="70"/>
        <v>CT PCS B.R GARANTIE -MEC</v>
      </c>
      <c r="AV733" s="1030" t="str">
        <f>IFERROR(INDEX(V733:AG733,1,MATCH(Parametres!$B$3,V$1:AG$1,0)-1)*IF(OR(C733="L",C733="S",C733="I"),-1,1),"")</f>
        <v/>
      </c>
      <c r="AW733" s="1030">
        <f t="shared" si="71"/>
        <v>0</v>
      </c>
      <c r="AX733" s="1030">
        <f>INDEX(V733:AG733,1,MATCH(Parametres!$B$3,V$1:AG$1,0))*IF(OR(C733="L",C733="S",C733="I"),-1,1)</f>
        <v>0</v>
      </c>
      <c r="AY733" s="598" t="s">
        <v>337</v>
      </c>
      <c r="AZ733" s="598">
        <f>+VLOOKUP($AJ733,Data_Validation!$A:$E,5,0)</f>
        <v>0</v>
      </c>
    </row>
    <row r="734" spans="1:52" ht="15" customHeight="1">
      <c r="A734" s="832" t="s">
        <v>1150</v>
      </c>
      <c r="B734" s="832">
        <v>2026</v>
      </c>
      <c r="C734" s="832" t="s">
        <v>2593</v>
      </c>
      <c r="D734" s="832" t="s">
        <v>2594</v>
      </c>
      <c r="E734" s="832" t="s">
        <v>333</v>
      </c>
      <c r="F734" s="832" t="s">
        <v>2443</v>
      </c>
      <c r="G734" s="832">
        <v>10590.57</v>
      </c>
      <c r="H734" s="832">
        <v>16453.11</v>
      </c>
      <c r="I734" s="832">
        <v>29643.39</v>
      </c>
      <c r="J734" s="832">
        <v>45120.15</v>
      </c>
      <c r="K734" s="832">
        <v>55301.62</v>
      </c>
      <c r="L734" s="832">
        <v>55485.74</v>
      </c>
      <c r="M734" s="832">
        <v>55485.74</v>
      </c>
      <c r="N734" s="832">
        <v>55485.74</v>
      </c>
      <c r="O734" s="832">
        <v>0</v>
      </c>
      <c r="P734" s="832">
        <v>0</v>
      </c>
      <c r="Q734" s="832">
        <v>0</v>
      </c>
      <c r="R734" s="832">
        <v>0</v>
      </c>
      <c r="S734" s="832">
        <v>7926.53</v>
      </c>
      <c r="T734" s="832">
        <v>7926.53</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H45800</v>
      </c>
      <c r="AK734" s="1030" t="str">
        <f t="shared" si="73"/>
        <v>CT PCS B.R INTERNE - MEC</v>
      </c>
      <c r="AL734" s="1030" t="str">
        <f>IFERROR(INDEX(G734:R734,1,MATCH(Parametres!$B$3,G$1:R$1,0)-1)*IF(OR(F734="L",F734="S",F734="I"),-1,1),"")</f>
        <v/>
      </c>
      <c r="AM734" s="1030">
        <f t="shared" si="68"/>
        <v>10590.57</v>
      </c>
      <c r="AN734" s="1030">
        <f>INDEX(G734:R734,1,MATCH(Parametres!$B$3,G$1:R$1,0))*IF(OR(F734="L",F734="S",F734="I"),-1,1)</f>
        <v>10590.57</v>
      </c>
      <c r="AO734" s="598" t="str">
        <f>+VLOOKUP($AJ734,Data_Validation!$A:$D,1,0)</f>
        <v>H45800</v>
      </c>
      <c r="AP734" s="598" t="str">
        <f>+VLOOKUP($AJ734,Data_Validation!$A:$D,3,0)</f>
        <v>Pièces</v>
      </c>
      <c r="AQ734" s="598" t="str">
        <f>+VLOOKUP($AJ734,Data_Validation!$A:$D,4,0)</f>
        <v>Ventes Internes</v>
      </c>
      <c r="AR734" s="598" t="s">
        <v>299</v>
      </c>
      <c r="AS734" s="598">
        <f>+VLOOKUP($AJ734,Data_Validation!$A:$E,5,0)</f>
        <v>0</v>
      </c>
      <c r="AT734" s="1036" t="str">
        <f t="shared" si="69"/>
        <v>H45800</v>
      </c>
      <c r="AU734" s="599" t="str">
        <f t="shared" si="70"/>
        <v>CT PCS B.R INTERNE - MEC</v>
      </c>
      <c r="AV734" s="1030" t="str">
        <f>IFERROR(INDEX(V734:AG734,1,MATCH(Parametres!$B$3,V$1:AG$1,0)-1)*IF(OR(C734="L",C734="S",C734="I"),-1,1),"")</f>
        <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2026</v>
      </c>
      <c r="C735" s="832" t="s">
        <v>2595</v>
      </c>
      <c r="D735" s="832" t="s">
        <v>2596</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H46000</v>
      </c>
      <c r="AK735" s="1030" t="str">
        <f t="shared" si="73"/>
        <v>CT PIECES DIVERSES (AUTOS</v>
      </c>
      <c r="AL735" s="1030" t="str">
        <f>IFERROR(INDEX(G735:R735,1,MATCH(Parametres!$B$3,G$1:R$1,0)-1)*IF(OR(F735="L",F735="S",F735="I"),-1,1),"")</f>
        <v/>
      </c>
      <c r="AM735" s="1030">
        <f t="shared" si="68"/>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t="str">
        <f t="shared" si="69"/>
        <v>H46000</v>
      </c>
      <c r="AU735" s="599" t="str">
        <f t="shared" si="70"/>
        <v>CT PIECES DIVERSES (AUTOS</v>
      </c>
      <c r="AV735" s="1030" t="str">
        <f>IFERROR(INDEX(V735:AG735,1,MATCH(Parametres!$B$3,V$1:AG$1,0)-1)*IF(OR(C735="L",C735="S",C735="I"),-1,1),"")</f>
        <v/>
      </c>
      <c r="AW735" s="1030">
        <f t="shared" si="71"/>
        <v>0</v>
      </c>
      <c r="AX735" s="1030">
        <f>INDEX(V735:AG735,1,MATCH(Parametres!$B$3,V$1:AG$1,0))*IF(OR(C735="L",C735="S",C735="I"),-1,1)</f>
        <v>0</v>
      </c>
      <c r="AY735" s="598" t="s">
        <v>337</v>
      </c>
      <c r="AZ735" s="598" t="e">
        <f>+VLOOKUP($AJ735,Data_Validation!$A:$E,5,0)</f>
        <v>#N/A</v>
      </c>
    </row>
    <row r="736" spans="1:52" ht="15" customHeight="1">
      <c r="A736" s="832" t="s">
        <v>1150</v>
      </c>
      <c r="B736" s="832">
        <v>2026</v>
      </c>
      <c r="C736" s="832" t="s">
        <v>2597</v>
      </c>
      <c r="D736" s="832" t="s">
        <v>2598</v>
      </c>
      <c r="E736" s="832" t="s">
        <v>333</v>
      </c>
      <c r="F736" s="832" t="s">
        <v>2443</v>
      </c>
      <c r="G736" s="832">
        <v>49324.77</v>
      </c>
      <c r="H736" s="832">
        <v>83629.14</v>
      </c>
      <c r="I736" s="832">
        <v>118083.62</v>
      </c>
      <c r="J736" s="832">
        <v>170583.84</v>
      </c>
      <c r="K736" s="832">
        <v>206306.71</v>
      </c>
      <c r="L736" s="832">
        <v>207869.15</v>
      </c>
      <c r="M736" s="832">
        <v>207869.15</v>
      </c>
      <c r="N736" s="832">
        <v>207869.15</v>
      </c>
      <c r="O736" s="832">
        <v>0</v>
      </c>
      <c r="P736" s="832">
        <v>0</v>
      </c>
      <c r="Q736" s="832">
        <v>0</v>
      </c>
      <c r="R736" s="832">
        <v>0</v>
      </c>
      <c r="S736" s="832">
        <v>29695.59</v>
      </c>
      <c r="T736" s="832">
        <v>29695.59</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H46200</v>
      </c>
      <c r="AK736" s="1030" t="str">
        <f t="shared" si="73"/>
        <v>CT PNEUS</v>
      </c>
      <c r="AL736" s="1030" t="str">
        <f>IFERROR(INDEX(G736:R736,1,MATCH(Parametres!$B$3,G$1:R$1,0)-1)*IF(OR(F736="L",F736="S",F736="I"),-1,1),"")</f>
        <v/>
      </c>
      <c r="AM736" s="1030">
        <f t="shared" si="68"/>
        <v>49324.77</v>
      </c>
      <c r="AN736" s="1030">
        <f>INDEX(G736:R736,1,MATCH(Parametres!$B$3,G$1:R$1,0))*IF(OR(F736="L",F736="S",F736="I"),-1,1)</f>
        <v>49324.77</v>
      </c>
      <c r="AO736" s="598" t="str">
        <f>+VLOOKUP($AJ736,Data_Validation!$A:$D,1,0)</f>
        <v>H46200</v>
      </c>
      <c r="AP736" s="598" t="str">
        <f>+VLOOKUP($AJ736,Data_Validation!$A:$D,3,0)</f>
        <v>Pièces</v>
      </c>
      <c r="AQ736" s="598" t="str">
        <f>+VLOOKUP($AJ736,Data_Validation!$A:$D,4,0)</f>
        <v>Ventes Pneus</v>
      </c>
      <c r="AR736" s="598" t="s">
        <v>299</v>
      </c>
      <c r="AS736" s="598">
        <f>+VLOOKUP($AJ736,Data_Validation!$A:$E,5,0)</f>
        <v>0</v>
      </c>
      <c r="AT736" s="1036" t="str">
        <f t="shared" si="69"/>
        <v>H46200</v>
      </c>
      <c r="AU736" s="599" t="str">
        <f t="shared" si="70"/>
        <v>CT PNEUS</v>
      </c>
      <c r="AV736" s="1030" t="str">
        <f>IFERROR(INDEX(V736:AG736,1,MATCH(Parametres!$B$3,V$1:AG$1,0)-1)*IF(OR(C736="L",C736="S",C736="I"),-1,1),"")</f>
        <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2026</v>
      </c>
      <c r="C737" s="832" t="s">
        <v>2599</v>
      </c>
      <c r="D737" s="832" t="s">
        <v>2388</v>
      </c>
      <c r="E737" s="832" t="s">
        <v>333</v>
      </c>
      <c r="F737" s="832" t="s">
        <v>2443</v>
      </c>
      <c r="G737" s="832">
        <v>-937.03</v>
      </c>
      <c r="H737" s="832">
        <v>-1996.38</v>
      </c>
      <c r="I737" s="832">
        <v>-2309.1999999999998</v>
      </c>
      <c r="J737" s="832">
        <v>-42843.12</v>
      </c>
      <c r="K737" s="832">
        <v>-83404.33</v>
      </c>
      <c r="L737" s="832">
        <v>-83404.33</v>
      </c>
      <c r="M737" s="832">
        <v>-83404.33</v>
      </c>
      <c r="N737" s="832">
        <v>-83404.33</v>
      </c>
      <c r="O737" s="832">
        <v>0</v>
      </c>
      <c r="P737" s="832">
        <v>0</v>
      </c>
      <c r="Q737" s="832">
        <v>0</v>
      </c>
      <c r="R737" s="832">
        <v>0</v>
      </c>
      <c r="S737" s="832">
        <v>-11914.9</v>
      </c>
      <c r="T737" s="832">
        <v>-11914.9</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H46300</v>
      </c>
      <c r="AK737" s="1030" t="str">
        <f t="shared" si="73"/>
        <v>ESCOMPTE PIECES (M.S.O)</v>
      </c>
      <c r="AL737" s="1030" t="str">
        <f>IFERROR(INDEX(G737:R737,1,MATCH(Parametres!$B$3,G$1:R$1,0)-1)*IF(OR(F737="L",F737="S",F737="I"),-1,1),"")</f>
        <v/>
      </c>
      <c r="AM737" s="1030">
        <f t="shared" si="68"/>
        <v>-937.03</v>
      </c>
      <c r="AN737" s="1030">
        <f>INDEX(G737:R737,1,MATCH(Parametres!$B$3,G$1:R$1,0))*IF(OR(F737="L",F737="S",F737="I"),-1,1)</f>
        <v>-937.03</v>
      </c>
      <c r="AO737" s="598" t="str">
        <f>+VLOOKUP($AJ737,Data_Validation!$A:$D,1,0)</f>
        <v>H46300</v>
      </c>
      <c r="AP737" s="598" t="str">
        <f>+VLOOKUP($AJ737,Data_Validation!$A:$D,3,0)</f>
        <v>Pièces</v>
      </c>
      <c r="AQ737" s="598" t="str">
        <f>+VLOOKUP($AJ737,Data_Validation!$A:$D,4,0)</f>
        <v>Escomptes</v>
      </c>
      <c r="AR737" s="598" t="s">
        <v>299</v>
      </c>
      <c r="AS737" s="598">
        <f>+VLOOKUP($AJ737,Data_Validation!$A:$E,5,0)</f>
        <v>0</v>
      </c>
      <c r="AT737" s="1036" t="str">
        <f t="shared" si="69"/>
        <v>H46300</v>
      </c>
      <c r="AU737" s="599" t="str">
        <f t="shared" si="70"/>
        <v>ESCOMPTE PIECES (M.S.O)</v>
      </c>
      <c r="AV737" s="1030" t="str">
        <f>IFERROR(INDEX(V737:AG737,1,MATCH(Parametres!$B$3,V$1:AG$1,0)-1)*IF(OR(C737="L",C737="S",C737="I"),-1,1),"")</f>
        <v/>
      </c>
      <c r="AW737" s="1030">
        <f t="shared" si="71"/>
        <v>0</v>
      </c>
      <c r="AX737" s="1030">
        <f>INDEX(V737:AG737,1,MATCH(Parametres!$B$3,V$1:AG$1,0))*IF(OR(C737="L",C737="S",C737="I"),-1,1)</f>
        <v>0</v>
      </c>
      <c r="AY737" s="598" t="s">
        <v>337</v>
      </c>
      <c r="AZ737" s="598">
        <f>+VLOOKUP($AJ737,Data_Validation!$A:$E,5,0)</f>
        <v>0</v>
      </c>
    </row>
    <row r="738" spans="1:52" ht="15" customHeight="1">
      <c r="A738" s="832" t="s">
        <v>1150</v>
      </c>
      <c r="B738" s="832">
        <v>2026</v>
      </c>
      <c r="C738" s="832" t="s">
        <v>2600</v>
      </c>
      <c r="D738" s="832" t="s">
        <v>2390</v>
      </c>
      <c r="E738" s="832" t="s">
        <v>333</v>
      </c>
      <c r="F738" s="832" t="s">
        <v>2443</v>
      </c>
      <c r="G738" s="832">
        <v>-3178.76</v>
      </c>
      <c r="H738" s="832">
        <v>-4617.63</v>
      </c>
      <c r="I738" s="832">
        <v>6709.46</v>
      </c>
      <c r="J738" s="832">
        <v>6709.46</v>
      </c>
      <c r="K738" s="832">
        <v>6709.46</v>
      </c>
      <c r="L738" s="832">
        <v>6709.46</v>
      </c>
      <c r="M738" s="832">
        <v>6709.46</v>
      </c>
      <c r="N738" s="832">
        <v>6709.46</v>
      </c>
      <c r="O738" s="832">
        <v>0</v>
      </c>
      <c r="P738" s="832">
        <v>0</v>
      </c>
      <c r="Q738" s="832">
        <v>0</v>
      </c>
      <c r="R738" s="832">
        <v>0</v>
      </c>
      <c r="S738" s="832">
        <v>958.49</v>
      </c>
      <c r="T738" s="832">
        <v>958.49</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H46400</v>
      </c>
      <c r="AK738" s="1030" t="str">
        <f t="shared" si="73"/>
        <v>REGULARISATION D INV.</v>
      </c>
      <c r="AL738" s="1030" t="str">
        <f>IFERROR(INDEX(G738:R738,1,MATCH(Parametres!$B$3,G$1:R$1,0)-1)*IF(OR(F738="L",F738="S",F738="I"),-1,1),"")</f>
        <v/>
      </c>
      <c r="AM738" s="1030">
        <f t="shared" si="68"/>
        <v>-3178.76</v>
      </c>
      <c r="AN738" s="1030">
        <f>INDEX(G738:R738,1,MATCH(Parametres!$B$3,G$1:R$1,0))*IF(OR(F738="L",F738="S",F738="I"),-1,1)</f>
        <v>-3178.76</v>
      </c>
      <c r="AO738" s="598" t="str">
        <f>+VLOOKUP($AJ738,Data_Validation!$A:$D,1,0)</f>
        <v>H46400</v>
      </c>
      <c r="AP738" s="598" t="str">
        <f>+VLOOKUP($AJ738,Data_Validation!$A:$D,3,0)</f>
        <v>Pièces</v>
      </c>
      <c r="AQ738" s="598" t="str">
        <f>+VLOOKUP($AJ738,Data_Validation!$A:$D,4,0)</f>
        <v>Rectif. Inventaire</v>
      </c>
      <c r="AR738" s="598" t="s">
        <v>299</v>
      </c>
      <c r="AS738" s="598">
        <f>+VLOOKUP($AJ738,Data_Validation!$A:$E,5,0)</f>
        <v>0</v>
      </c>
      <c r="AT738" s="1036" t="str">
        <f t="shared" si="69"/>
        <v>H46400</v>
      </c>
      <c r="AU738" s="599" t="str">
        <f t="shared" si="70"/>
        <v>REGULARISATION D INV.</v>
      </c>
      <c r="AV738" s="1030" t="str">
        <f>IFERROR(INDEX(V738:AG738,1,MATCH(Parametres!$B$3,V$1:AG$1,0)-1)*IF(OR(C738="L",C738="S",C738="I"),-1,1),"")</f>
        <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2026</v>
      </c>
      <c r="C739" s="832" t="s">
        <v>2601</v>
      </c>
      <c r="D739" s="832" t="s">
        <v>2602</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H46500</v>
      </c>
      <c r="AK739" s="1030" t="str">
        <f t="shared" si="73"/>
        <v>CT FOURN DE CARR/PEINTURE</v>
      </c>
      <c r="AL739" s="1030" t="str">
        <f>IFERROR(INDEX(G739:R739,1,MATCH(Parametres!$B$3,G$1:R$1,0)-1)*IF(OR(F739="L",F739="S",F739="I"),-1,1),"")</f>
        <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H46500</v>
      </c>
      <c r="AU739" s="599" t="str">
        <f t="shared" si="70"/>
        <v>CT FOURN DE CARR/PEINTURE</v>
      </c>
      <c r="AV739" s="1030" t="str">
        <f>IFERROR(INDEX(V739:AG739,1,MATCH(Parametres!$B$3,V$1:AG$1,0)-1)*IF(OR(C739="L",C739="S",C739="I"),-1,1),"")</f>
        <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2026</v>
      </c>
      <c r="C740" s="832" t="s">
        <v>2603</v>
      </c>
      <c r="D740" s="832" t="s">
        <v>2604</v>
      </c>
      <c r="E740" s="832" t="s">
        <v>333</v>
      </c>
      <c r="F740" s="832" t="s">
        <v>2443</v>
      </c>
      <c r="G740" s="832">
        <v>14037.47</v>
      </c>
      <c r="H740" s="832">
        <v>27786.95</v>
      </c>
      <c r="I740" s="832">
        <v>42382.35</v>
      </c>
      <c r="J740" s="832">
        <v>70037.960000000006</v>
      </c>
      <c r="K740" s="832">
        <v>92149.02</v>
      </c>
      <c r="L740" s="832">
        <v>92961</v>
      </c>
      <c r="M740" s="832">
        <v>92961</v>
      </c>
      <c r="N740" s="832">
        <v>92961</v>
      </c>
      <c r="O740" s="832">
        <v>0</v>
      </c>
      <c r="P740" s="832">
        <v>0</v>
      </c>
      <c r="Q740" s="832">
        <v>0</v>
      </c>
      <c r="R740" s="832">
        <v>0</v>
      </c>
      <c r="S740" s="832">
        <v>13280.14</v>
      </c>
      <c r="T740" s="832">
        <v>13280.14</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H47000</v>
      </c>
      <c r="AK740" s="1030" t="str">
        <f t="shared" si="73"/>
        <v>CT M.O B.R CLIENT- MEC</v>
      </c>
      <c r="AL740" s="1030" t="str">
        <f>IFERROR(INDEX(G740:R740,1,MATCH(Parametres!$B$3,G$1:R$1,0)-1)*IF(OR(F740="L",F740="S",F740="I"),-1,1),"")</f>
        <v/>
      </c>
      <c r="AM740" s="1030">
        <f t="shared" si="68"/>
        <v>14037.47</v>
      </c>
      <c r="AN740" s="1030">
        <f>INDEX(G740:R740,1,MATCH(Parametres!$B$3,G$1:R$1,0))*IF(OR(F740="L",F740="S",F740="I"),-1,1)</f>
        <v>14037.47</v>
      </c>
      <c r="AO740" s="598" t="str">
        <f>+VLOOKUP($AJ740,Data_Validation!$A:$D,1,0)</f>
        <v>H47000</v>
      </c>
      <c r="AP740" s="598" t="str">
        <f>+VLOOKUP($AJ740,Data_Validation!$A:$D,3,0)</f>
        <v>Service</v>
      </c>
      <c r="AQ740" s="598" t="str">
        <f>+VLOOKUP($AJ740,Data_Validation!$A:$D,4,0)</f>
        <v>M/O Client</v>
      </c>
      <c r="AR740" s="598" t="s">
        <v>299</v>
      </c>
      <c r="AS740" s="598">
        <f>+VLOOKUP($AJ740,Data_Validation!$A:$E,5,0)</f>
        <v>0</v>
      </c>
      <c r="AT740" s="1036" t="str">
        <f t="shared" si="69"/>
        <v>H47000</v>
      </c>
      <c r="AU740" s="599" t="str">
        <f t="shared" si="70"/>
        <v>CT M.O B.R CLIENT- MEC</v>
      </c>
      <c r="AV740" s="1030" t="str">
        <f>IFERROR(INDEX(V740:AG740,1,MATCH(Parametres!$B$3,V$1:AG$1,0)-1)*IF(OR(C740="L",C740="S",C740="I"),-1,1),"")</f>
        <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2026</v>
      </c>
      <c r="C741" s="832" t="s">
        <v>2605</v>
      </c>
      <c r="D741" s="832" t="s">
        <v>2606</v>
      </c>
      <c r="E741" s="832" t="s">
        <v>333</v>
      </c>
      <c r="F741" s="832" t="s">
        <v>2443</v>
      </c>
      <c r="G741" s="832">
        <v>0</v>
      </c>
      <c r="H741" s="832">
        <v>0</v>
      </c>
      <c r="I741" s="832">
        <v>0</v>
      </c>
      <c r="J741" s="832">
        <v>0</v>
      </c>
      <c r="K741" s="832">
        <v>0</v>
      </c>
      <c r="L741" s="832">
        <v>0</v>
      </c>
      <c r="M741" s="832">
        <v>0</v>
      </c>
      <c r="N741" s="832">
        <v>0</v>
      </c>
      <c r="O741" s="832">
        <v>0</v>
      </c>
      <c r="P741" s="832">
        <v>0</v>
      </c>
      <c r="Q741" s="832">
        <v>0</v>
      </c>
      <c r="R741" s="832">
        <v>0</v>
      </c>
      <c r="S741" s="832">
        <v>0</v>
      </c>
      <c r="T741" s="832">
        <v>0</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H47010</v>
      </c>
      <c r="AK741" s="1030" t="str">
        <f t="shared" si="73"/>
        <v>CT MO HPP</v>
      </c>
      <c r="AL741" s="1030" t="str">
        <f>IFERROR(INDEX(G741:R741,1,MATCH(Parametres!$B$3,G$1:R$1,0)-1)*IF(OR(F741="L",F741="S",F741="I"),-1,1),"")</f>
        <v/>
      </c>
      <c r="AM741" s="1030">
        <f t="shared" si="68"/>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t="str">
        <f t="shared" si="69"/>
        <v>H47010</v>
      </c>
      <c r="AU741" s="599" t="str">
        <f t="shared" si="70"/>
        <v>CT MO HPP</v>
      </c>
      <c r="AV741" s="1030" t="str">
        <f>IFERROR(INDEX(V741:AG741,1,MATCH(Parametres!$B$3,V$1:AG$1,0)-1)*IF(OR(C741="L",C741="S",C741="I"),-1,1),"")</f>
        <v/>
      </c>
      <c r="AW741" s="1030">
        <f t="shared" si="71"/>
        <v>0</v>
      </c>
      <c r="AX741" s="1030">
        <f>INDEX(V741:AG741,1,MATCH(Parametres!$B$3,V$1:AG$1,0))*IF(OR(C741="L",C741="S",C741="I"),-1,1)</f>
        <v>0</v>
      </c>
      <c r="AY741" s="598" t="s">
        <v>337</v>
      </c>
      <c r="AZ741" s="598" t="e">
        <f>+VLOOKUP($AJ741,Data_Validation!$A:$E,5,0)</f>
        <v>#N/A</v>
      </c>
    </row>
    <row r="742" spans="1:52" ht="15" customHeight="1">
      <c r="A742" s="832" t="s">
        <v>1150</v>
      </c>
      <c r="B742" s="832">
        <v>2026</v>
      </c>
      <c r="C742" s="832" t="s">
        <v>2607</v>
      </c>
      <c r="D742" s="832" t="s">
        <v>2608</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H47100</v>
      </c>
      <c r="AK742" s="1030" t="str">
        <f t="shared" si="73"/>
        <v>CT M.O B.R CLIENT- CARR</v>
      </c>
      <c r="AL742" s="1030" t="str">
        <f>IFERROR(INDEX(G742:R742,1,MATCH(Parametres!$B$3,G$1:R$1,0)-1)*IF(OR(F742="L",F742="S",F742="I"),-1,1),"")</f>
        <v/>
      </c>
      <c r="AM742" s="1030">
        <f t="shared" si="68"/>
        <v>0</v>
      </c>
      <c r="AN742" s="1030">
        <f>INDEX(G742:R742,1,MATCH(Parametres!$B$3,G$1:R$1,0))*IF(OR(F742="L",F742="S",F742="I"),-1,1)</f>
        <v>0</v>
      </c>
      <c r="AO742" s="598" t="str">
        <f>+VLOOKUP($AJ742,Data_Validation!$A:$D,1,0)</f>
        <v>H47100</v>
      </c>
      <c r="AP742" s="598" t="str">
        <f>+VLOOKUP($AJ742,Data_Validation!$A:$D,3,0)</f>
        <v>Carrosserie</v>
      </c>
      <c r="AQ742" s="598" t="str">
        <f>+VLOOKUP($AJ742,Data_Validation!$A:$D,4,0)</f>
        <v>M/O Sous-traitement</v>
      </c>
      <c r="AR742" s="598" t="s">
        <v>299</v>
      </c>
      <c r="AS742" s="598">
        <f>+VLOOKUP($AJ742,Data_Validation!$A:$E,5,0)</f>
        <v>0</v>
      </c>
      <c r="AT742" s="1036" t="str">
        <f t="shared" si="69"/>
        <v>H47100</v>
      </c>
      <c r="AU742" s="599" t="str">
        <f t="shared" si="70"/>
        <v>CT M.O B.R CLIENT- CARR</v>
      </c>
      <c r="AV742" s="1030" t="str">
        <f>IFERROR(INDEX(V742:AG742,1,MATCH(Parametres!$B$3,V$1:AG$1,0)-1)*IF(OR(C742="L",C742="S",C742="I"),-1,1),"")</f>
        <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2026</v>
      </c>
      <c r="C743" s="832" t="s">
        <v>2609</v>
      </c>
      <c r="D743" s="832" t="s">
        <v>2610</v>
      </c>
      <c r="E743" s="832" t="s">
        <v>333</v>
      </c>
      <c r="F743" s="832" t="s">
        <v>2443</v>
      </c>
      <c r="G743" s="832">
        <v>15872.05</v>
      </c>
      <c r="H743" s="832">
        <v>33088.21</v>
      </c>
      <c r="I743" s="832">
        <v>48711.81</v>
      </c>
      <c r="J743" s="832">
        <v>53862.6</v>
      </c>
      <c r="K743" s="832">
        <v>61804.54</v>
      </c>
      <c r="L743" s="832">
        <v>62270.89</v>
      </c>
      <c r="M743" s="832">
        <v>62270.89</v>
      </c>
      <c r="N743" s="832">
        <v>62270.89</v>
      </c>
      <c r="O743" s="832">
        <v>0</v>
      </c>
      <c r="P743" s="832">
        <v>0</v>
      </c>
      <c r="Q743" s="832">
        <v>0</v>
      </c>
      <c r="R743" s="832">
        <v>0</v>
      </c>
      <c r="S743" s="832">
        <v>8895.84</v>
      </c>
      <c r="T743" s="832">
        <v>8895.84</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H47200</v>
      </c>
      <c r="AK743" s="1030" t="str">
        <f t="shared" si="73"/>
        <v>CT M.O B.R GARANTIE- MEC</v>
      </c>
      <c r="AL743" s="1030" t="str">
        <f>IFERROR(INDEX(G743:R743,1,MATCH(Parametres!$B$3,G$1:R$1,0)-1)*IF(OR(F743="L",F743="S",F743="I"),-1,1),"")</f>
        <v/>
      </c>
      <c r="AM743" s="1030">
        <f t="shared" si="68"/>
        <v>15872.05</v>
      </c>
      <c r="AN743" s="1030">
        <f>INDEX(G743:R743,1,MATCH(Parametres!$B$3,G$1:R$1,0))*IF(OR(F743="L",F743="S",F743="I"),-1,1)</f>
        <v>15872.05</v>
      </c>
      <c r="AO743" s="598" t="str">
        <f>+VLOOKUP($AJ743,Data_Validation!$A:$D,1,0)</f>
        <v>H47200</v>
      </c>
      <c r="AP743" s="598" t="str">
        <f>+VLOOKUP($AJ743,Data_Validation!$A:$D,3,0)</f>
        <v>Service</v>
      </c>
      <c r="AQ743" s="598" t="str">
        <f>+VLOOKUP($AJ743,Data_Validation!$A:$D,4,0)</f>
        <v>M/O Garantie</v>
      </c>
      <c r="AR743" s="598" t="s">
        <v>299</v>
      </c>
      <c r="AS743" s="598">
        <f>+VLOOKUP($AJ743,Data_Validation!$A:$E,5,0)</f>
        <v>0</v>
      </c>
      <c r="AT743" s="1036" t="str">
        <f t="shared" si="69"/>
        <v>H47200</v>
      </c>
      <c r="AU743" s="599" t="str">
        <f t="shared" si="70"/>
        <v>CT M.O B.R GARANTIE- MEC</v>
      </c>
      <c r="AV743" s="1030" t="str">
        <f>IFERROR(INDEX(V743:AG743,1,MATCH(Parametres!$B$3,V$1:AG$1,0)-1)*IF(OR(C743="L",C743="S",C743="I"),-1,1),"")</f>
        <v/>
      </c>
      <c r="AW743" s="1030">
        <f t="shared" si="71"/>
        <v>0</v>
      </c>
      <c r="AX743" s="1030">
        <f>INDEX(V743:AG743,1,MATCH(Parametres!$B$3,V$1:AG$1,0))*IF(OR(C743="L",C743="S",C743="I"),-1,1)</f>
        <v>0</v>
      </c>
      <c r="AY743" s="598" t="s">
        <v>337</v>
      </c>
      <c r="AZ743" s="598">
        <f>+VLOOKUP($AJ743,Data_Validation!$A:$E,5,0)</f>
        <v>0</v>
      </c>
    </row>
    <row r="744" spans="1:52" ht="15" customHeight="1">
      <c r="A744" s="832" t="s">
        <v>1150</v>
      </c>
      <c r="B744" s="832">
        <v>2026</v>
      </c>
      <c r="C744" s="832" t="s">
        <v>2611</v>
      </c>
      <c r="D744" s="832" t="s">
        <v>2612</v>
      </c>
      <c r="E744" s="832" t="s">
        <v>333</v>
      </c>
      <c r="F744" s="832" t="s">
        <v>2443</v>
      </c>
      <c r="G744" s="832">
        <v>6034.06</v>
      </c>
      <c r="H744" s="832">
        <v>10587.67</v>
      </c>
      <c r="I744" s="832">
        <v>15588.65</v>
      </c>
      <c r="J744" s="832">
        <v>20201.98</v>
      </c>
      <c r="K744" s="832">
        <v>25400.7</v>
      </c>
      <c r="L744" s="832">
        <v>25665.29</v>
      </c>
      <c r="M744" s="832">
        <v>25665.29</v>
      </c>
      <c r="N744" s="832">
        <v>25665.29</v>
      </c>
      <c r="O744" s="832">
        <v>0</v>
      </c>
      <c r="P744" s="832">
        <v>0</v>
      </c>
      <c r="Q744" s="832">
        <v>0</v>
      </c>
      <c r="R744" s="832">
        <v>0</v>
      </c>
      <c r="S744" s="832">
        <v>3666.47</v>
      </c>
      <c r="T744" s="832">
        <v>3666.47</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H47400</v>
      </c>
      <c r="AK744" s="1030" t="str">
        <f t="shared" si="73"/>
        <v>CT M.O B.R INTERNE- MEC</v>
      </c>
      <c r="AL744" s="1030" t="str">
        <f>IFERROR(INDEX(G744:R744,1,MATCH(Parametres!$B$3,G$1:R$1,0)-1)*IF(OR(F744="L",F744="S",F744="I"),-1,1),"")</f>
        <v/>
      </c>
      <c r="AM744" s="1030">
        <f t="shared" si="68"/>
        <v>6034.06</v>
      </c>
      <c r="AN744" s="1030">
        <f>INDEX(G744:R744,1,MATCH(Parametres!$B$3,G$1:R$1,0))*IF(OR(F744="L",F744="S",F744="I"),-1,1)</f>
        <v>6034.06</v>
      </c>
      <c r="AO744" s="598" t="str">
        <f>+VLOOKUP($AJ744,Data_Validation!$A:$D,1,0)</f>
        <v>H47400</v>
      </c>
      <c r="AP744" s="598" t="str">
        <f>+VLOOKUP($AJ744,Data_Validation!$A:$D,3,0)</f>
        <v>Service</v>
      </c>
      <c r="AQ744" s="598" t="str">
        <f>+VLOOKUP($AJ744,Data_Validation!$A:$D,4,0)</f>
        <v>M/O Interne</v>
      </c>
      <c r="AR744" s="598" t="s">
        <v>299</v>
      </c>
      <c r="AS744" s="598">
        <f>+VLOOKUP($AJ744,Data_Validation!$A:$E,5,0)</f>
        <v>0</v>
      </c>
      <c r="AT744" s="1036" t="str">
        <f t="shared" si="69"/>
        <v>H47400</v>
      </c>
      <c r="AU744" s="599" t="str">
        <f t="shared" si="70"/>
        <v>CT M.O B.R INTERNE- MEC</v>
      </c>
      <c r="AV744" s="1030" t="str">
        <f>IFERROR(INDEX(V744:AG744,1,MATCH(Parametres!$B$3,V$1:AG$1,0)-1)*IF(OR(C744="L",C744="S",C744="I"),-1,1),"")</f>
        <v/>
      </c>
      <c r="AW744" s="1030">
        <f t="shared" si="71"/>
        <v>0</v>
      </c>
      <c r="AX744" s="1030">
        <f>INDEX(V744:AG744,1,MATCH(Parametres!$B$3,V$1:AG$1,0))*IF(OR(C744="L",C744="S",C744="I"),-1,1)</f>
        <v>0</v>
      </c>
      <c r="AY744" s="598" t="s">
        <v>337</v>
      </c>
      <c r="AZ744" s="598">
        <f>+VLOOKUP($AJ744,Data_Validation!$A:$E,5,0)</f>
        <v>0</v>
      </c>
    </row>
    <row r="745" spans="1:52" ht="15" customHeight="1">
      <c r="A745" s="832" t="s">
        <v>1150</v>
      </c>
      <c r="B745" s="832">
        <v>2026</v>
      </c>
      <c r="C745" s="832" t="s">
        <v>2613</v>
      </c>
      <c r="D745" s="832" t="s">
        <v>2614</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H47500</v>
      </c>
      <c r="AK745" s="1030" t="str">
        <f t="shared" si="73"/>
        <v>CT M.O B.R INTERNE- CARR</v>
      </c>
      <c r="AL745" s="1030" t="str">
        <f>IFERROR(INDEX(G745:R745,1,MATCH(Parametres!$B$3,G$1:R$1,0)-1)*IF(OR(F745="L",F745="S",F745="I"),-1,1),"")</f>
        <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H47500</v>
      </c>
      <c r="AU745" s="599" t="str">
        <f t="shared" si="70"/>
        <v>CT M.O B.R INTERNE- CARR</v>
      </c>
      <c r="AV745" s="1030" t="str">
        <f>IFERROR(INDEX(V745:AG745,1,MATCH(Parametres!$B$3,V$1:AG$1,0)-1)*IF(OR(C745="L",C745="S",C745="I"),-1,1),"")</f>
        <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2026</v>
      </c>
      <c r="C746" s="832" t="s">
        <v>2615</v>
      </c>
      <c r="D746" s="832" t="s">
        <v>2616</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H47600</v>
      </c>
      <c r="AK746" s="1030" t="str">
        <f t="shared" si="73"/>
        <v>CT M.O S-TRAITANCE - CARR</v>
      </c>
      <c r="AL746" s="1030" t="str">
        <f>IFERROR(INDEX(G746:R746,1,MATCH(Parametres!$B$3,G$1:R$1,0)-1)*IF(OR(F746="L",F746="S",F746="I"),-1,1),"")</f>
        <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H47600</v>
      </c>
      <c r="AU746" s="599" t="str">
        <f t="shared" si="70"/>
        <v>CT M.O S-TRAITANCE - CARR</v>
      </c>
      <c r="AV746" s="1030" t="str">
        <f>IFERROR(INDEX(V746:AG746,1,MATCH(Parametres!$B$3,V$1:AG$1,0)-1)*IF(OR(C746="L",C746="S",C746="I"),-1,1),"")</f>
        <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2026</v>
      </c>
      <c r="C747" s="832" t="s">
        <v>2617</v>
      </c>
      <c r="D747" s="832" t="s">
        <v>2618</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H47610</v>
      </c>
      <c r="AK747" s="1030" t="str">
        <f t="shared" si="73"/>
        <v>CT S-TRAITANCE INT CARR</v>
      </c>
      <c r="AL747" s="1030" t="str">
        <f>IFERROR(INDEX(G747:R747,1,MATCH(Parametres!$B$3,G$1:R$1,0)-1)*IF(OR(F747="L",F747="S",F747="I"),-1,1),"")</f>
        <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H47610</v>
      </c>
      <c r="AU747" s="599" t="str">
        <f t="shared" si="70"/>
        <v>CT S-TRAITANCE INT CARR</v>
      </c>
      <c r="AV747" s="1030" t="str">
        <f>IFERROR(INDEX(V747:AG747,1,MATCH(Parametres!$B$3,V$1:AG$1,0)-1)*IF(OR(C747="L",C747="S",C747="I"),-1,1),"")</f>
        <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2026</v>
      </c>
      <c r="C748" s="832" t="s">
        <v>2619</v>
      </c>
      <c r="D748" s="832" t="s">
        <v>2620</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H47700</v>
      </c>
      <c r="AK748" s="1030" t="str">
        <f t="shared" si="73"/>
        <v>CT M.O B.R GARANTIE- CARR</v>
      </c>
      <c r="AL748" s="1030" t="str">
        <f>IFERROR(INDEX(G748:R748,1,MATCH(Parametres!$B$3,G$1:R$1,0)-1)*IF(OR(F748="L",F748="S",F748="I"),-1,1),"")</f>
        <v/>
      </c>
      <c r="AM748" s="1030">
        <f t="shared" si="68"/>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t="str">
        <f t="shared" si="69"/>
        <v>H47700</v>
      </c>
      <c r="AU748" s="599" t="str">
        <f t="shared" si="70"/>
        <v>CT M.O B.R GARANTIE- CARR</v>
      </c>
      <c r="AV748" s="1030" t="str">
        <f>IFERROR(INDEX(V748:AG748,1,MATCH(Parametres!$B$3,V$1:AG$1,0)-1)*IF(OR(C748="L",C748="S",C748="I"),-1,1),"")</f>
        <v/>
      </c>
      <c r="AW748" s="1030">
        <f t="shared" si="71"/>
        <v>0</v>
      </c>
      <c r="AX748" s="1030">
        <f>INDEX(V748:AG748,1,MATCH(Parametres!$B$3,V$1:AG$1,0))*IF(OR(C748="L",C748="S",C748="I"),-1,1)</f>
        <v>0</v>
      </c>
      <c r="AY748" s="598" t="s">
        <v>337</v>
      </c>
      <c r="AZ748" s="598" t="e">
        <f>+VLOOKUP($AJ748,Data_Validation!$A:$E,5,0)</f>
        <v>#N/A</v>
      </c>
    </row>
    <row r="749" spans="1:52" ht="15" customHeight="1">
      <c r="A749" s="832" t="s">
        <v>1150</v>
      </c>
      <c r="B749" s="832">
        <v>2026</v>
      </c>
      <c r="C749" s="832" t="s">
        <v>2621</v>
      </c>
      <c r="D749" s="832" t="s">
        <v>2622</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H47800</v>
      </c>
      <c r="AK749" s="1030" t="str">
        <f t="shared" si="73"/>
        <v>CT M.O DIVERSES (AUTOS)_</v>
      </c>
      <c r="AL749" s="1030" t="str">
        <f>IFERROR(INDEX(G749:R749,1,MATCH(Parametres!$B$3,G$1:R$1,0)-1)*IF(OR(F749="L",F749="S",F749="I"),-1,1),"")</f>
        <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H47800</v>
      </c>
      <c r="AU749" s="599" t="str">
        <f t="shared" si="70"/>
        <v>CT M.O DIVERSES (AUTOS)_</v>
      </c>
      <c r="AV749" s="1030" t="str">
        <f>IFERROR(INDEX(V749:AG749,1,MATCH(Parametres!$B$3,V$1:AG$1,0)-1)*IF(OR(C749="L",C749="S",C749="I"),-1,1),"")</f>
        <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2026</v>
      </c>
      <c r="C750" s="832" t="s">
        <v>2623</v>
      </c>
      <c r="D750" s="832" t="s">
        <v>2624</v>
      </c>
      <c r="E750" s="832" t="s">
        <v>333</v>
      </c>
      <c r="F750" s="832" t="s">
        <v>2443</v>
      </c>
      <c r="G750" s="832">
        <v>4736.8100000000004</v>
      </c>
      <c r="H750" s="832">
        <v>6282.06</v>
      </c>
      <c r="I750" s="832">
        <v>816.08</v>
      </c>
      <c r="J750" s="832">
        <v>816.08</v>
      </c>
      <c r="K750" s="832">
        <v>816.08</v>
      </c>
      <c r="L750" s="832">
        <v>816.08</v>
      </c>
      <c r="M750" s="832">
        <v>816.08</v>
      </c>
      <c r="N750" s="832">
        <v>816.08</v>
      </c>
      <c r="O750" s="832">
        <v>0</v>
      </c>
      <c r="P750" s="832">
        <v>0</v>
      </c>
      <c r="Q750" s="832">
        <v>0</v>
      </c>
      <c r="R750" s="832">
        <v>0</v>
      </c>
      <c r="S750" s="832">
        <v>116.58</v>
      </c>
      <c r="T750" s="832">
        <v>116.58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H48000</v>
      </c>
      <c r="AK750" s="1030" t="str">
        <f t="shared" si="73"/>
        <v>CT TEMPS MORT - MECANIQUE</v>
      </c>
      <c r="AL750" s="1030" t="str">
        <f>IFERROR(INDEX(G750:R750,1,MATCH(Parametres!$B$3,G$1:R$1,0)-1)*IF(OR(F750="L",F750="S",F750="I"),-1,1),"")</f>
        <v/>
      </c>
      <c r="AM750" s="1030">
        <f t="shared" si="68"/>
        <v>4736.8100000000004</v>
      </c>
      <c r="AN750" s="1030">
        <f>INDEX(G750:R750,1,MATCH(Parametres!$B$3,G$1:R$1,0))*IF(OR(F750="L",F750="S",F750="I"),-1,1)</f>
        <v>4736.8100000000004</v>
      </c>
      <c r="AO750" s="598" t="str">
        <f>+VLOOKUP($AJ750,Data_Validation!$A:$D,1,0)</f>
        <v>H48000</v>
      </c>
      <c r="AP750" s="598" t="str">
        <f>+VLOOKUP($AJ750,Data_Validation!$A:$D,3,0)</f>
        <v>Service</v>
      </c>
      <c r="AQ750" s="598" t="str">
        <f>+VLOOKUP($AJ750,Data_Validation!$A:$D,4,0)</f>
        <v>Ajustement M/O</v>
      </c>
      <c r="AR750" s="598" t="s">
        <v>299</v>
      </c>
      <c r="AS750" s="598">
        <f>+VLOOKUP($AJ750,Data_Validation!$A:$E,5,0)</f>
        <v>0</v>
      </c>
      <c r="AT750" s="1036" t="str">
        <f t="shared" si="69"/>
        <v>H48000</v>
      </c>
      <c r="AU750" s="599" t="str">
        <f t="shared" si="70"/>
        <v>CT TEMPS MORT - MECANIQUE</v>
      </c>
      <c r="AV750" s="1030" t="str">
        <f>IFERROR(INDEX(V750:AG750,1,MATCH(Parametres!$B$3,V$1:AG$1,0)-1)*IF(OR(C750="L",C750="S",C750="I"),-1,1),"")</f>
        <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2026</v>
      </c>
      <c r="C751" s="832" t="s">
        <v>2625</v>
      </c>
      <c r="D751" s="832" t="s">
        <v>2626</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H48100</v>
      </c>
      <c r="AK751" s="1030" t="str">
        <f t="shared" si="73"/>
        <v>CT TEMPS MORT-CARR/PEINT.</v>
      </c>
      <c r="AL751" s="1030" t="str">
        <f>IFERROR(INDEX(G751:R751,1,MATCH(Parametres!$B$3,G$1:R$1,0)-1)*IF(OR(F751="L",F751="S",F751="I"),-1,1),"")</f>
        <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H48100</v>
      </c>
      <c r="AU751" s="599" t="str">
        <f t="shared" si="70"/>
        <v>CT TEMPS MORT-CARR/PEINT.</v>
      </c>
      <c r="AV751" s="1030" t="str">
        <f>IFERROR(INDEX(V751:AG751,1,MATCH(Parametres!$B$3,V$1:AG$1,0)-1)*IF(OR(C751="L",C751="S",C751="I"),-1,1),"")</f>
        <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2026</v>
      </c>
      <c r="C752" s="832" t="s">
        <v>2627</v>
      </c>
      <c r="D752" s="832" t="s">
        <v>2628</v>
      </c>
      <c r="E752" s="832" t="s">
        <v>333</v>
      </c>
      <c r="F752" s="832" t="s">
        <v>2443</v>
      </c>
      <c r="G752" s="832">
        <v>24379.49</v>
      </c>
      <c r="H752" s="832">
        <v>46634.45</v>
      </c>
      <c r="I752" s="832">
        <v>90969.88</v>
      </c>
      <c r="J752" s="832">
        <v>164380.42000000001</v>
      </c>
      <c r="K752" s="832">
        <v>212286.49</v>
      </c>
      <c r="L752" s="832">
        <v>214811.32</v>
      </c>
      <c r="M752" s="832">
        <v>214811.32</v>
      </c>
      <c r="N752" s="832">
        <v>214811.32</v>
      </c>
      <c r="O752" s="832">
        <v>0</v>
      </c>
      <c r="P752" s="832">
        <v>0</v>
      </c>
      <c r="Q752" s="832">
        <v>0</v>
      </c>
      <c r="R752" s="832">
        <v>0</v>
      </c>
      <c r="S752" s="832">
        <v>30687.33</v>
      </c>
      <c r="T752" s="832">
        <v>30687.33</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H48200</v>
      </c>
      <c r="AK752" s="1030" t="str">
        <f t="shared" si="73"/>
        <v>CT M.O S-TRAITANCE - MEC</v>
      </c>
      <c r="AL752" s="1030" t="str">
        <f>IFERROR(INDEX(G752:R752,1,MATCH(Parametres!$B$3,G$1:R$1,0)-1)*IF(OR(F752="L",F752="S",F752="I"),-1,1),"")</f>
        <v/>
      </c>
      <c r="AM752" s="1030">
        <f t="shared" si="68"/>
        <v>24379.49</v>
      </c>
      <c r="AN752" s="1030">
        <f>INDEX(G752:R752,1,MATCH(Parametres!$B$3,G$1:R$1,0))*IF(OR(F752="L",F752="S",F752="I"),-1,1)</f>
        <v>24379.49</v>
      </c>
      <c r="AO752" s="598" t="str">
        <f>+VLOOKUP($AJ752,Data_Validation!$A:$D,1,0)</f>
        <v>H48200</v>
      </c>
      <c r="AP752" s="598" t="str">
        <f>+VLOOKUP($AJ752,Data_Validation!$A:$D,3,0)</f>
        <v>Service</v>
      </c>
      <c r="AQ752" s="598" t="str">
        <f>+VLOOKUP($AJ752,Data_Validation!$A:$D,4,0)</f>
        <v>Sous-traitement</v>
      </c>
      <c r="AR752" s="598" t="s">
        <v>299</v>
      </c>
      <c r="AS752" s="598">
        <f>+VLOOKUP($AJ752,Data_Validation!$A:$E,5,0)</f>
        <v>0</v>
      </c>
      <c r="AT752" s="1036" t="str">
        <f t="shared" si="69"/>
        <v>H48200</v>
      </c>
      <c r="AU752" s="599" t="str">
        <f t="shared" si="70"/>
        <v>CT M.O S-TRAITANCE - MEC</v>
      </c>
      <c r="AV752" s="1030" t="str">
        <f>IFERROR(INDEX(V752:AG752,1,MATCH(Parametres!$B$3,V$1:AG$1,0)-1)*IF(OR(C752="L",C752="S",C752="I"),-1,1),"")</f>
        <v/>
      </c>
      <c r="AW752" s="1030">
        <f t="shared" si="71"/>
        <v>0</v>
      </c>
      <c r="AX752" s="1030">
        <f>INDEX(V752:AG752,1,MATCH(Parametres!$B$3,V$1:AG$1,0))*IF(OR(C752="L",C752="S",C752="I"),-1,1)</f>
        <v>0</v>
      </c>
      <c r="AY752" s="598" t="s">
        <v>337</v>
      </c>
      <c r="AZ752" s="598">
        <f>+VLOOKUP($AJ752,Data_Validation!$A:$E,5,0)</f>
        <v>0</v>
      </c>
    </row>
    <row r="753" spans="1:52" ht="15" customHeight="1">
      <c r="A753" s="832" t="s">
        <v>1150</v>
      </c>
      <c r="B753" s="832">
        <v>2026</v>
      </c>
      <c r="C753" s="832" t="s">
        <v>2629</v>
      </c>
      <c r="D753" s="832" t="s">
        <v>2630</v>
      </c>
      <c r="E753" s="832" t="s">
        <v>333</v>
      </c>
      <c r="F753" s="832" t="s">
        <v>2443</v>
      </c>
      <c r="G753" s="832">
        <v>0</v>
      </c>
      <c r="H753" s="832">
        <v>0</v>
      </c>
      <c r="I753" s="832">
        <v>0</v>
      </c>
      <c r="J753" s="832">
        <v>0</v>
      </c>
      <c r="K753" s="832">
        <v>0</v>
      </c>
      <c r="L753" s="832">
        <v>0</v>
      </c>
      <c r="M753" s="832">
        <v>0</v>
      </c>
      <c r="N753" s="832">
        <v>0</v>
      </c>
      <c r="O753" s="832">
        <v>0</v>
      </c>
      <c r="P753" s="832">
        <v>0</v>
      </c>
      <c r="Q753" s="832">
        <v>0</v>
      </c>
      <c r="R753" s="832">
        <v>0</v>
      </c>
      <c r="S753" s="832">
        <v>0</v>
      </c>
      <c r="T753" s="832">
        <v>0</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H48210</v>
      </c>
      <c r="AK753" s="1030" t="str">
        <f t="shared" si="73"/>
        <v>CT SOUS TRAITANCE HPP</v>
      </c>
      <c r="AL753" s="1030" t="str">
        <f>IFERROR(INDEX(G753:R753,1,MATCH(Parametres!$B$3,G$1:R$1,0)-1)*IF(OR(F753="L",F753="S",F753="I"),-1,1),"")</f>
        <v/>
      </c>
      <c r="AM753" s="1030">
        <f t="shared" si="68"/>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t="str">
        <f t="shared" si="69"/>
        <v>H48210</v>
      </c>
      <c r="AU753" s="599" t="str">
        <f t="shared" si="70"/>
        <v>CT SOUS TRAITANCE HPP</v>
      </c>
      <c r="AV753" s="1030" t="str">
        <f>IFERROR(INDEX(V753:AG753,1,MATCH(Parametres!$B$3,V$1:AG$1,0)-1)*IF(OR(C753="L",C753="S",C753="I"),-1,1),"")</f>
        <v/>
      </c>
      <c r="AW753" s="1030">
        <f t="shared" si="71"/>
        <v>0</v>
      </c>
      <c r="AX753" s="1030">
        <f>INDEX(V753:AG753,1,MATCH(Parametres!$B$3,V$1:AG$1,0))*IF(OR(C753="L",C753="S",C753="I"),-1,1)</f>
        <v>0</v>
      </c>
      <c r="AY753" s="598" t="s">
        <v>337</v>
      </c>
      <c r="AZ753" s="598" t="e">
        <f>+VLOOKUP($AJ753,Data_Validation!$A:$E,5,0)</f>
        <v>#N/A</v>
      </c>
    </row>
    <row r="754" spans="1:52" ht="15" customHeight="1">
      <c r="A754" s="832" t="s">
        <v>1150</v>
      </c>
      <c r="B754" s="832">
        <v>2026</v>
      </c>
      <c r="C754" s="832" t="s">
        <v>2631</v>
      </c>
      <c r="D754" s="832" t="s">
        <v>2632</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H48300</v>
      </c>
      <c r="AK754" s="1030" t="str">
        <f t="shared" si="73"/>
        <v>CT ENTREPOSAGE DE PNEU</v>
      </c>
      <c r="AL754" s="1030" t="str">
        <f>IFERROR(INDEX(G754:R754,1,MATCH(Parametres!$B$3,G$1:R$1,0)-1)*IF(OR(F754="L",F754="S",F754="I"),-1,1),"")</f>
        <v/>
      </c>
      <c r="AM754" s="1030">
        <f t="shared" si="68"/>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t="str">
        <f t="shared" si="69"/>
        <v>H48300</v>
      </c>
      <c r="AU754" s="599" t="str">
        <f t="shared" si="70"/>
        <v>CT ENTREPOSAGE DE PNEU</v>
      </c>
      <c r="AV754" s="1030" t="str">
        <f>IFERROR(INDEX(V754:AG754,1,MATCH(Parametres!$B$3,V$1:AG$1,0)-1)*IF(OR(C754="L",C754="S",C754="I"),-1,1),"")</f>
        <v/>
      </c>
      <c r="AW754" s="1030">
        <f t="shared" si="71"/>
        <v>0</v>
      </c>
      <c r="AX754" s="1030">
        <f>INDEX(V754:AG754,1,MATCH(Parametres!$B$3,V$1:AG$1,0))*IF(OR(C754="L",C754="S",C754="I"),-1,1)</f>
        <v>0</v>
      </c>
      <c r="AY754" s="598" t="s">
        <v>337</v>
      </c>
      <c r="AZ754" s="598" t="e">
        <f>+VLOOKUP($AJ754,Data_Validation!$A:$E,5,0)</f>
        <v>#N/A</v>
      </c>
    </row>
    <row r="755" spans="1:52" ht="15" customHeight="1">
      <c r="A755" s="832" t="s">
        <v>1150</v>
      </c>
      <c r="B755" s="832">
        <v>2026</v>
      </c>
      <c r="C755" s="832" t="s">
        <v>2633</v>
      </c>
      <c r="D755" s="832" t="s">
        <v>2634</v>
      </c>
      <c r="E755" s="832" t="s">
        <v>333</v>
      </c>
      <c r="F755" s="832" t="s">
        <v>2443</v>
      </c>
      <c r="G755" s="832">
        <v>9669.09</v>
      </c>
      <c r="H755" s="832">
        <v>17946.599999999999</v>
      </c>
      <c r="I755" s="832">
        <v>27461.89</v>
      </c>
      <c r="J755" s="832">
        <v>41884.97</v>
      </c>
      <c r="K755" s="832">
        <v>56429.61</v>
      </c>
      <c r="L755" s="832">
        <v>56942.05</v>
      </c>
      <c r="M755" s="832">
        <v>56942.05</v>
      </c>
      <c r="N755" s="832">
        <v>56942.05</v>
      </c>
      <c r="O755" s="832">
        <v>0</v>
      </c>
      <c r="P755" s="832">
        <v>0</v>
      </c>
      <c r="Q755" s="832">
        <v>0</v>
      </c>
      <c r="R755" s="832">
        <v>0</v>
      </c>
      <c r="S755" s="832">
        <v>8134.58</v>
      </c>
      <c r="T755" s="832">
        <v>8134.58</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H48400</v>
      </c>
      <c r="AK755" s="1030" t="str">
        <f t="shared" si="73"/>
        <v>CT HUILE-GRAISSE</v>
      </c>
      <c r="AL755" s="1030" t="str">
        <f>IFERROR(INDEX(G755:R755,1,MATCH(Parametres!$B$3,G$1:R$1,0)-1)*IF(OR(F755="L",F755="S",F755="I"),-1,1),"")</f>
        <v/>
      </c>
      <c r="AM755" s="1030">
        <f t="shared" si="68"/>
        <v>9669.09</v>
      </c>
      <c r="AN755" s="1030">
        <f>INDEX(G755:R755,1,MATCH(Parametres!$B$3,G$1:R$1,0))*IF(OR(F755="L",F755="S",F755="I"),-1,1)</f>
        <v>9669.09</v>
      </c>
      <c r="AO755" s="598" t="str">
        <f>+VLOOKUP($AJ755,Data_Validation!$A:$D,1,0)</f>
        <v>H48400</v>
      </c>
      <c r="AP755" s="598" t="str">
        <f>+VLOOKUP($AJ755,Data_Validation!$A:$D,3,0)</f>
        <v>Pièces</v>
      </c>
      <c r="AQ755" s="598" t="str">
        <f>+VLOOKUP($AJ755,Data_Validation!$A:$D,4,0)</f>
        <v>Huiles et Graisse</v>
      </c>
      <c r="AR755" s="598" t="s">
        <v>299</v>
      </c>
      <c r="AS755" s="598">
        <f>+VLOOKUP($AJ755,Data_Validation!$A:$E,5,0)</f>
        <v>0</v>
      </c>
      <c r="AT755" s="1036" t="str">
        <f t="shared" si="69"/>
        <v>H48400</v>
      </c>
      <c r="AU755" s="599" t="str">
        <f t="shared" si="70"/>
        <v>CT HUILE-GRAISSE</v>
      </c>
      <c r="AV755" s="1030" t="str">
        <f>IFERROR(INDEX(V755:AG755,1,MATCH(Parametres!$B$3,V$1:AG$1,0)-1)*IF(OR(C755="L",C755="S",C755="I"),-1,1),"")</f>
        <v/>
      </c>
      <c r="AW755" s="1030">
        <f t="shared" si="71"/>
        <v>0</v>
      </c>
      <c r="AX755" s="1030">
        <f>INDEX(V755:AG755,1,MATCH(Parametres!$B$3,V$1:AG$1,0))*IF(OR(C755="L",C755="S",C755="I"),-1,1)</f>
        <v>0</v>
      </c>
      <c r="AY755" s="598" t="s">
        <v>337</v>
      </c>
      <c r="AZ755" s="598">
        <f>+VLOOKUP($AJ755,Data_Validation!$A:$E,5,0)</f>
        <v>0</v>
      </c>
    </row>
    <row r="756" spans="1:52" ht="15" customHeight="1">
      <c r="A756" s="832" t="s">
        <v>1150</v>
      </c>
      <c r="B756" s="832">
        <v>2026</v>
      </c>
      <c r="C756" s="832" t="s">
        <v>2635</v>
      </c>
      <c r="D756" s="832" t="s">
        <v>2636</v>
      </c>
      <c r="E756" s="832" t="s">
        <v>333</v>
      </c>
      <c r="F756" s="832" t="s">
        <v>2443</v>
      </c>
      <c r="G756" s="832">
        <v>2314.64</v>
      </c>
      <c r="H756" s="832">
        <v>4301.8500000000004</v>
      </c>
      <c r="I756" s="832">
        <v>7263.35</v>
      </c>
      <c r="J756" s="832">
        <v>10598.13</v>
      </c>
      <c r="K756" s="832">
        <v>11554.8</v>
      </c>
      <c r="L756" s="832">
        <v>11554.8</v>
      </c>
      <c r="M756" s="832">
        <v>11554.8</v>
      </c>
      <c r="N756" s="832">
        <v>11554.8</v>
      </c>
      <c r="O756" s="832">
        <v>0</v>
      </c>
      <c r="P756" s="832">
        <v>0</v>
      </c>
      <c r="Q756" s="832">
        <v>0</v>
      </c>
      <c r="R756" s="832">
        <v>0</v>
      </c>
      <c r="S756" s="832">
        <v>1650.69</v>
      </c>
      <c r="T756" s="832">
        <v>1650.69</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H48500</v>
      </c>
      <c r="AK756" s="1030" t="str">
        <f t="shared" si="73"/>
        <v>CT ESSENCE</v>
      </c>
      <c r="AL756" s="1030" t="str">
        <f>IFERROR(INDEX(G756:R756,1,MATCH(Parametres!$B$3,G$1:R$1,0)-1)*IF(OR(F756="L",F756="S",F756="I"),-1,1),"")</f>
        <v/>
      </c>
      <c r="AM756" s="1030">
        <f t="shared" si="68"/>
        <v>2314.64</v>
      </c>
      <c r="AN756" s="1030">
        <f>INDEX(G756:R756,1,MATCH(Parametres!$B$3,G$1:R$1,0))*IF(OR(F756="L",F756="S",F756="I"),-1,1)</f>
        <v>2314.64</v>
      </c>
      <c r="AO756" s="598" t="str">
        <f>+VLOOKUP($AJ756,Data_Validation!$A:$D,1,0)</f>
        <v>H48500</v>
      </c>
      <c r="AP756" s="598" t="str">
        <f>+VLOOKUP($AJ756,Data_Validation!$A:$D,3,0)</f>
        <v>Pièces</v>
      </c>
      <c r="AQ756" s="598" t="str">
        <f>+VLOOKUP($AJ756,Data_Validation!$A:$D,4,0)</f>
        <v>Huiles et Graisse</v>
      </c>
      <c r="AR756" s="598" t="s">
        <v>299</v>
      </c>
      <c r="AS756" s="598">
        <f>+VLOOKUP($AJ756,Data_Validation!$A:$E,5,0)</f>
        <v>0</v>
      </c>
      <c r="AT756" s="1036" t="str">
        <f t="shared" si="69"/>
        <v>H48500</v>
      </c>
      <c r="AU756" s="599" t="str">
        <f t="shared" si="70"/>
        <v>CT ESSENCE</v>
      </c>
      <c r="AV756" s="1030" t="str">
        <f>IFERROR(INDEX(V756:AG756,1,MATCH(Parametres!$B$3,V$1:AG$1,0)-1)*IF(OR(C756="L",C756="S",C756="I"),-1,1),"")</f>
        <v/>
      </c>
      <c r="AW756" s="1030">
        <f t="shared" si="71"/>
        <v>0</v>
      </c>
      <c r="AX756" s="1030">
        <f>INDEX(V756:AG756,1,MATCH(Parametres!$B$3,V$1:AG$1,0))*IF(OR(C756="L",C756="S",C756="I"),-1,1)</f>
        <v>0</v>
      </c>
      <c r="AY756" s="598" t="s">
        <v>337</v>
      </c>
      <c r="AZ756" s="598">
        <f>+VLOOKUP($AJ756,Data_Validation!$A:$E,5,0)</f>
        <v>0</v>
      </c>
    </row>
    <row r="757" spans="1:52" ht="15" customHeight="1">
      <c r="A757" s="832" t="s">
        <v>1150</v>
      </c>
      <c r="B757" s="832">
        <v>2026</v>
      </c>
      <c r="C757" s="832" t="s">
        <v>2637</v>
      </c>
      <c r="D757" s="832" t="s">
        <v>2638</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H49000</v>
      </c>
      <c r="AK757" s="1030" t="str">
        <f t="shared" si="73"/>
        <v>CT OPERATION LOCATION</v>
      </c>
      <c r="AL757" s="1030" t="str">
        <f>IFERROR(INDEX(G757:R757,1,MATCH(Parametres!$B$3,G$1:R$1,0)-1)*IF(OR(F757="L",F757="S",F757="I"),-1,1),"")</f>
        <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H49000</v>
      </c>
      <c r="AU757" s="599" t="str">
        <f t="shared" si="70"/>
        <v>CT OPERATION LOCATION</v>
      </c>
      <c r="AV757" s="1030" t="str">
        <f>IFERROR(INDEX(V757:AG757,1,MATCH(Parametres!$B$3,V$1:AG$1,0)-1)*IF(OR(C757="L",C757="S",C757="I"),-1,1),"")</f>
        <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2026</v>
      </c>
      <c r="C758" s="832" t="s">
        <v>2639</v>
      </c>
      <c r="D758" s="832" t="s">
        <v>2640</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H49100</v>
      </c>
      <c r="AK758" s="1030" t="str">
        <f t="shared" si="73"/>
        <v>FRAIS LOCATION CT &amp; LT</v>
      </c>
      <c r="AL758" s="1030" t="str">
        <f>IFERROR(INDEX(G758:R758,1,MATCH(Parametres!$B$3,G$1:R$1,0)-1)*IF(OR(F758="L",F758="S",F758="I"),-1,1),"")</f>
        <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H49100</v>
      </c>
      <c r="AU758" s="599" t="str">
        <f t="shared" si="70"/>
        <v>FRAIS LOCATION CT &amp; LT</v>
      </c>
      <c r="AV758" s="1030" t="str">
        <f>IFERROR(INDEX(V758:AG758,1,MATCH(Parametres!$B$3,V$1:AG$1,0)-1)*IF(OR(C758="L",C758="S",C758="I"),-1,1),"")</f>
        <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2026</v>
      </c>
      <c r="C759" s="832" t="s">
        <v>2641</v>
      </c>
      <c r="D759" s="832" t="s">
        <v>2432</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H49200</v>
      </c>
      <c r="AK759" s="1030" t="str">
        <f t="shared" si="73"/>
        <v>GAIN/PERTE DISPOSITION</v>
      </c>
      <c r="AL759" s="1030" t="str">
        <f>IFERROR(INDEX(G759:R759,1,MATCH(Parametres!$B$3,G$1:R$1,0)-1)*IF(OR(F759="L",F759="S",F759="I"),-1,1),"")</f>
        <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H49200</v>
      </c>
      <c r="AU759" s="599" t="str">
        <f t="shared" si="70"/>
        <v>GAIN/PERTE DISPOSITION</v>
      </c>
      <c r="AV759" s="1030" t="str">
        <f>IFERROR(INDEX(V759:AG759,1,MATCH(Parametres!$B$3,V$1:AG$1,0)-1)*IF(OR(C759="L",C759="S",C759="I"),-1,1),"")</f>
        <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2026</v>
      </c>
      <c r="C760" s="832" t="s">
        <v>2642</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H49300</v>
      </c>
      <c r="AK760" s="1030" t="str">
        <f t="shared" si="73"/>
        <v>CT AUTRE DEPARTEMENT</v>
      </c>
      <c r="AL760" s="1030" t="str">
        <f>IFERROR(INDEX(G760:R760,1,MATCH(Parametres!$B$3,G$1:R$1,0)-1)*IF(OR(F760="L",F760="S",F760="I"),-1,1),"")</f>
        <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H49300</v>
      </c>
      <c r="AU760" s="599" t="str">
        <f t="shared" si="70"/>
        <v>CT AUTRE DEPARTEMENT</v>
      </c>
      <c r="AV760" s="1030" t="str">
        <f>IFERROR(INDEX(V760:AG760,1,MATCH(Parametres!$B$3,V$1:AG$1,0)-1)*IF(OR(C760="L",C760="S",C760="I"),-1,1),"")</f>
        <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2026</v>
      </c>
      <c r="C761" s="832" t="s">
        <v>2644</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H49400</v>
      </c>
      <c r="AK761" s="1030" t="str">
        <f t="shared" si="73"/>
        <v>CT AUTRE DEPARTEMENT</v>
      </c>
      <c r="AL761" s="1030" t="str">
        <f>IFERROR(INDEX(G761:R761,1,MATCH(Parametres!$B$3,G$1:R$1,0)-1)*IF(OR(F761="L",F761="S",F761="I"),-1,1),"")</f>
        <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H49400</v>
      </c>
      <c r="AU761" s="599" t="str">
        <f t="shared" si="70"/>
        <v>CT AUTRE DEPARTEMENT</v>
      </c>
      <c r="AV761" s="1030" t="str">
        <f>IFERROR(INDEX(V761:AG761,1,MATCH(Parametres!$B$3,V$1:AG$1,0)-1)*IF(OR(C761="L",C761="S",C761="I"),-1,1),"")</f>
        <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2026</v>
      </c>
      <c r="C762" s="832" t="s">
        <v>2645</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H49500</v>
      </c>
      <c r="AK762" s="1030" t="str">
        <f t="shared" si="73"/>
        <v>CT AUTRE DEPARTEMENT</v>
      </c>
      <c r="AL762" s="1030" t="str">
        <f>IFERROR(INDEX(G762:R762,1,MATCH(Parametres!$B$3,G$1:R$1,0)-1)*IF(OR(F762="L",F762="S",F762="I"),-1,1),"")</f>
        <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H49500</v>
      </c>
      <c r="AU762" s="599" t="str">
        <f t="shared" si="70"/>
        <v>CT AUTRE DEPARTEMENT</v>
      </c>
      <c r="AV762" s="1030" t="str">
        <f>IFERROR(INDEX(V762:AG762,1,MATCH(Parametres!$B$3,V$1:AG$1,0)-1)*IF(OR(C762="L",C762="S",C762="I"),-1,1),"")</f>
        <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2026</v>
      </c>
      <c r="C763" s="832" t="s">
        <v>2646</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H49600</v>
      </c>
      <c r="AK763" s="1030" t="str">
        <f t="shared" si="73"/>
        <v>CT AUTRE DEPARTEMENT</v>
      </c>
      <c r="AL763" s="1030" t="str">
        <f>IFERROR(INDEX(G763:R763,1,MATCH(Parametres!$B$3,G$1:R$1,0)-1)*IF(OR(F763="L",F763="S",F763="I"),-1,1),"")</f>
        <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H49600</v>
      </c>
      <c r="AU763" s="599" t="str">
        <f t="shared" si="70"/>
        <v>CT AUTRE DEPARTEMENT</v>
      </c>
      <c r="AV763" s="1030" t="str">
        <f>IFERROR(INDEX(V763:AG763,1,MATCH(Parametres!$B$3,V$1:AG$1,0)-1)*IF(OR(C763="L",C763="S",C763="I"),-1,1),"")</f>
        <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2026</v>
      </c>
      <c r="C764" s="832" t="s">
        <v>2647</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H49700</v>
      </c>
      <c r="AK764" s="1030" t="str">
        <f t="shared" si="73"/>
        <v>CT AUTRE DEPARTEMENT</v>
      </c>
      <c r="AL764" s="1030" t="str">
        <f>IFERROR(INDEX(G764:R764,1,MATCH(Parametres!$B$3,G$1:R$1,0)-1)*IF(OR(F764="L",F764="S",F764="I"),-1,1),"")</f>
        <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H49700</v>
      </c>
      <c r="AU764" s="599" t="str">
        <f t="shared" si="70"/>
        <v>CT AUTRE DEPARTEMENT</v>
      </c>
      <c r="AV764" s="1030" t="str">
        <f>IFERROR(INDEX(V764:AG764,1,MATCH(Parametres!$B$3,V$1:AG$1,0)-1)*IF(OR(C764="L",C764="S",C764="I"),-1,1),"")</f>
        <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2026</v>
      </c>
      <c r="C765" s="832" t="s">
        <v>2648</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H49800</v>
      </c>
      <c r="AK765" s="1030" t="str">
        <f t="shared" si="73"/>
        <v>CT AUTRE DEPARTEMENT</v>
      </c>
      <c r="AL765" s="1030" t="str">
        <f>IFERROR(INDEX(G765:R765,1,MATCH(Parametres!$B$3,G$1:R$1,0)-1)*IF(OR(F765="L",F765="S",F765="I"),-1,1),"")</f>
        <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H49800</v>
      </c>
      <c r="AU765" s="599" t="str">
        <f t="shared" si="70"/>
        <v>CT AUTRE DEPARTEMENT</v>
      </c>
      <c r="AV765" s="1030" t="str">
        <f>IFERROR(INDEX(V765:AG765,1,MATCH(Parametres!$B$3,V$1:AG$1,0)-1)*IF(OR(C765="L",C765="S",C765="I"),-1,1),"")</f>
        <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2026</v>
      </c>
      <c r="C766" s="832" t="s">
        <v>2649</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H49900</v>
      </c>
      <c r="AK766" s="1030" t="str">
        <f t="shared" si="73"/>
        <v>CT AUTRE DEPARTEMENT</v>
      </c>
      <c r="AL766" s="1030" t="str">
        <f>IFERROR(INDEX(G766:R766,1,MATCH(Parametres!$B$3,G$1:R$1,0)-1)*IF(OR(F766="L",F766="S",F766="I"),-1,1),"")</f>
        <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H49900</v>
      </c>
      <c r="AU766" s="599" t="str">
        <f t="shared" si="70"/>
        <v>CT AUTRE DEPARTEMENT</v>
      </c>
      <c r="AV766" s="1030" t="str">
        <f>IFERROR(INDEX(V766:AG766,1,MATCH(Parametres!$B$3,V$1:AG$1,0)-1)*IF(OR(C766="L",C766="S",C766="I"),-1,1),"")</f>
        <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2026</v>
      </c>
      <c r="C767" s="832" t="s">
        <v>2650</v>
      </c>
      <c r="D767" s="832" t="s">
        <v>2651</v>
      </c>
      <c r="E767" s="832" t="s">
        <v>333</v>
      </c>
      <c r="F767" s="832" t="s">
        <v>1119</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30" t="str">
        <f t="shared" si="72"/>
        <v>H50100</v>
      </c>
      <c r="AK767" s="1030" t="str">
        <f t="shared" si="73"/>
        <v>SALAIRE - PROPRIETAIRE</v>
      </c>
      <c r="AL767" s="1030" t="str">
        <f>IFERROR(INDEX(G767:R767,1,MATCH(Parametres!$B$3,G$1:R$1,0)-1)*IF(OR(F767="L",F767="S",F767="I"),-1,1),"")</f>
        <v/>
      </c>
      <c r="AM767" s="1030">
        <f t="shared" si="68"/>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t="str">
        <f t="shared" si="69"/>
        <v>H50100</v>
      </c>
      <c r="AU767" s="599" t="str">
        <f t="shared" si="70"/>
        <v>SALAIRE - PROPRIETAIRE</v>
      </c>
      <c r="AV767" s="1030" t="str">
        <f>IFERROR(INDEX(V767:AG767,1,MATCH(Parametres!$B$3,V$1:AG$1,0)-1)*IF(OR(C767="L",C767="S",C767="I"),-1,1),"")</f>
        <v/>
      </c>
      <c r="AW767" s="1030">
        <f t="shared" si="71"/>
        <v>0</v>
      </c>
      <c r="AX767" s="1030">
        <f>INDEX(V767:AG767,1,MATCH(Parametres!$B$3,V$1:AG$1,0))*IF(OR(C767="L",C767="S",C767="I"),-1,1)</f>
        <v>0</v>
      </c>
      <c r="AY767" s="598" t="s">
        <v>337</v>
      </c>
      <c r="AZ767" s="598" t="e">
        <f>+VLOOKUP($AJ767,Data_Validation!$A:$E,5,0)</f>
        <v>#N/A</v>
      </c>
    </row>
    <row r="768" spans="1:52" ht="15" customHeight="1">
      <c r="A768" s="832" t="s">
        <v>1150</v>
      </c>
      <c r="B768" s="832">
        <v>2026</v>
      </c>
      <c r="C768" s="832" t="s">
        <v>2652</v>
      </c>
      <c r="D768" s="832" t="s">
        <v>2653</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H60100</v>
      </c>
      <c r="AK768" s="1030" t="str">
        <f t="shared" si="73"/>
        <v>ESC COMPTANTS REALISES</v>
      </c>
      <c r="AL768" s="1030" t="str">
        <f>IFERROR(INDEX(G768:R768,1,MATCH(Parametres!$B$3,G$1:R$1,0)-1)*IF(OR(F768="L",F768="S",F768="I"),-1,1),"")</f>
        <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H60100</v>
      </c>
      <c r="AU768" s="599" t="str">
        <f t="shared" si="70"/>
        <v>ESC COMPTANTS REALISES</v>
      </c>
      <c r="AV768" s="1030" t="str">
        <f>IFERROR(INDEX(V768:AG768,1,MATCH(Parametres!$B$3,V$1:AG$1,0)-1)*IF(OR(C768="L",C768="S",C768="I"),-1,1),"")</f>
        <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2026</v>
      </c>
      <c r="C769" s="832" t="s">
        <v>2654</v>
      </c>
      <c r="D769" s="832" t="s">
        <v>2655</v>
      </c>
      <c r="E769" s="832" t="s">
        <v>333</v>
      </c>
      <c r="F769" s="832" t="s">
        <v>2321</v>
      </c>
      <c r="G769" s="832">
        <v>10998.63</v>
      </c>
      <c r="H769" s="832">
        <v>17384.240000000002</v>
      </c>
      <c r="I769" s="832">
        <v>20526.71</v>
      </c>
      <c r="J769" s="832">
        <v>23567.81</v>
      </c>
      <c r="K769" s="832">
        <v>23567.81</v>
      </c>
      <c r="L769" s="832">
        <v>23567.81</v>
      </c>
      <c r="M769" s="832">
        <v>23567.81</v>
      </c>
      <c r="N769" s="832">
        <v>23567.81</v>
      </c>
      <c r="O769" s="832">
        <v>0</v>
      </c>
      <c r="P769" s="832">
        <v>0</v>
      </c>
      <c r="Q769" s="832">
        <v>0</v>
      </c>
      <c r="R769" s="832">
        <v>0</v>
      </c>
      <c r="S769" s="832">
        <v>3366.83</v>
      </c>
      <c r="T769" s="832">
        <v>3366.83</v>
      </c>
      <c r="U769" s="832">
        <v>0</v>
      </c>
      <c r="V769" s="832">
        <v>1</v>
      </c>
      <c r="W769" s="832">
        <v>1</v>
      </c>
      <c r="X769" s="832">
        <v>2</v>
      </c>
      <c r="Y769" s="832">
        <v>3</v>
      </c>
      <c r="Z769" s="832">
        <v>3</v>
      </c>
      <c r="AA769" s="832">
        <v>3</v>
      </c>
      <c r="AB769" s="832">
        <v>3</v>
      </c>
      <c r="AC769" s="832">
        <v>3</v>
      </c>
      <c r="AD769" s="832">
        <v>0</v>
      </c>
      <c r="AE769" s="832">
        <v>0</v>
      </c>
      <c r="AF769" s="832">
        <v>0</v>
      </c>
      <c r="AG769" s="832">
        <v>0</v>
      </c>
      <c r="AH769" s="832">
        <v>0</v>
      </c>
      <c r="AI769" s="832">
        <v>0</v>
      </c>
      <c r="AJ769" s="1030" t="str">
        <f t="shared" si="72"/>
        <v>H60200</v>
      </c>
      <c r="AK769" s="1030" t="str">
        <f t="shared" si="73"/>
        <v>INTERETS CREDITEURS</v>
      </c>
      <c r="AL769" s="1030" t="str">
        <f>IFERROR(INDEX(G769:R769,1,MATCH(Parametres!$B$3,G$1:R$1,0)-1)*IF(OR(F769="L",F769="S",F769="I"),-1,1),"")</f>
        <v/>
      </c>
      <c r="AM769" s="1030">
        <f t="shared" si="68"/>
        <v>-10998.63</v>
      </c>
      <c r="AN769" s="1030">
        <f>INDEX(G769:R769,1,MATCH(Parametres!$B$3,G$1:R$1,0))*IF(OR(F769="L",F769="S",F769="I"),-1,1)</f>
        <v>-10998.63</v>
      </c>
      <c r="AO769" s="598" t="str">
        <f>+VLOOKUP($AJ769,Data_Validation!$A:$D,1,0)</f>
        <v>H60200</v>
      </c>
      <c r="AP769" s="598" t="str">
        <f>+VLOOKUP($AJ769,Data_Validation!$A:$D,3,0)</f>
        <v>Autres</v>
      </c>
      <c r="AQ769" s="598" t="str">
        <f>+VLOOKUP($AJ769,Data_Validation!$A:$D,4,0)</f>
        <v>Revenus d'intérêts Floor plan</v>
      </c>
      <c r="AR769" s="598" t="s">
        <v>299</v>
      </c>
      <c r="AS769" s="598">
        <f>+VLOOKUP($AJ769,Data_Validation!$A:$E,5,0)</f>
        <v>0</v>
      </c>
      <c r="AT769" s="1036" t="str">
        <f t="shared" si="69"/>
        <v>H60200</v>
      </c>
      <c r="AU769" s="599" t="str">
        <f t="shared" si="70"/>
        <v>INTERETS CREDITEURS</v>
      </c>
      <c r="AV769" s="1030" t="str">
        <f>IFERROR(INDEX(V769:AG769,1,MATCH(Parametres!$B$3,V$1:AG$1,0)-1)*IF(OR(C769="L",C769="S",C769="I"),-1,1),"")</f>
        <v/>
      </c>
      <c r="AW769" s="1030">
        <f t="shared" si="71"/>
        <v>1</v>
      </c>
      <c r="AX769" s="1030">
        <f>INDEX(V769:AG769,1,MATCH(Parametres!$B$3,V$1:AG$1,0))*IF(OR(C769="L",C769="S",C769="I"),-1,1)</f>
        <v>1</v>
      </c>
      <c r="AY769" s="598" t="s">
        <v>337</v>
      </c>
      <c r="AZ769" s="598">
        <f>+VLOOKUP($AJ769,Data_Validation!$A:$E,5,0)</f>
        <v>0</v>
      </c>
    </row>
    <row r="770" spans="1:52" ht="15" customHeight="1">
      <c r="A770" s="832" t="s">
        <v>1150</v>
      </c>
      <c r="B770" s="832">
        <v>2026</v>
      </c>
      <c r="C770" s="832" t="s">
        <v>2656</v>
      </c>
      <c r="D770" s="832" t="s">
        <v>2657</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H60400</v>
      </c>
      <c r="AK770" s="1030" t="str">
        <f t="shared" si="73"/>
        <v>MAUVAISES CREANCES RECOUV</v>
      </c>
      <c r="AL770" s="1030" t="str">
        <f>IFERROR(INDEX(G770:R770,1,MATCH(Parametres!$B$3,G$1:R$1,0)-1)*IF(OR(F770="L",F770="S",F770="I"),-1,1),"")</f>
        <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H60400</v>
      </c>
      <c r="AU770" s="599" t="str">
        <f t="shared" si="70"/>
        <v>MAUVAISES CREANCES RECOUV</v>
      </c>
      <c r="AV770" s="1030" t="str">
        <f>IFERROR(INDEX(V770:AG770,1,MATCH(Parametres!$B$3,V$1:AG$1,0)-1)*IF(OR(C770="L",C770="S",C770="I"),-1,1),"")</f>
        <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2026</v>
      </c>
      <c r="C771" s="832" t="s">
        <v>2658</v>
      </c>
      <c r="D771" s="832" t="s">
        <v>2659</v>
      </c>
      <c r="E771" s="832" t="s">
        <v>333</v>
      </c>
      <c r="F771" s="832" t="s">
        <v>2321</v>
      </c>
      <c r="G771" s="832">
        <v>43402</v>
      </c>
      <c r="H771" s="832">
        <v>100452</v>
      </c>
      <c r="I771" s="832">
        <v>203986</v>
      </c>
      <c r="J771" s="832">
        <v>291282</v>
      </c>
      <c r="K771" s="832">
        <v>337038</v>
      </c>
      <c r="L771" s="832">
        <v>337038</v>
      </c>
      <c r="M771" s="832">
        <v>337038</v>
      </c>
      <c r="N771" s="832">
        <v>337038</v>
      </c>
      <c r="O771" s="832">
        <v>0</v>
      </c>
      <c r="P771" s="832">
        <v>0</v>
      </c>
      <c r="Q771" s="832">
        <v>0</v>
      </c>
      <c r="R771" s="832">
        <v>0</v>
      </c>
      <c r="S771" s="832">
        <v>48148.29</v>
      </c>
      <c r="T771" s="832">
        <v>48148.29</v>
      </c>
      <c r="U771" s="832">
        <v>0</v>
      </c>
      <c r="V771" s="832">
        <v>43</v>
      </c>
      <c r="W771" s="832">
        <v>91</v>
      </c>
      <c r="X771" s="832">
        <v>180</v>
      </c>
      <c r="Y771" s="832">
        <v>234</v>
      </c>
      <c r="Z771" s="832">
        <v>274</v>
      </c>
      <c r="AA771" s="832">
        <v>274</v>
      </c>
      <c r="AB771" s="832">
        <v>274</v>
      </c>
      <c r="AC771" s="832">
        <v>274</v>
      </c>
      <c r="AD771" s="832">
        <v>0</v>
      </c>
      <c r="AE771" s="832">
        <v>0</v>
      </c>
      <c r="AF771" s="832">
        <v>0</v>
      </c>
      <c r="AG771" s="832">
        <v>0</v>
      </c>
      <c r="AH771" s="832">
        <v>39</v>
      </c>
      <c r="AI771" s="832">
        <v>39</v>
      </c>
      <c r="AJ771" s="1030" t="str">
        <f t="shared" si="72"/>
        <v>H60500</v>
      </c>
      <c r="AK771" s="1030" t="str">
        <f t="shared" si="73"/>
        <v>HOLD BACK</v>
      </c>
      <c r="AL771" s="1030" t="str">
        <f>IFERROR(INDEX(G771:R771,1,MATCH(Parametres!$B$3,G$1:R$1,0)-1)*IF(OR(F771="L",F771="S",F771="I"),-1,1),"")</f>
        <v/>
      </c>
      <c r="AM771" s="1030">
        <f t="shared" si="68"/>
        <v>-43402</v>
      </c>
      <c r="AN771" s="1030">
        <f>INDEX(G771:R771,1,MATCH(Parametres!$B$3,G$1:R$1,0))*IF(OR(F771="L",F771="S",F771="I"),-1,1)</f>
        <v>-43402</v>
      </c>
      <c r="AO771" s="598" t="str">
        <f>+VLOOKUP($AJ771,Data_Validation!$A:$D,1,0)</f>
        <v>H60500</v>
      </c>
      <c r="AP771" s="598" t="str">
        <f>+VLOOKUP($AJ771,Data_Validation!$A:$D,3,0)</f>
        <v>Véhicules neufs</v>
      </c>
      <c r="AQ771" s="598" t="str">
        <f>+VLOOKUP($AJ771,Data_Validation!$A:$D,4,0)</f>
        <v>Holdbacks</v>
      </c>
      <c r="AR771" s="598" t="s">
        <v>299</v>
      </c>
      <c r="AS771" s="598">
        <f>+VLOOKUP($AJ771,Data_Validation!$A:$E,5,0)</f>
        <v>0</v>
      </c>
      <c r="AT771" s="1036" t="str">
        <f t="shared" si="69"/>
        <v>H60500</v>
      </c>
      <c r="AU771" s="599" t="str">
        <f t="shared" si="70"/>
        <v>HOLD BACK</v>
      </c>
      <c r="AV771" s="1030" t="str">
        <f>IFERROR(INDEX(V771:AG771,1,MATCH(Parametres!$B$3,V$1:AG$1,0)-1)*IF(OR(C771="L",C771="S",C771="I"),-1,1),"")</f>
        <v/>
      </c>
      <c r="AW771" s="1030">
        <f t="shared" si="71"/>
        <v>43</v>
      </c>
      <c r="AX771" s="1030">
        <f>INDEX(V771:AG771,1,MATCH(Parametres!$B$3,V$1:AG$1,0))*IF(OR(C771="L",C771="S",C771="I"),-1,1)</f>
        <v>43</v>
      </c>
      <c r="AY771" s="598" t="s">
        <v>337</v>
      </c>
      <c r="AZ771" s="598">
        <f>+VLOOKUP($AJ771,Data_Validation!$A:$E,5,0)</f>
        <v>0</v>
      </c>
    </row>
    <row r="772" spans="1:52" ht="15" customHeight="1">
      <c r="A772" s="832" t="s">
        <v>1150</v>
      </c>
      <c r="B772" s="832">
        <v>2026</v>
      </c>
      <c r="C772" s="832" t="s">
        <v>2660</v>
      </c>
      <c r="D772" s="832" t="s">
        <v>2661</v>
      </c>
      <c r="E772" s="832" t="s">
        <v>333</v>
      </c>
      <c r="F772" s="832" t="s">
        <v>2321</v>
      </c>
      <c r="G772" s="832">
        <v>0</v>
      </c>
      <c r="H772" s="832">
        <v>0</v>
      </c>
      <c r="I772" s="832">
        <v>0</v>
      </c>
      <c r="J772" s="832">
        <v>0</v>
      </c>
      <c r="K772" s="832">
        <v>0</v>
      </c>
      <c r="L772" s="832">
        <v>0</v>
      </c>
      <c r="M772" s="832">
        <v>0</v>
      </c>
      <c r="N772" s="832">
        <v>0</v>
      </c>
      <c r="O772" s="832">
        <v>0</v>
      </c>
      <c r="P772" s="832">
        <v>0</v>
      </c>
      <c r="Q772" s="832">
        <v>0</v>
      </c>
      <c r="R772" s="832">
        <v>0</v>
      </c>
      <c r="S772" s="832">
        <v>0</v>
      </c>
      <c r="T772" s="832">
        <v>0</v>
      </c>
      <c r="U772" s="832">
        <v>0</v>
      </c>
      <c r="V772" s="832">
        <v>0</v>
      </c>
      <c r="W772" s="832">
        <v>0</v>
      </c>
      <c r="X772" s="832">
        <v>0</v>
      </c>
      <c r="Y772" s="832">
        <v>0</v>
      </c>
      <c r="Z772" s="832">
        <v>0</v>
      </c>
      <c r="AA772" s="832">
        <v>0</v>
      </c>
      <c r="AB772" s="832">
        <v>0</v>
      </c>
      <c r="AC772" s="832">
        <v>0</v>
      </c>
      <c r="AD772" s="832">
        <v>0</v>
      </c>
      <c r="AE772" s="832">
        <v>0</v>
      </c>
      <c r="AF772" s="832">
        <v>0</v>
      </c>
      <c r="AG772" s="832">
        <v>0</v>
      </c>
      <c r="AH772" s="832">
        <v>0</v>
      </c>
      <c r="AI772" s="832">
        <v>0</v>
      </c>
      <c r="AJ772" s="1030" t="str">
        <f t="shared" si="72"/>
        <v>H60600</v>
      </c>
      <c r="AK772" s="1030" t="str">
        <f t="shared" si="73"/>
        <v>COMMISSION - TAXE VENTES</v>
      </c>
      <c r="AL772" s="1030" t="str">
        <f>IFERROR(INDEX(G772:R772,1,MATCH(Parametres!$B$3,G$1:R$1,0)-1)*IF(OR(F772="L",F772="S",F772="I"),-1,1),"")</f>
        <v/>
      </c>
      <c r="AM772" s="1030">
        <f t="shared" ref="AM772:AM794" si="74">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t="str">
        <f t="shared" ref="AT772:AT794" si="75">C772</f>
        <v>H60600</v>
      </c>
      <c r="AU772" s="599" t="str">
        <f t="shared" ref="AU772:AU794" si="76">D772</f>
        <v>COMMISSION - TAXE VENTES</v>
      </c>
      <c r="AV772" s="1030" t="str">
        <f>IFERROR(INDEX(V772:AG772,1,MATCH(Parametres!$B$3,V$1:AG$1,0)-1)*IF(OR(C772="L",C772="S",C772="I"),-1,1),"")</f>
        <v/>
      </c>
      <c r="AW772" s="1030">
        <f t="shared" ref="AW772:AW794" si="77">AX772-N(AV772)</f>
        <v>0</v>
      </c>
      <c r="AX772" s="1030">
        <f>INDEX(V772:AG772,1,MATCH(Parametres!$B$3,V$1:AG$1,0))*IF(OR(C772="L",C772="S",C772="I"),-1,1)</f>
        <v>0</v>
      </c>
      <c r="AY772" s="598" t="s">
        <v>337</v>
      </c>
      <c r="AZ772" s="598" t="e">
        <f>+VLOOKUP($AJ772,Data_Validation!$A:$E,5,0)</f>
        <v>#N/A</v>
      </c>
    </row>
    <row r="773" spans="1:52" ht="15" customHeight="1">
      <c r="A773" s="832" t="s">
        <v>1150</v>
      </c>
      <c r="B773" s="832">
        <v>2026</v>
      </c>
      <c r="C773" s="832" t="s">
        <v>2662</v>
      </c>
      <c r="D773" s="832" t="s">
        <v>2663</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30" t="str">
        <f t="shared" si="72"/>
        <v>H60700</v>
      </c>
      <c r="AK773" s="1030" t="str">
        <f t="shared" si="73"/>
        <v>REVENU DE LOCATION CL LT</v>
      </c>
      <c r="AL773" s="1030" t="str">
        <f>IFERROR(INDEX(G773:R773,1,MATCH(Parametres!$B$3,G$1:R$1,0)-1)*IF(OR(F773="L",F773="S",F773="I"),-1,1),"")</f>
        <v/>
      </c>
      <c r="AM773" s="1030">
        <f t="shared" si="74"/>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t="str">
        <f t="shared" si="75"/>
        <v>H60700</v>
      </c>
      <c r="AU773" s="599" t="str">
        <f t="shared" si="76"/>
        <v>REVENU DE LOCATION CL LT</v>
      </c>
      <c r="AV773" s="1030" t="str">
        <f>IFERROR(INDEX(V773:AG773,1,MATCH(Parametres!$B$3,V$1:AG$1,0)-1)*IF(OR(C773="L",C773="S",C773="I"),-1,1),"")</f>
        <v/>
      </c>
      <c r="AW773" s="1030">
        <f t="shared" si="77"/>
        <v>0</v>
      </c>
      <c r="AX773" s="1030">
        <f>INDEX(V773:AG773,1,MATCH(Parametres!$B$3,V$1:AG$1,0))*IF(OR(C773="L",C773="S",C773="I"),-1,1)</f>
        <v>0</v>
      </c>
      <c r="AY773" s="598" t="s">
        <v>337</v>
      </c>
      <c r="AZ773" s="598" t="e">
        <f>+VLOOKUP($AJ773,Data_Validation!$A:$E,5,0)</f>
        <v>#N/A</v>
      </c>
    </row>
    <row r="774" spans="1:52" ht="15" customHeight="1">
      <c r="A774" s="832" t="s">
        <v>1150</v>
      </c>
      <c r="B774" s="832">
        <v>2026</v>
      </c>
      <c r="C774" s="832" t="s">
        <v>2664</v>
      </c>
      <c r="D774" s="832" t="s">
        <v>2665</v>
      </c>
      <c r="E774" s="832" t="s">
        <v>333</v>
      </c>
      <c r="F774" s="832" t="s">
        <v>2321</v>
      </c>
      <c r="G774" s="832">
        <v>7200</v>
      </c>
      <c r="H774" s="832">
        <v>28200</v>
      </c>
      <c r="I774" s="832">
        <v>57250</v>
      </c>
      <c r="J774" s="832">
        <v>70300</v>
      </c>
      <c r="K774" s="832">
        <v>70300</v>
      </c>
      <c r="L774" s="832">
        <v>70300</v>
      </c>
      <c r="M774" s="832">
        <v>70300</v>
      </c>
      <c r="N774" s="832">
        <v>70300</v>
      </c>
      <c r="O774" s="832">
        <v>0</v>
      </c>
      <c r="P774" s="832">
        <v>0</v>
      </c>
      <c r="Q774" s="832">
        <v>0</v>
      </c>
      <c r="R774" s="832">
        <v>0</v>
      </c>
      <c r="S774" s="832">
        <v>10042.86</v>
      </c>
      <c r="T774" s="832">
        <v>10042.86</v>
      </c>
      <c r="U774" s="832">
        <v>0</v>
      </c>
      <c r="V774" s="832">
        <v>1</v>
      </c>
      <c r="W774" s="832">
        <v>2</v>
      </c>
      <c r="X774" s="832">
        <v>3</v>
      </c>
      <c r="Y774" s="832">
        <v>4</v>
      </c>
      <c r="Z774" s="832">
        <v>4</v>
      </c>
      <c r="AA774" s="832">
        <v>4</v>
      </c>
      <c r="AB774" s="832">
        <v>4</v>
      </c>
      <c r="AC774" s="832">
        <v>4</v>
      </c>
      <c r="AD774" s="832">
        <v>0</v>
      </c>
      <c r="AE774" s="832">
        <v>0</v>
      </c>
      <c r="AF774" s="832">
        <v>0</v>
      </c>
      <c r="AG774" s="832">
        <v>0</v>
      </c>
      <c r="AH774" s="832">
        <v>1</v>
      </c>
      <c r="AI774" s="832">
        <v>1</v>
      </c>
      <c r="AJ774" s="1030" t="str">
        <f t="shared" si="72"/>
        <v>H60900</v>
      </c>
      <c r="AK774" s="1030" t="str">
        <f t="shared" si="73"/>
        <v>RECOMPENSE ISC</v>
      </c>
      <c r="AL774" s="1030" t="str">
        <f>IFERROR(INDEX(G774:R774,1,MATCH(Parametres!$B$3,G$1:R$1,0)-1)*IF(OR(F774="L",F774="S",F774="I"),-1,1),"")</f>
        <v/>
      </c>
      <c r="AM774" s="1030">
        <f t="shared" si="74"/>
        <v>-7200</v>
      </c>
      <c r="AN774" s="1030">
        <f>INDEX(G774:R774,1,MATCH(Parametres!$B$3,G$1:R$1,0))*IF(OR(F774="L",F774="S",F774="I"),-1,1)</f>
        <v>-7200</v>
      </c>
      <c r="AO774" s="598" t="str">
        <f>+VLOOKUP($AJ774,Data_Validation!$A:$D,1,0)</f>
        <v>H60900</v>
      </c>
      <c r="AP774" s="598" t="str">
        <f>+VLOOKUP($AJ774,Data_Validation!$A:$D,3,0)</f>
        <v>Autres</v>
      </c>
      <c r="AQ774" s="598" t="str">
        <f>+VLOOKUP($AJ774,Data_Validation!$A:$D,4,0)</f>
        <v>Revenus autres</v>
      </c>
      <c r="AR774" s="598" t="s">
        <v>299</v>
      </c>
      <c r="AS774" s="598">
        <f>+VLOOKUP($AJ774,Data_Validation!$A:$E,5,0)</f>
        <v>0</v>
      </c>
      <c r="AT774" s="1036" t="str">
        <f t="shared" si="75"/>
        <v>H60900</v>
      </c>
      <c r="AU774" s="599" t="str">
        <f t="shared" si="76"/>
        <v>RECOMPENSE ISC</v>
      </c>
      <c r="AV774" s="1030" t="str">
        <f>IFERROR(INDEX(V774:AG774,1,MATCH(Parametres!$B$3,V$1:AG$1,0)-1)*IF(OR(C774="L",C774="S",C774="I"),-1,1),"")</f>
        <v/>
      </c>
      <c r="AW774" s="1030">
        <f t="shared" si="77"/>
        <v>1</v>
      </c>
      <c r="AX774" s="1030">
        <f>INDEX(V774:AG774,1,MATCH(Parametres!$B$3,V$1:AG$1,0))*IF(OR(C774="L",C774="S",C774="I"),-1,1)</f>
        <v>1</v>
      </c>
      <c r="AY774" s="598" t="s">
        <v>337</v>
      </c>
      <c r="AZ774" s="598">
        <f>+VLOOKUP($AJ774,Data_Validation!$A:$E,5,0)</f>
        <v>0</v>
      </c>
    </row>
    <row r="775" spans="1:52" ht="15" customHeight="1">
      <c r="A775" s="832" t="s">
        <v>1150</v>
      </c>
      <c r="B775" s="832">
        <v>2026</v>
      </c>
      <c r="C775" s="832" t="s">
        <v>2666</v>
      </c>
      <c r="D775" s="832" t="s">
        <v>2667</v>
      </c>
      <c r="E775" s="832" t="s">
        <v>333</v>
      </c>
      <c r="F775" s="832" t="s">
        <v>2321</v>
      </c>
      <c r="G775" s="832">
        <v>41726.410000000003</v>
      </c>
      <c r="H775" s="832">
        <v>48132.91</v>
      </c>
      <c r="I775" s="832">
        <v>48653.18</v>
      </c>
      <c r="J775" s="832">
        <v>64608.18</v>
      </c>
      <c r="K775" s="832">
        <v>64608.18</v>
      </c>
      <c r="L775" s="832">
        <v>64608.18</v>
      </c>
      <c r="M775" s="832">
        <v>64608.18</v>
      </c>
      <c r="N775" s="832">
        <v>64608.18</v>
      </c>
      <c r="O775" s="832">
        <v>0</v>
      </c>
      <c r="P775" s="832">
        <v>0</v>
      </c>
      <c r="Q775" s="832">
        <v>0</v>
      </c>
      <c r="R775" s="832">
        <v>0</v>
      </c>
      <c r="S775" s="832">
        <v>9229.74</v>
      </c>
      <c r="T775" s="832">
        <v>9229.74</v>
      </c>
      <c r="U775" s="832">
        <v>0</v>
      </c>
      <c r="V775" s="832">
        <v>5</v>
      </c>
      <c r="W775" s="832">
        <v>8</v>
      </c>
      <c r="X775" s="832">
        <v>7</v>
      </c>
      <c r="Y775" s="832">
        <v>11</v>
      </c>
      <c r="Z775" s="832">
        <v>11</v>
      </c>
      <c r="AA775" s="832">
        <v>11</v>
      </c>
      <c r="AB775" s="832">
        <v>11</v>
      </c>
      <c r="AC775" s="832">
        <v>11</v>
      </c>
      <c r="AD775" s="832">
        <v>0</v>
      </c>
      <c r="AE775" s="832">
        <v>0</v>
      </c>
      <c r="AF775" s="832">
        <v>0</v>
      </c>
      <c r="AG775" s="832">
        <v>0</v>
      </c>
      <c r="AH775" s="832">
        <v>2</v>
      </c>
      <c r="AI775" s="832">
        <v>2</v>
      </c>
      <c r="AJ775" s="1030" t="str">
        <f t="shared" si="72"/>
        <v>H61000</v>
      </c>
      <c r="AK775" s="1030" t="str">
        <f t="shared" si="73"/>
        <v>RECETTES DIVERSES</v>
      </c>
      <c r="AL775" s="1030" t="str">
        <f>IFERROR(INDEX(G775:R775,1,MATCH(Parametres!$B$3,G$1:R$1,0)-1)*IF(OR(F775="L",F775="S",F775="I"),-1,1),"")</f>
        <v/>
      </c>
      <c r="AM775" s="1030">
        <f t="shared" si="74"/>
        <v>-41726.410000000003</v>
      </c>
      <c r="AN775" s="1030">
        <f>INDEX(G775:R775,1,MATCH(Parametres!$B$3,G$1:R$1,0))*IF(OR(F775="L",F775="S",F775="I"),-1,1)</f>
        <v>-41726.410000000003</v>
      </c>
      <c r="AO775" s="598" t="str">
        <f>+VLOOKUP($AJ775,Data_Validation!$A:$D,1,0)</f>
        <v>H61000</v>
      </c>
      <c r="AP775" s="598" t="str">
        <f>+VLOOKUP($AJ775,Data_Validation!$A:$D,3,0)</f>
        <v>Autres</v>
      </c>
      <c r="AQ775" s="598" t="str">
        <f>+VLOOKUP($AJ775,Data_Validation!$A:$D,4,0)</f>
        <v>Revenus autres</v>
      </c>
      <c r="AR775" s="598" t="s">
        <v>299</v>
      </c>
      <c r="AS775" s="598">
        <f>+VLOOKUP($AJ775,Data_Validation!$A:$E,5,0)</f>
        <v>0</v>
      </c>
      <c r="AT775" s="1036" t="str">
        <f t="shared" si="75"/>
        <v>H61000</v>
      </c>
      <c r="AU775" s="599" t="str">
        <f t="shared" si="76"/>
        <v>RECETTES DIVERSES</v>
      </c>
      <c r="AV775" s="1030" t="str">
        <f>IFERROR(INDEX(V775:AG775,1,MATCH(Parametres!$B$3,V$1:AG$1,0)-1)*IF(OR(C775="L",C775="S",C775="I"),-1,1),"")</f>
        <v/>
      </c>
      <c r="AW775" s="1030">
        <f t="shared" si="77"/>
        <v>5</v>
      </c>
      <c r="AX775" s="1030">
        <f>INDEX(V775:AG775,1,MATCH(Parametres!$B$3,V$1:AG$1,0))*IF(OR(C775="L",C775="S",C775="I"),-1,1)</f>
        <v>5</v>
      </c>
      <c r="AY775" s="598" t="s">
        <v>337</v>
      </c>
      <c r="AZ775" s="598">
        <f>+VLOOKUP($AJ775,Data_Validation!$A:$E,5,0)</f>
        <v>0</v>
      </c>
    </row>
    <row r="776" spans="1:52" ht="15" customHeight="1">
      <c r="A776" s="832" t="s">
        <v>1150</v>
      </c>
      <c r="B776" s="832">
        <v>2026</v>
      </c>
      <c r="C776" s="832" t="s">
        <v>2668</v>
      </c>
      <c r="D776" s="832" t="s">
        <v>2669</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H61100</v>
      </c>
      <c r="AK776" s="1030" t="str">
        <f t="shared" si="73"/>
        <v>AMORT DES ACTIFS INCORPOR</v>
      </c>
      <c r="AL776" s="1030" t="str">
        <f>IFERROR(INDEX(G776:R776,1,MATCH(Parametres!$B$3,G$1:R$1,0)-1)*IF(OR(F776="L",F776="S",F776="I"),-1,1),"")</f>
        <v/>
      </c>
      <c r="AM776" s="1030">
        <f t="shared" si="74"/>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t="str">
        <f t="shared" si="75"/>
        <v>H61100</v>
      </c>
      <c r="AU776" s="599" t="str">
        <f t="shared" si="76"/>
        <v>AMORT DES ACTIFS INCORPOR</v>
      </c>
      <c r="AV776" s="1030" t="str">
        <f>IFERROR(INDEX(V776:AG776,1,MATCH(Parametres!$B$3,V$1:AG$1,0)-1)*IF(OR(C776="L",C776="S",C776="I"),-1,1),"")</f>
        <v/>
      </c>
      <c r="AW776" s="1030">
        <f t="shared" si="77"/>
        <v>0</v>
      </c>
      <c r="AX776" s="1030">
        <f>INDEX(V776:AG776,1,MATCH(Parametres!$B$3,V$1:AG$1,0))*IF(OR(C776="L",C776="S",C776="I"),-1,1)</f>
        <v>0</v>
      </c>
      <c r="AY776" s="598" t="s">
        <v>337</v>
      </c>
      <c r="AZ776" s="598" t="e">
        <f>+VLOOKUP($AJ776,Data_Validation!$A:$E,5,0)</f>
        <v>#N/A</v>
      </c>
    </row>
    <row r="777" spans="1:52" ht="15" customHeight="1">
      <c r="A777" s="832" t="s">
        <v>1150</v>
      </c>
      <c r="B777" s="832">
        <v>2026</v>
      </c>
      <c r="C777" s="832" t="s">
        <v>2670</v>
      </c>
      <c r="D777" s="832" t="s">
        <v>2671</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H61800</v>
      </c>
      <c r="AK777" s="1030" t="str">
        <f t="shared" si="73"/>
        <v>GENESIS RX SUPPORT</v>
      </c>
      <c r="AL777" s="1030" t="str">
        <f>IFERROR(INDEX(G777:R777,1,MATCH(Parametres!$B$3,G$1:R$1,0)-1)*IF(OR(F777="L",F777="S",F777="I"),-1,1),"")</f>
        <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H61800</v>
      </c>
      <c r="AU777" s="599" t="str">
        <f t="shared" si="76"/>
        <v>GENESIS RX SUPPORT</v>
      </c>
      <c r="AV777" s="1030" t="str">
        <f>IFERROR(INDEX(V777:AG777,1,MATCH(Parametres!$B$3,V$1:AG$1,0)-1)*IF(OR(C777="L",C777="S",C777="I"),-1,1),"")</f>
        <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2026</v>
      </c>
      <c r="C778" s="832" t="s">
        <v>2672</v>
      </c>
      <c r="D778" s="832" t="s">
        <v>2673</v>
      </c>
      <c r="E778" s="832" t="s">
        <v>333</v>
      </c>
      <c r="F778" s="832" t="s">
        <v>1119</v>
      </c>
      <c r="G778" s="832">
        <v>3934.36</v>
      </c>
      <c r="H778" s="832">
        <v>8944.4599999999991</v>
      </c>
      <c r="I778" s="832">
        <v>15238.92</v>
      </c>
      <c r="J778" s="832">
        <v>23167.96</v>
      </c>
      <c r="K778" s="832">
        <v>23175.43</v>
      </c>
      <c r="L778" s="832">
        <v>23175.43</v>
      </c>
      <c r="M778" s="832">
        <v>23175.43</v>
      </c>
      <c r="N778" s="832">
        <v>23175.43</v>
      </c>
      <c r="O778" s="832">
        <v>0</v>
      </c>
      <c r="P778" s="832">
        <v>0</v>
      </c>
      <c r="Q778" s="832">
        <v>0</v>
      </c>
      <c r="R778" s="832">
        <v>0</v>
      </c>
      <c r="S778" s="832">
        <v>3310.78</v>
      </c>
      <c r="T778" s="832">
        <v>3310.78</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H70100</v>
      </c>
      <c r="AK778" s="1030" t="str">
        <f t="shared" si="73"/>
        <v>FRAIS BANCAIRES &amp; AUTRES</v>
      </c>
      <c r="AL778" s="1030" t="str">
        <f>IFERROR(INDEX(G778:R778,1,MATCH(Parametres!$B$3,G$1:R$1,0)-1)*IF(OR(F778="L",F778="S",F778="I"),-1,1),"")</f>
        <v/>
      </c>
      <c r="AM778" s="1030">
        <f t="shared" si="74"/>
        <v>3934.36</v>
      </c>
      <c r="AN778" s="1030">
        <f>INDEX(G778:R778,1,MATCH(Parametres!$B$3,G$1:R$1,0))*IF(OR(F778="L",F778="S",F778="I"),-1,1)</f>
        <v>3934.36</v>
      </c>
      <c r="AO778" s="598" t="str">
        <f>+VLOOKUP($AJ778,Data_Validation!$A:$D,1,0)</f>
        <v>H70100</v>
      </c>
      <c r="AP778" s="598" t="str">
        <f>+VLOOKUP($AJ778,Data_Validation!$A:$D,3,0)</f>
        <v>Autres</v>
      </c>
      <c r="AQ778" s="598" t="str">
        <f>+VLOOKUP($AJ778,Data_Validation!$A:$D,4,0)</f>
        <v>Frais bancaires</v>
      </c>
      <c r="AR778" s="598" t="s">
        <v>299</v>
      </c>
      <c r="AS778" s="598">
        <f>+VLOOKUP($AJ778,Data_Validation!$A:$E,5,0)</f>
        <v>0</v>
      </c>
      <c r="AT778" s="1036" t="str">
        <f t="shared" si="75"/>
        <v>H70100</v>
      </c>
      <c r="AU778" s="599" t="str">
        <f t="shared" si="76"/>
        <v>FRAIS BANCAIRES &amp; AUTRES</v>
      </c>
      <c r="AV778" s="1030" t="str">
        <f>IFERROR(INDEX(V778:AG778,1,MATCH(Parametres!$B$3,V$1:AG$1,0)-1)*IF(OR(C778="L",C778="S",C778="I"),-1,1),"")</f>
        <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2026</v>
      </c>
      <c r="C779" s="832" t="s">
        <v>2674</v>
      </c>
      <c r="D779" s="832" t="s">
        <v>2675</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H70200</v>
      </c>
      <c r="AK779" s="1030" t="str">
        <f t="shared" si="73"/>
        <v>INTERET - PRET A TERME TD</v>
      </c>
      <c r="AL779" s="1030" t="str">
        <f>IFERROR(INDEX(G779:R779,1,MATCH(Parametres!$B$3,G$1:R$1,0)-1)*IF(OR(F779="L",F779="S",F779="I"),-1,1),"")</f>
        <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H70200</v>
      </c>
      <c r="AU779" s="599" t="str">
        <f t="shared" si="76"/>
        <v>INTERET - PRET A TERME TD</v>
      </c>
      <c r="AV779" s="1030" t="str">
        <f>IFERROR(INDEX(V779:AG779,1,MATCH(Parametres!$B$3,V$1:AG$1,0)-1)*IF(OR(C779="L",C779="S",C779="I"),-1,1),"")</f>
        <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2026</v>
      </c>
      <c r="C780" s="832" t="s">
        <v>2676</v>
      </c>
      <c r="D780" s="832" t="s">
        <v>2677</v>
      </c>
      <c r="E780" s="832" t="s">
        <v>333</v>
      </c>
      <c r="F780" s="832" t="s">
        <v>1119</v>
      </c>
      <c r="G780" s="832">
        <v>0</v>
      </c>
      <c r="H780" s="832">
        <v>0</v>
      </c>
      <c r="I780" s="832">
        <v>0</v>
      </c>
      <c r="J780" s="832">
        <v>0</v>
      </c>
      <c r="K780" s="832">
        <v>6968</v>
      </c>
      <c r="L780" s="832">
        <v>6968</v>
      </c>
      <c r="M780" s="832">
        <v>6968</v>
      </c>
      <c r="N780" s="832">
        <v>6968</v>
      </c>
      <c r="O780" s="832">
        <v>0</v>
      </c>
      <c r="P780" s="832">
        <v>0</v>
      </c>
      <c r="Q780" s="832">
        <v>0</v>
      </c>
      <c r="R780" s="832">
        <v>0</v>
      </c>
      <c r="S780" s="832">
        <v>995.43</v>
      </c>
      <c r="T780" s="832">
        <v>995.43</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H70300</v>
      </c>
      <c r="AK780" s="1030" t="str">
        <f t="shared" si="73"/>
        <v>INT SOLDE DE PRIX VENTE</v>
      </c>
      <c r="AL780" s="1030" t="str">
        <f>IFERROR(INDEX(G780:R780,1,MATCH(Parametres!$B$3,G$1:R$1,0)-1)*IF(OR(F780="L",F780="S",F780="I"),-1,1),"")</f>
        <v/>
      </c>
      <c r="AM780" s="1030">
        <f t="shared" si="74"/>
        <v>0</v>
      </c>
      <c r="AN780" s="1030">
        <f>INDEX(G780:R780,1,MATCH(Parametres!$B$3,G$1:R$1,0))*IF(OR(F780="L",F780="S",F780="I"),-1,1)</f>
        <v>0</v>
      </c>
      <c r="AO780" s="598" t="str">
        <f>+VLOOKUP($AJ780,Data_Validation!$A:$D,1,0)</f>
        <v>H70300</v>
      </c>
      <c r="AP780" s="598" t="str">
        <f>+VLOOKUP($AJ780,Data_Validation!$A:$D,3,0)</f>
        <v>Autres</v>
      </c>
      <c r="AQ780" s="598" t="str">
        <f>+VLOOKUP($AJ780,Data_Validation!$A:$D,4,0)</f>
        <v>Intérêts sur prêt</v>
      </c>
      <c r="AR780" s="598" t="s">
        <v>299</v>
      </c>
      <c r="AS780" s="598">
        <f>+VLOOKUP($AJ780,Data_Validation!$A:$E,5,0)</f>
        <v>0</v>
      </c>
      <c r="AT780" s="1036" t="str">
        <f t="shared" si="75"/>
        <v>H70300</v>
      </c>
      <c r="AU780" s="599" t="str">
        <f t="shared" si="76"/>
        <v>INT SOLDE DE PRIX VENTE</v>
      </c>
      <c r="AV780" s="1030" t="str">
        <f>IFERROR(INDEX(V780:AG780,1,MATCH(Parametres!$B$3,V$1:AG$1,0)-1)*IF(OR(C780="L",C780="S",C780="I"),-1,1),"")</f>
        <v/>
      </c>
      <c r="AW780" s="1030">
        <f t="shared" si="77"/>
        <v>0</v>
      </c>
      <c r="AX780" s="1030">
        <f>INDEX(V780:AG780,1,MATCH(Parametres!$B$3,V$1:AG$1,0))*IF(OR(C780="L",C780="S",C780="I"),-1,1)</f>
        <v>0</v>
      </c>
      <c r="AY780" s="598" t="s">
        <v>337</v>
      </c>
      <c r="AZ780" s="598">
        <f>+VLOOKUP($AJ780,Data_Validation!$A:$E,5,0)</f>
        <v>0</v>
      </c>
    </row>
    <row r="781" spans="1:52" ht="15" customHeight="1">
      <c r="A781" s="832" t="s">
        <v>1150</v>
      </c>
      <c r="B781" s="832">
        <v>2026</v>
      </c>
      <c r="C781" s="832" t="s">
        <v>2678</v>
      </c>
      <c r="D781" s="832" t="s">
        <v>2679</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H70400</v>
      </c>
      <c r="AK781" s="1030" t="str">
        <f t="shared" si="73"/>
        <v>FRAIS RECOUV. CREANCES</v>
      </c>
      <c r="AL781" s="1030" t="str">
        <f>IFERROR(INDEX(G781:R781,1,MATCH(Parametres!$B$3,G$1:R$1,0)-1)*IF(OR(F781="L",F781="S",F781="I"),-1,1),"")</f>
        <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H70400</v>
      </c>
      <c r="AU781" s="599" t="str">
        <f t="shared" si="76"/>
        <v>FRAIS RECOUV. CREANCES</v>
      </c>
      <c r="AV781" s="1030" t="str">
        <f>IFERROR(INDEX(V781:AG781,1,MATCH(Parametres!$B$3,V$1:AG$1,0)-1)*IF(OR(C781="L",C781="S",C781="I"),-1,1),"")</f>
        <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2026</v>
      </c>
      <c r="C782" s="832" t="s">
        <v>2680</v>
      </c>
      <c r="D782" s="832" t="s">
        <v>2681</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H70600</v>
      </c>
      <c r="AK782" s="1030" t="str">
        <f t="shared" si="73"/>
        <v>JETONS DE PRESENCES</v>
      </c>
      <c r="AL782" s="1030" t="str">
        <f>IFERROR(INDEX(G782:R782,1,MATCH(Parametres!$B$3,G$1:R$1,0)-1)*IF(OR(F782="L",F782="S",F782="I"),-1,1),"")</f>
        <v/>
      </c>
      <c r="AM782" s="1030">
        <f t="shared" si="74"/>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t="str">
        <f t="shared" si="75"/>
        <v>H70600</v>
      </c>
      <c r="AU782" s="599" t="str">
        <f t="shared" si="76"/>
        <v>JETONS DE PRESENCES</v>
      </c>
      <c r="AV782" s="1030" t="str">
        <f>IFERROR(INDEX(V782:AG782,1,MATCH(Parametres!$B$3,V$1:AG$1,0)-1)*IF(OR(C782="L",C782="S",C782="I"),-1,1),"")</f>
        <v/>
      </c>
      <c r="AW782" s="1030">
        <f t="shared" si="77"/>
        <v>0</v>
      </c>
      <c r="AX782" s="1030">
        <f>INDEX(V782:AG782,1,MATCH(Parametres!$B$3,V$1:AG$1,0))*IF(OR(C782="L",C782="S",C782="I"),-1,1)</f>
        <v>0</v>
      </c>
      <c r="AY782" s="598" t="s">
        <v>337</v>
      </c>
      <c r="AZ782" s="598" t="e">
        <f>+VLOOKUP($AJ782,Data_Validation!$A:$E,5,0)</f>
        <v>#N/A</v>
      </c>
    </row>
    <row r="783" spans="1:52" ht="15" customHeight="1">
      <c r="A783" s="832" t="s">
        <v>1150</v>
      </c>
      <c r="B783" s="832">
        <v>2026</v>
      </c>
      <c r="C783" s="832" t="s">
        <v>2682</v>
      </c>
      <c r="D783" s="832" t="s">
        <v>2683</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H70700</v>
      </c>
      <c r="AK783" s="1030" t="str">
        <f t="shared" si="73"/>
        <v>FRAIS LOCATION CL LT</v>
      </c>
      <c r="AL783" s="1030" t="str">
        <f>IFERROR(INDEX(G783:R783,1,MATCH(Parametres!$B$3,G$1:R$1,0)-1)*IF(OR(F783="L",F783="S",F783="I"),-1,1),"")</f>
        <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H70700</v>
      </c>
      <c r="AU783" s="599" t="str">
        <f t="shared" si="76"/>
        <v>FRAIS LOCATION CL LT</v>
      </c>
      <c r="AV783" s="1030" t="str">
        <f>IFERROR(INDEX(V783:AG783,1,MATCH(Parametres!$B$3,V$1:AG$1,0)-1)*IF(OR(C783="L",C783="S",C783="I"),-1,1),"")</f>
        <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2026</v>
      </c>
      <c r="C784" s="832" t="s">
        <v>2684</v>
      </c>
      <c r="D784" s="832" t="s">
        <v>2685</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H70800</v>
      </c>
      <c r="AK784" s="1030" t="str">
        <f t="shared" si="73"/>
        <v>INTERET IMPOTS DEPENSES</v>
      </c>
      <c r="AL784" s="1030" t="str">
        <f>IFERROR(INDEX(G784:R784,1,MATCH(Parametres!$B$3,G$1:R$1,0)-1)*IF(OR(F784="L",F784="S",F784="I"),-1,1),"")</f>
        <v/>
      </c>
      <c r="AM784" s="1030">
        <f t="shared" si="74"/>
        <v>0</v>
      </c>
      <c r="AN784" s="1030">
        <f>INDEX(G784:R784,1,MATCH(Parametres!$B$3,G$1:R$1,0))*IF(OR(F784="L",F784="S",F784="I"),-1,1)</f>
        <v>0</v>
      </c>
      <c r="AO784" s="598" t="str">
        <f>+VLOOKUP($AJ784,Data_Validation!$A:$D,1,0)</f>
        <v>H70800</v>
      </c>
      <c r="AP784" s="598" t="str">
        <f>+VLOOKUP($AJ784,Data_Validation!$A:$D,3,0)</f>
        <v>Autres</v>
      </c>
      <c r="AQ784" s="598" t="str">
        <f>+VLOOKUP($AJ784,Data_Validation!$A:$D,4,0)</f>
        <v>Intérêts sur prêt</v>
      </c>
      <c r="AR784" s="598" t="s">
        <v>299</v>
      </c>
      <c r="AS784" s="598">
        <f>+VLOOKUP($AJ784,Data_Validation!$A:$E,5,0)</f>
        <v>0</v>
      </c>
      <c r="AT784" s="1036" t="str">
        <f t="shared" si="75"/>
        <v>H70800</v>
      </c>
      <c r="AU784" s="599" t="str">
        <f t="shared" si="76"/>
        <v>INTERET IMPOTS DEPENSES</v>
      </c>
      <c r="AV784" s="1030" t="str">
        <f>IFERROR(INDEX(V784:AG784,1,MATCH(Parametres!$B$3,V$1:AG$1,0)-1)*IF(OR(C784="L",C784="S",C784="I"),-1,1),"")</f>
        <v/>
      </c>
      <c r="AW784" s="1030">
        <f t="shared" si="77"/>
        <v>0</v>
      </c>
      <c r="AX784" s="1030">
        <f>INDEX(V784:AG784,1,MATCH(Parametres!$B$3,V$1:AG$1,0))*IF(OR(C784="L",C784="S",C784="I"),-1,1)</f>
        <v>0</v>
      </c>
      <c r="AY784" s="598" t="s">
        <v>337</v>
      </c>
      <c r="AZ784" s="598">
        <f>+VLOOKUP($AJ784,Data_Validation!$A:$E,5,0)</f>
        <v>0</v>
      </c>
    </row>
    <row r="785" spans="1:52" ht="15" customHeight="1">
      <c r="A785" s="832" t="s">
        <v>1150</v>
      </c>
      <c r="B785" s="832">
        <v>2026</v>
      </c>
      <c r="C785" s="832" t="s">
        <v>2686</v>
      </c>
      <c r="D785" s="832" t="s">
        <v>2687</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H70900</v>
      </c>
      <c r="AK785" s="1030" t="str">
        <f t="shared" si="73"/>
        <v>IMPÔTS EXIGIBLES</v>
      </c>
      <c r="AL785" s="1030" t="str">
        <f>IFERROR(INDEX(G785:R785,1,MATCH(Parametres!$B$3,G$1:R$1,0)-1)*IF(OR(F785="L",F785="S",F785="I"),-1,1),"")</f>
        <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H70900</v>
      </c>
      <c r="AU785" s="599" t="str">
        <f t="shared" si="76"/>
        <v>IMPÔTS EXIGIBLES</v>
      </c>
      <c r="AV785" s="1030" t="str">
        <f>IFERROR(INDEX(V785:AG785,1,MATCH(Parametres!$B$3,V$1:AG$1,0)-1)*IF(OR(C785="L",C785="S",C785="I"),-1,1),"")</f>
        <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2026</v>
      </c>
      <c r="C786" s="832" t="s">
        <v>2688</v>
      </c>
      <c r="D786" s="832" t="s">
        <v>2689</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H70910</v>
      </c>
      <c r="AK786" s="1030" t="str">
        <f t="shared" si="73"/>
        <v>IMPÔTS FUTURES</v>
      </c>
      <c r="AL786" s="1030" t="str">
        <f>IFERROR(INDEX(G786:R786,1,MATCH(Parametres!$B$3,G$1:R$1,0)-1)*IF(OR(F786="L",F786="S",F786="I"),-1,1),"")</f>
        <v/>
      </c>
      <c r="AM786" s="1030">
        <f t="shared" si="74"/>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t="str">
        <f t="shared" si="75"/>
        <v>H70910</v>
      </c>
      <c r="AU786" s="599" t="str">
        <f t="shared" si="76"/>
        <v>IMPÔTS FUTURES</v>
      </c>
      <c r="AV786" s="1030" t="str">
        <f>IFERROR(INDEX(V786:AG786,1,MATCH(Parametres!$B$3,V$1:AG$1,0)-1)*IF(OR(C786="L",C786="S",C786="I"),-1,1),"")</f>
        <v/>
      </c>
      <c r="AW786" s="1030">
        <f t="shared" si="77"/>
        <v>0</v>
      </c>
      <c r="AX786" s="1030">
        <f>INDEX(V786:AG786,1,MATCH(Parametres!$B$3,V$1:AG$1,0))*IF(OR(C786="L",C786="S",C786="I"),-1,1)</f>
        <v>0</v>
      </c>
      <c r="AY786" s="598" t="s">
        <v>337</v>
      </c>
      <c r="AZ786" s="598" t="e">
        <f>+VLOOKUP($AJ786,Data_Validation!$A:$E,5,0)</f>
        <v>#N/A</v>
      </c>
    </row>
    <row r="787" spans="1:52" ht="15" customHeight="1">
      <c r="A787" s="832" t="s">
        <v>1150</v>
      </c>
      <c r="B787" s="832">
        <v>2026</v>
      </c>
      <c r="C787" s="832" t="s">
        <v>2690</v>
      </c>
      <c r="D787" s="832" t="s">
        <v>2691</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4" si="78">C787</f>
        <v>H70999</v>
      </c>
      <c r="AK787" s="1030" t="str">
        <f t="shared" ref="AK787:AK794" si="79">D787</f>
        <v>DUMMY ACCT FOR AGIB</v>
      </c>
      <c r="AL787" s="1030" t="str">
        <f>IFERROR(INDEX(G787:R787,1,MATCH(Parametres!$B$3,G$1:R$1,0)-1)*IF(OR(F787="L",F787="S",F787="I"),-1,1),"")</f>
        <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H70999</v>
      </c>
      <c r="AU787" s="599" t="str">
        <f t="shared" si="76"/>
        <v>DUMMY ACCT FOR AGIB</v>
      </c>
      <c r="AV787" s="1030" t="str">
        <f>IFERROR(INDEX(V787:AG787,1,MATCH(Parametres!$B$3,V$1:AG$1,0)-1)*IF(OR(C787="L",C787="S",C787="I"),-1,1),"")</f>
        <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2026</v>
      </c>
      <c r="C788" s="832" t="s">
        <v>2692</v>
      </c>
      <c r="D788" s="832" t="s">
        <v>2693</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H71000</v>
      </c>
      <c r="AK788" s="1030" t="str">
        <f t="shared" si="79"/>
        <v>FRAIS DIVERS</v>
      </c>
      <c r="AL788" s="1030" t="str">
        <f>IFERROR(INDEX(G788:R788,1,MATCH(Parametres!$B$3,G$1:R$1,0)-1)*IF(OR(F788="L",F788="S",F788="I"),-1,1),"")</f>
        <v/>
      </c>
      <c r="AM788" s="1030">
        <f t="shared" si="74"/>
        <v>0</v>
      </c>
      <c r="AN788" s="1030">
        <f>INDEX(G788:R788,1,MATCH(Parametres!$B$3,G$1:R$1,0))*IF(OR(F788="L",F788="S",F788="I"),-1,1)</f>
        <v>0</v>
      </c>
      <c r="AO788" s="598" t="str">
        <f>+VLOOKUP($AJ788,Data_Validation!$A:$D,1,0)</f>
        <v>H71000</v>
      </c>
      <c r="AP788" s="598" t="str">
        <f>+VLOOKUP($AJ788,Data_Validation!$A:$D,3,0)</f>
        <v>Autres</v>
      </c>
      <c r="AQ788" s="598" t="str">
        <f>+VLOOKUP($AJ788,Data_Validation!$A:$D,4,0)</f>
        <v>Divers</v>
      </c>
      <c r="AR788" s="598" t="s">
        <v>299</v>
      </c>
      <c r="AS788" s="598">
        <f>+VLOOKUP($AJ788,Data_Validation!$A:$E,5,0)</f>
        <v>0</v>
      </c>
      <c r="AT788" s="1036" t="str">
        <f t="shared" si="75"/>
        <v>H71000</v>
      </c>
      <c r="AU788" s="599" t="str">
        <f t="shared" si="76"/>
        <v>FRAIS DIVERS</v>
      </c>
      <c r="AV788" s="1030" t="str">
        <f>IFERROR(INDEX(V788:AG788,1,MATCH(Parametres!$B$3,V$1:AG$1,0)-1)*IF(OR(C788="L",C788="S",C788="I"),-1,1),"")</f>
        <v/>
      </c>
      <c r="AW788" s="1030">
        <f t="shared" si="77"/>
        <v>0</v>
      </c>
      <c r="AX788" s="1030">
        <f>INDEX(V788:AG788,1,MATCH(Parametres!$B$3,V$1:AG$1,0))*IF(OR(C788="L",C788="S",C788="I"),-1,1)</f>
        <v>0</v>
      </c>
      <c r="AY788" s="598" t="s">
        <v>337</v>
      </c>
      <c r="AZ788" s="598">
        <f>+VLOOKUP($AJ788,Data_Validation!$A:$E,5,0)</f>
        <v>0</v>
      </c>
    </row>
    <row r="789" spans="1:52" ht="15" customHeight="1">
      <c r="A789" s="832" t="s">
        <v>1150</v>
      </c>
      <c r="B789" s="832">
        <v>2026</v>
      </c>
      <c r="C789" s="832" t="s">
        <v>2694</v>
      </c>
      <c r="D789" s="832" t="s">
        <v>2695</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H72000</v>
      </c>
      <c r="AK789" s="1030" t="str">
        <f t="shared" si="79"/>
        <v>IMPOT FUTUR</v>
      </c>
      <c r="AL789" s="1030" t="str">
        <f>IFERROR(INDEX(G789:R789,1,MATCH(Parametres!$B$3,G$1:R$1,0)-1)*IF(OR(F789="L",F789="S",F789="I"),-1,1),"")</f>
        <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H72000</v>
      </c>
      <c r="AU789" s="599" t="str">
        <f t="shared" si="76"/>
        <v>IMPOT FUTUR</v>
      </c>
      <c r="AV789" s="1030" t="str">
        <f>IFERROR(INDEX(V789:AG789,1,MATCH(Parametres!$B$3,V$1:AG$1,0)-1)*IF(OR(C789="L",C789="S",C789="I"),-1,1),"")</f>
        <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2026</v>
      </c>
      <c r="C790" s="832" t="s">
        <v>2696</v>
      </c>
      <c r="D790" s="832" t="s">
        <v>2697</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H90100</v>
      </c>
      <c r="AK790" s="1030" t="str">
        <f t="shared" si="79"/>
        <v>IMPOT SUR REVENU ESTIME</v>
      </c>
      <c r="AL790" s="1030" t="str">
        <f>IFERROR(INDEX(G790:R790,1,MATCH(Parametres!$B$3,G$1:R$1,0)-1)*IF(OR(F790="L",F790="S",F790="I"),-1,1),"")</f>
        <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H90100</v>
      </c>
      <c r="AU790" s="599" t="str">
        <f t="shared" si="76"/>
        <v>IMPOT SUR REVENU ESTIME</v>
      </c>
      <c r="AV790" s="1030" t="str">
        <f>IFERROR(INDEX(V790:AG790,1,MATCH(Parametres!$B$3,V$1:AG$1,0)-1)*IF(OR(C790="L",C790="S",C790="I"),-1,1),"")</f>
        <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2026</v>
      </c>
      <c r="C791" s="832" t="s">
        <v>2698</v>
      </c>
      <c r="D791" s="832" t="s">
        <v>2699</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H95000</v>
      </c>
      <c r="AK791" s="1030" t="str">
        <f t="shared" si="79"/>
        <v>IMPOTS EXIGIBLES</v>
      </c>
      <c r="AL791" s="1030" t="str">
        <f>IFERROR(INDEX(G791:R791,1,MATCH(Parametres!$B$3,G$1:R$1,0)-1)*IF(OR(F791="L",F791="S",F791="I"),-1,1),"")</f>
        <v/>
      </c>
      <c r="AM791" s="1030">
        <f t="shared" si="74"/>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t="str">
        <f t="shared" si="75"/>
        <v>H95000</v>
      </c>
      <c r="AU791" s="599" t="str">
        <f t="shared" si="76"/>
        <v>IMPOTS EXIGIBLES</v>
      </c>
      <c r="AV791" s="1030" t="str">
        <f>IFERROR(INDEX(V791:AG791,1,MATCH(Parametres!$B$3,V$1:AG$1,0)-1)*IF(OR(C791="L",C791="S",C791="I"),-1,1),"")</f>
        <v/>
      </c>
      <c r="AW791" s="1030">
        <f t="shared" si="77"/>
        <v>0</v>
      </c>
      <c r="AX791" s="1030">
        <f>INDEX(V791:AG791,1,MATCH(Parametres!$B$3,V$1:AG$1,0))*IF(OR(C791="L",C791="S",C791="I"),-1,1)</f>
        <v>0</v>
      </c>
      <c r="AY791" s="598" t="s">
        <v>337</v>
      </c>
      <c r="AZ791" s="598" t="e">
        <f>+VLOOKUP($AJ791,Data_Validation!$A:$E,5,0)</f>
        <v>#N/A</v>
      </c>
    </row>
    <row r="792" spans="1:52" ht="15" customHeight="1">
      <c r="A792" s="832" t="s">
        <v>1150</v>
      </c>
      <c r="B792" s="832">
        <v>2026</v>
      </c>
      <c r="C792" s="832" t="s">
        <v>2700</v>
      </c>
      <c r="D792" s="832" t="s">
        <v>2701</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H99997</v>
      </c>
      <c r="AK792" s="1030" t="str">
        <f t="shared" si="79"/>
        <v>DEPENSES PAIE - IN/OUT</v>
      </c>
      <c r="AL792" s="1030" t="str">
        <f>IFERROR(INDEX(G792:R792,1,MATCH(Parametres!$B$3,G$1:R$1,0)-1)*IF(OR(F792="L",F792="S",F792="I"),-1,1),"")</f>
        <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H99997</v>
      </c>
      <c r="AU792" s="599" t="str">
        <f t="shared" si="76"/>
        <v>DEPENSES PAIE - IN/OUT</v>
      </c>
      <c r="AV792" s="1030" t="str">
        <f>IFERROR(INDEX(V792:AG792,1,MATCH(Parametres!$B$3,V$1:AG$1,0)-1)*IF(OR(C792="L",C792="S",C792="I"),-1,1),"")</f>
        <v/>
      </c>
      <c r="AW792" s="1030">
        <f t="shared" si="77"/>
        <v>0</v>
      </c>
      <c r="AX792" s="1030">
        <f>INDEX(V792:AG792,1,MATCH(Parametres!$B$3,V$1:AG$1,0))*IF(OR(C792="L",C792="S",C792="I"),-1,1)</f>
        <v>0</v>
      </c>
      <c r="AY792" s="598" t="s">
        <v>337</v>
      </c>
      <c r="AZ792" s="598" t="e">
        <f>+VLOOKUP($AJ792,Data_Validation!$A:$E,5,0)</f>
        <v>#N/A</v>
      </c>
    </row>
    <row r="793" spans="1:52" ht="15" customHeight="1">
      <c r="A793" s="832" t="s">
        <v>1150</v>
      </c>
      <c r="B793" s="832">
        <v>2026</v>
      </c>
      <c r="C793" s="832" t="s">
        <v>2702</v>
      </c>
      <c r="D793" s="832" t="s">
        <v>2703</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30" t="str">
        <f t="shared" si="78"/>
        <v>H99998</v>
      </c>
      <c r="AK793" s="1030" t="str">
        <f t="shared" si="79"/>
        <v>DOCUMENTS CANCELLES</v>
      </c>
      <c r="AL793" s="1030" t="str">
        <f>IFERROR(INDEX(G793:R793,1,MATCH(Parametres!$B$3,G$1:R$1,0)-1)*IF(OR(F793="L",F793="S",F793="I"),-1,1),"")</f>
        <v/>
      </c>
      <c r="AM793" s="1030">
        <f t="shared" si="74"/>
        <v>0</v>
      </c>
      <c r="AN793" s="1030">
        <f>INDEX(G793:R793,1,MATCH(Parametres!$B$3,G$1:R$1,0))*IF(OR(F793="L",F793="S",F793="I"),-1,1)</f>
        <v>0</v>
      </c>
      <c r="AO793" s="598" t="str">
        <f>+VLOOKUP($AJ793,Data_Validation!$A:$D,1,0)</f>
        <v>H99998</v>
      </c>
      <c r="AP793" s="598" t="str">
        <f>+VLOOKUP($AJ793,Data_Validation!$A:$D,3,0)</f>
        <v>Autres</v>
      </c>
      <c r="AQ793" s="598" t="str">
        <f>+VLOOKUP($AJ793,Data_Validation!$A:$D,4,0)</f>
        <v>Frais bancaires</v>
      </c>
      <c r="AR793" s="598" t="s">
        <v>299</v>
      </c>
      <c r="AS793" s="598">
        <f>+VLOOKUP($AJ793,Data_Validation!$A:$E,5,0)</f>
        <v>0</v>
      </c>
      <c r="AT793" s="1036" t="str">
        <f t="shared" si="75"/>
        <v>H99998</v>
      </c>
      <c r="AU793" s="599" t="str">
        <f t="shared" si="76"/>
        <v>DOCUMENTS CANCELLES</v>
      </c>
      <c r="AV793" s="1030" t="str">
        <f>IFERROR(INDEX(V793:AG793,1,MATCH(Parametres!$B$3,V$1:AG$1,0)-1)*IF(OR(C793="L",C793="S",C793="I"),-1,1),"")</f>
        <v/>
      </c>
      <c r="AW793" s="1030">
        <f t="shared" si="77"/>
        <v>0</v>
      </c>
      <c r="AX793" s="1030">
        <f>INDEX(V793:AG793,1,MATCH(Parametres!$B$3,V$1:AG$1,0))*IF(OR(C793="L",C793="S",C793="I"),-1,1)</f>
        <v>0</v>
      </c>
      <c r="AY793" s="598" t="s">
        <v>337</v>
      </c>
      <c r="AZ793" s="598">
        <f>+VLOOKUP($AJ793,Data_Validation!$A:$E,5,0)</f>
        <v>0</v>
      </c>
    </row>
    <row r="794" spans="1:52" ht="15" customHeight="1">
      <c r="A794" s="832" t="s">
        <v>1150</v>
      </c>
      <c r="B794" s="832">
        <v>2026</v>
      </c>
      <c r="C794" s="832" t="s">
        <v>2704</v>
      </c>
      <c r="D794" s="832" t="s">
        <v>2705</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30" t="str">
        <f t="shared" si="78"/>
        <v>H99999</v>
      </c>
      <c r="AK794" s="1030" t="str">
        <f t="shared" si="79"/>
        <v>POST PROFIT/LOSS HISTORY</v>
      </c>
      <c r="AL794" s="1030" t="str">
        <f>IFERROR(INDEX(G794:R794,1,MATCH(Parametres!$B$3,G$1:R$1,0)-1)*IF(OR(F794="L",F794="S",F794="I"),-1,1),"")</f>
        <v/>
      </c>
      <c r="AM794" s="1030">
        <f t="shared" si="74"/>
        <v>0</v>
      </c>
      <c r="AN794" s="1030">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6" t="str">
        <f t="shared" si="75"/>
        <v>H99999</v>
      </c>
      <c r="AU794" s="599" t="str">
        <f t="shared" si="76"/>
        <v>POST PROFIT/LOSS HISTORY</v>
      </c>
      <c r="AV794" s="1030" t="str">
        <f>IFERROR(INDEX(V794:AG794,1,MATCH(Parametres!$B$3,V$1:AG$1,0)-1)*IF(OR(C794="L",C794="S",C794="I"),-1,1),"")</f>
        <v/>
      </c>
      <c r="AW794" s="1030">
        <f t="shared" si="77"/>
        <v>0</v>
      </c>
      <c r="AX794" s="1030">
        <f>INDEX(V794:AG794,1,MATCH(Parametres!$B$3,V$1:AG$1,0))*IF(OR(C794="L",C794="S",C794="I"),-1,1)</f>
        <v>0</v>
      </c>
      <c r="AY794" s="598" t="s">
        <v>337</v>
      </c>
      <c r="AZ794" s="598" t="e">
        <f>+VLOOKUP($AJ794,Data_Validation!$A:$E,5,0)</f>
        <v>#N/A</v>
      </c>
    </row>
  </sheetData>
  <autoFilter ref="A2:AZ794"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69"/>
  <sheetViews>
    <sheetView topLeftCell="A131" workbookViewId="0">
      <selection activeCell="D148" sqref="D14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1811</v>
      </c>
      <c r="B136" t="s">
        <v>1812</v>
      </c>
      <c r="C136" s="836" t="s">
        <v>661</v>
      </c>
      <c r="D136" s="836" t="s">
        <v>25</v>
      </c>
      <c r="E136" s="836"/>
      <c r="F136" s="33"/>
      <c r="I136" s="601" t="s">
        <v>26</v>
      </c>
    </row>
    <row r="137" spans="1:9" ht="15" customHeight="1">
      <c r="A137" t="s">
        <v>1816</v>
      </c>
      <c r="B137" t="s">
        <v>1817</v>
      </c>
      <c r="C137" s="836" t="s">
        <v>661</v>
      </c>
      <c r="D137" s="836" t="s">
        <v>21</v>
      </c>
      <c r="E137" s="836"/>
      <c r="F137" s="33"/>
      <c r="I137" s="601" t="s">
        <v>185</v>
      </c>
    </row>
    <row r="138" spans="1:9" ht="15" customHeight="1">
      <c r="A138" t="s">
        <v>1818</v>
      </c>
      <c r="B138" t="s">
        <v>1819</v>
      </c>
      <c r="C138" s="836" t="s">
        <v>661</v>
      </c>
      <c r="D138" s="836" t="s">
        <v>56</v>
      </c>
      <c r="E138" s="836"/>
      <c r="F138" s="33"/>
      <c r="I138" s="601" t="s">
        <v>36</v>
      </c>
    </row>
    <row r="139" spans="1:9" ht="15" customHeight="1">
      <c r="A139" t="s">
        <v>1826</v>
      </c>
      <c r="B139" t="s">
        <v>1827</v>
      </c>
      <c r="C139" s="836" t="s">
        <v>661</v>
      </c>
      <c r="D139" s="836" t="s">
        <v>30</v>
      </c>
      <c r="E139" s="836"/>
      <c r="F139" s="33"/>
      <c r="I139" s="601" t="str">
        <f>Print_Mois!V461</f>
        <v>Réparation équipement</v>
      </c>
    </row>
    <row r="140" spans="1:9" ht="15" customHeight="1">
      <c r="A140" t="s">
        <v>1830</v>
      </c>
      <c r="B140" t="s">
        <v>1831</v>
      </c>
      <c r="C140" s="836" t="s">
        <v>661</v>
      </c>
      <c r="D140" s="836" t="s">
        <v>30</v>
      </c>
      <c r="E140" s="836"/>
      <c r="F140" s="33"/>
      <c r="I140" s="601" t="s">
        <v>677</v>
      </c>
    </row>
    <row r="141" spans="1:9" ht="15" customHeight="1">
      <c r="A141" t="s">
        <v>1834</v>
      </c>
      <c r="B141" t="s">
        <v>1835</v>
      </c>
      <c r="C141" s="836" t="s">
        <v>661</v>
      </c>
      <c r="D141" s="836" t="s">
        <v>30</v>
      </c>
      <c r="E141" s="836"/>
      <c r="F141" s="33"/>
      <c r="I141" s="601" t="str">
        <f>Print_Mois!C23</f>
        <v>Rev. Autres</v>
      </c>
    </row>
    <row r="142" spans="1:9" ht="15" customHeight="1">
      <c r="A142" t="s">
        <v>1838</v>
      </c>
      <c r="B142" t="s">
        <v>1839</v>
      </c>
      <c r="C142" s="836" t="s">
        <v>661</v>
      </c>
      <c r="D142" s="836" t="s">
        <v>26</v>
      </c>
      <c r="E142" s="836"/>
      <c r="F142" s="33"/>
      <c r="I142" s="601" t="str">
        <f>Print_Mois!C24</f>
        <v>Total F&amp;I</v>
      </c>
    </row>
    <row r="143" spans="1:9" ht="15" customHeight="1">
      <c r="A143" t="s">
        <v>1840</v>
      </c>
      <c r="B143" t="s">
        <v>1841</v>
      </c>
      <c r="C143" s="836" t="s">
        <v>661</v>
      </c>
      <c r="D143" s="836" t="s">
        <v>38</v>
      </c>
      <c r="E143" s="836"/>
      <c r="F143" s="33"/>
      <c r="I143" s="601" t="str">
        <f>Print_Mois!C21</f>
        <v>Rev. Finances</v>
      </c>
    </row>
    <row r="144" spans="1:9" ht="15" customHeight="1">
      <c r="A144" t="s">
        <v>1844</v>
      </c>
      <c r="B144" t="s">
        <v>1845</v>
      </c>
      <c r="C144" s="836" t="s">
        <v>661</v>
      </c>
      <c r="D144" s="836" t="s">
        <v>28</v>
      </c>
      <c r="E144" s="836"/>
      <c r="F144" s="33"/>
      <c r="I144" s="601" t="str">
        <f>Print_Mois!C22</f>
        <v>Rev. Protections</v>
      </c>
    </row>
    <row r="145" spans="1:27" ht="15" customHeight="1">
      <c r="A145" t="s">
        <v>1846</v>
      </c>
      <c r="B145" t="s">
        <v>1847</v>
      </c>
      <c r="C145" s="836" t="s">
        <v>661</v>
      </c>
      <c r="D145" s="836" t="s">
        <v>28</v>
      </c>
      <c r="E145" s="836"/>
      <c r="F145" s="33"/>
      <c r="I145" s="601" t="str">
        <f>Print_Mois!V470</f>
        <v>Revenus autres</v>
      </c>
    </row>
    <row r="146" spans="1:27" ht="15" customHeight="1">
      <c r="A146" t="s">
        <v>1848</v>
      </c>
      <c r="B146" t="s">
        <v>1849</v>
      </c>
      <c r="C146" s="836" t="s">
        <v>661</v>
      </c>
      <c r="D146" s="836" t="s">
        <v>28</v>
      </c>
      <c r="E146" s="836"/>
      <c r="F146" s="33"/>
      <c r="I146" s="601" t="s">
        <v>49</v>
      </c>
    </row>
    <row r="147" spans="1:27" ht="15" customHeight="1">
      <c r="A147" t="s">
        <v>1850</v>
      </c>
      <c r="B147" t="s">
        <v>1851</v>
      </c>
      <c r="C147" s="836" t="s">
        <v>661</v>
      </c>
      <c r="D147" s="836" t="s">
        <v>28</v>
      </c>
      <c r="E147" s="836"/>
      <c r="F147" s="33"/>
      <c r="I147" s="601" t="str">
        <f>Print_Mois!V424</f>
        <v>Salaires autres</v>
      </c>
    </row>
    <row r="148" spans="1:27" ht="15" customHeight="1">
      <c r="A148" t="s">
        <v>1855</v>
      </c>
      <c r="B148" t="s">
        <v>1856</v>
      </c>
      <c r="C148" s="836" t="s">
        <v>661</v>
      </c>
      <c r="D148" s="836" t="s">
        <v>67</v>
      </c>
      <c r="E148" s="836"/>
      <c r="F148" s="33"/>
      <c r="I148" s="601" t="str">
        <f>Print_Mois!V422</f>
        <v>Salaires cadres</v>
      </c>
    </row>
    <row r="149" spans="1:27" ht="15" customHeight="1">
      <c r="A149" t="s">
        <v>1857</v>
      </c>
      <c r="B149" t="s">
        <v>1858</v>
      </c>
      <c r="C149" s="836" t="s">
        <v>661</v>
      </c>
      <c r="D149" s="836" t="s">
        <v>36</v>
      </c>
      <c r="E149" s="836"/>
      <c r="F149" s="33"/>
      <c r="I149" s="601" t="str">
        <f>Print_Mois!C43</f>
        <v>Salaires commis</v>
      </c>
    </row>
    <row r="150" spans="1:27" ht="15" customHeight="1">
      <c r="A150" t="s">
        <v>1859</v>
      </c>
      <c r="B150" t="s">
        <v>1860</v>
      </c>
      <c r="C150" s="836" t="s">
        <v>661</v>
      </c>
      <c r="D150" s="836" t="s">
        <v>36</v>
      </c>
      <c r="E150" s="836"/>
      <c r="F150" s="33"/>
      <c r="I150" s="601" t="str">
        <f>Print_Mois!V423</f>
        <v>Salaires commis</v>
      </c>
    </row>
    <row r="151" spans="1:27" ht="15" customHeight="1">
      <c r="A151" t="s">
        <v>1861</v>
      </c>
      <c r="B151" t="s">
        <v>1862</v>
      </c>
      <c r="C151" s="836" t="s">
        <v>661</v>
      </c>
      <c r="D151" s="836" t="s">
        <v>36</v>
      </c>
      <c r="E151" s="836"/>
      <c r="F151" s="33"/>
      <c r="I151" s="601" t="str">
        <f>Print_Mois!V429</f>
        <v>Salaires en absences</v>
      </c>
    </row>
    <row r="152" spans="1:27" ht="15" customHeight="1">
      <c r="A152" t="s">
        <v>1863</v>
      </c>
      <c r="B152" t="s">
        <v>1864</v>
      </c>
      <c r="C152" s="836" t="s">
        <v>661</v>
      </c>
      <c r="D152" s="836" t="s">
        <v>36</v>
      </c>
      <c r="E152" s="836"/>
      <c r="F152" s="33"/>
      <c r="I152" s="601" t="str">
        <f>Print_Mois!V421</f>
        <v>Salaires propriétaire</v>
      </c>
    </row>
    <row r="153" spans="1:27" ht="15" customHeight="1">
      <c r="A153" t="s">
        <v>1865</v>
      </c>
      <c r="B153" t="s">
        <v>1866</v>
      </c>
      <c r="C153" s="836" t="s">
        <v>661</v>
      </c>
      <c r="D153" s="836" t="s">
        <v>36</v>
      </c>
      <c r="E153" s="836"/>
      <c r="F153" s="33"/>
      <c r="I153" s="601" t="str">
        <f>Print_Mois!V425</f>
        <v>Salaires spécialistes</v>
      </c>
    </row>
    <row r="154" spans="1:27" ht="15" customHeight="1">
      <c r="A154" t="s">
        <v>1867</v>
      </c>
      <c r="B154" t="s">
        <v>1868</v>
      </c>
      <c r="C154" s="836" t="s">
        <v>661</v>
      </c>
      <c r="D154" s="836" t="s">
        <v>36</v>
      </c>
      <c r="E154" s="836"/>
      <c r="F154" s="33"/>
      <c r="I154" s="601" t="str">
        <f>Print_Mois!C34</f>
        <v>Service gratuit 1</v>
      </c>
    </row>
    <row r="155" spans="1:27" ht="15" customHeight="1">
      <c r="A155" t="s">
        <v>1869</v>
      </c>
      <c r="B155" t="s">
        <v>1870</v>
      </c>
      <c r="C155" s="836" t="s">
        <v>661</v>
      </c>
      <c r="D155" s="836" t="s">
        <v>36</v>
      </c>
      <c r="E155" s="836"/>
      <c r="F155" s="33"/>
      <c r="I155" s="601" t="str">
        <f>Print_Mois!V436</f>
        <v>Service gratuit 2</v>
      </c>
    </row>
    <row r="156" spans="1:27" ht="15" customHeight="1">
      <c r="A156" t="s">
        <v>1873</v>
      </c>
      <c r="B156" t="s">
        <v>1874</v>
      </c>
      <c r="C156" s="836" t="s">
        <v>661</v>
      </c>
      <c r="D156" s="836" t="s">
        <v>28</v>
      </c>
      <c r="E156" s="836"/>
      <c r="F156" s="33"/>
      <c r="G156" s="3"/>
      <c r="H156" s="3"/>
      <c r="I156" s="601" t="str">
        <f>Print_Mois!V440</f>
        <v>Services extérieurs</v>
      </c>
      <c r="J156" s="3"/>
      <c r="K156" s="3"/>
      <c r="N156" s="3"/>
      <c r="O156" s="3"/>
      <c r="P156" s="3"/>
      <c r="Q156" s="3"/>
      <c r="R156" s="3"/>
      <c r="S156" s="3"/>
      <c r="T156" s="3"/>
      <c r="U156" s="3"/>
      <c r="V156" s="3"/>
      <c r="W156" s="3"/>
      <c r="X156" s="3"/>
      <c r="Y156" s="3"/>
      <c r="Z156" s="3"/>
      <c r="AA156" s="3"/>
    </row>
    <row r="157" spans="1:27" ht="15" customHeight="1">
      <c r="A157" t="s">
        <v>1889</v>
      </c>
      <c r="B157" t="s">
        <v>1890</v>
      </c>
      <c r="C157" s="836" t="s">
        <v>661</v>
      </c>
      <c r="D157" s="836" t="s">
        <v>42</v>
      </c>
      <c r="E157" s="836"/>
      <c r="F157" s="33"/>
      <c r="I157" s="601" t="s">
        <v>54</v>
      </c>
    </row>
    <row r="158" spans="1:27" ht="15" customHeight="1">
      <c r="A158" t="s">
        <v>1892</v>
      </c>
      <c r="B158" t="s">
        <v>1893</v>
      </c>
      <c r="C158" s="836" t="s">
        <v>661</v>
      </c>
      <c r="D158" s="836" t="s">
        <v>42</v>
      </c>
      <c r="E158" s="836"/>
      <c r="F158" s="33"/>
      <c r="I158" s="601" t="str">
        <f>Print_Mois!C189</f>
        <v>Sous-traitement</v>
      </c>
    </row>
    <row r="159" spans="1:27" ht="15" customHeight="1">
      <c r="A159" t="s">
        <v>1894</v>
      </c>
      <c r="B159" t="s">
        <v>1895</v>
      </c>
      <c r="C159" s="836" t="s">
        <v>661</v>
      </c>
      <c r="D159" s="836" t="s">
        <v>42</v>
      </c>
      <c r="E159" s="836"/>
      <c r="F159" s="33"/>
      <c r="I159" s="601" t="s">
        <v>125</v>
      </c>
    </row>
    <row r="160" spans="1:27" ht="15" customHeight="1">
      <c r="A160" t="s">
        <v>1896</v>
      </c>
      <c r="B160" t="s">
        <v>1897</v>
      </c>
      <c r="C160" s="836" t="s">
        <v>661</v>
      </c>
      <c r="D160" s="836" t="s">
        <v>42</v>
      </c>
      <c r="E160" s="836"/>
      <c r="F160" s="33"/>
      <c r="I160" s="601" t="s">
        <v>95</v>
      </c>
    </row>
    <row r="161" spans="1:9" ht="15" customHeight="1">
      <c r="A161" t="s">
        <v>1898</v>
      </c>
      <c r="B161" t="s">
        <v>1899</v>
      </c>
      <c r="C161" s="836" t="s">
        <v>661</v>
      </c>
      <c r="D161" s="836" t="s">
        <v>42</v>
      </c>
      <c r="E161" s="836"/>
      <c r="F161" s="33"/>
      <c r="I161" s="601" t="s">
        <v>202</v>
      </c>
    </row>
    <row r="162" spans="1:9" ht="15" customHeight="1">
      <c r="A162" t="s">
        <v>1902</v>
      </c>
      <c r="B162" t="s">
        <v>1903</v>
      </c>
      <c r="C162" s="836" t="s">
        <v>661</v>
      </c>
      <c r="D162" s="836" t="s">
        <v>44</v>
      </c>
      <c r="E162" s="836"/>
      <c r="F162" s="33"/>
      <c r="I162" s="601" t="s">
        <v>203</v>
      </c>
    </row>
    <row r="163" spans="1:9" ht="15" customHeight="1">
      <c r="A163" t="s">
        <v>1904</v>
      </c>
      <c r="B163" t="s">
        <v>1905</v>
      </c>
      <c r="C163" s="836" t="s">
        <v>661</v>
      </c>
      <c r="D163" s="836" t="s">
        <v>44</v>
      </c>
      <c r="E163" s="836"/>
      <c r="F163" s="33"/>
      <c r="I163" s="601" t="str">
        <f>Print_Mois!V457</f>
        <v>Taxe sur le capital</v>
      </c>
    </row>
    <row r="164" spans="1:9" ht="15" customHeight="1">
      <c r="A164" t="s">
        <v>1908</v>
      </c>
      <c r="B164" t="s">
        <v>1909</v>
      </c>
      <c r="C164" s="836" t="s">
        <v>661</v>
      </c>
      <c r="D164" s="836" t="s">
        <v>42</v>
      </c>
      <c r="E164" s="836"/>
      <c r="F164" s="33"/>
      <c r="I164" s="601" t="s">
        <v>31</v>
      </c>
    </row>
    <row r="165" spans="1:9" ht="15" customHeight="1">
      <c r="A165" t="s">
        <v>1910</v>
      </c>
      <c r="B165" t="s">
        <v>1911</v>
      </c>
      <c r="C165" s="836" t="s">
        <v>661</v>
      </c>
      <c r="D165" s="836" t="s">
        <v>46</v>
      </c>
      <c r="E165" s="836"/>
      <c r="F165" s="33"/>
      <c r="I165" s="601" t="str">
        <f>Print_Mois!V445</f>
        <v>Téléphone</v>
      </c>
    </row>
    <row r="166" spans="1:9" ht="15" customHeight="1">
      <c r="A166" t="s">
        <v>1912</v>
      </c>
      <c r="B166" t="s">
        <v>1913</v>
      </c>
      <c r="C166" s="836" t="s">
        <v>661</v>
      </c>
      <c r="D166" s="836" t="s">
        <v>46</v>
      </c>
      <c r="E166" s="836"/>
      <c r="F166" s="33"/>
      <c r="I166" s="601" t="s">
        <v>52</v>
      </c>
    </row>
    <row r="167" spans="1:9" ht="15" customHeight="1">
      <c r="A167" t="s">
        <v>1914</v>
      </c>
      <c r="B167" t="s">
        <v>1915</v>
      </c>
      <c r="C167" s="836" t="s">
        <v>661</v>
      </c>
      <c r="D167" s="836" t="s">
        <v>46</v>
      </c>
      <c r="E167" s="836"/>
      <c r="F167" s="33"/>
      <c r="I167" s="601" t="s">
        <v>132</v>
      </c>
    </row>
    <row r="168" spans="1:9" ht="15" customHeight="1">
      <c r="A168" t="s">
        <v>1920</v>
      </c>
      <c r="B168" t="s">
        <v>650</v>
      </c>
      <c r="C168" s="836" t="s">
        <v>661</v>
      </c>
      <c r="D168" s="836" t="s">
        <v>46</v>
      </c>
      <c r="E168" s="836"/>
      <c r="F168" s="33"/>
      <c r="I168" s="601" t="str">
        <f>Print_Mois!C101</f>
        <v>Ventes au Gros</v>
      </c>
    </row>
    <row r="169" spans="1:9" ht="15" customHeight="1">
      <c r="A169" t="s">
        <v>1921</v>
      </c>
      <c r="B169" t="s">
        <v>1922</v>
      </c>
      <c r="C169" s="836" t="s">
        <v>661</v>
      </c>
      <c r="D169" s="836" t="s">
        <v>54</v>
      </c>
      <c r="E169" s="836"/>
      <c r="F169" s="33"/>
      <c r="I169" s="601"/>
    </row>
    <row r="170" spans="1:9" ht="15" customHeight="1">
      <c r="A170" t="s">
        <v>1923</v>
      </c>
      <c r="B170" t="s">
        <v>2707</v>
      </c>
      <c r="C170" s="836" t="s">
        <v>661</v>
      </c>
      <c r="D170" s="836" t="s">
        <v>52</v>
      </c>
      <c r="E170" s="836"/>
      <c r="F170" s="33"/>
      <c r="I170" s="601" t="str">
        <f>Print_Mois!C301</f>
        <v>Ventes de Gros</v>
      </c>
    </row>
    <row r="171" spans="1:9" ht="15" customHeight="1">
      <c r="A171" t="s">
        <v>1925</v>
      </c>
      <c r="B171" t="s">
        <v>1926</v>
      </c>
      <c r="C171" s="836" t="s">
        <v>661</v>
      </c>
      <c r="D171" s="836" t="s">
        <v>46</v>
      </c>
      <c r="E171" s="836"/>
      <c r="F171" s="33"/>
      <c r="I171" s="601" t="s">
        <v>182</v>
      </c>
    </row>
    <row r="172" spans="1:9" ht="15" customHeight="1">
      <c r="A172" t="s">
        <v>1931</v>
      </c>
      <c r="B172" t="s">
        <v>2708</v>
      </c>
      <c r="C172" s="836" t="s">
        <v>661</v>
      </c>
      <c r="D172" s="836" t="s">
        <v>56</v>
      </c>
      <c r="E172" s="836"/>
      <c r="F172" s="33"/>
      <c r="I172" s="601" t="str">
        <f>Print_Mois!C299</f>
        <v>Ventes Internes</v>
      </c>
    </row>
    <row r="173" spans="1:9" ht="15" customHeight="1">
      <c r="A173" t="s">
        <v>1933</v>
      </c>
      <c r="B173" t="s">
        <v>2709</v>
      </c>
      <c r="C173" s="836" t="s">
        <v>661</v>
      </c>
      <c r="D173" s="836" t="s">
        <v>56</v>
      </c>
      <c r="E173" s="836"/>
      <c r="F173" s="33"/>
      <c r="I173" s="601"/>
    </row>
    <row r="174" spans="1:9" ht="15" customHeight="1">
      <c r="A174" t="s">
        <v>1935</v>
      </c>
      <c r="B174" t="s">
        <v>2710</v>
      </c>
      <c r="C174" s="836" t="s">
        <v>661</v>
      </c>
      <c r="D174" s="836" t="s">
        <v>56</v>
      </c>
      <c r="E174" s="836"/>
      <c r="F174" s="33"/>
      <c r="I174" s="601" t="str">
        <f>Print_Mois!C308</f>
        <v>Ventes Pneus</v>
      </c>
    </row>
    <row r="175" spans="1:9" ht="15" customHeight="1">
      <c r="A175" t="s">
        <v>1941</v>
      </c>
      <c r="B175" t="s">
        <v>2711</v>
      </c>
      <c r="C175" s="836" t="s">
        <v>661</v>
      </c>
      <c r="D175" s="836" t="s">
        <v>56</v>
      </c>
      <c r="E175" s="836"/>
      <c r="F175" s="33"/>
    </row>
    <row r="176" spans="1:9" ht="15" customHeight="1">
      <c r="A176" t="s">
        <v>1943</v>
      </c>
      <c r="B176" t="s">
        <v>2712</v>
      </c>
      <c r="C176" s="836" t="s">
        <v>661</v>
      </c>
      <c r="D176" s="836" t="s">
        <v>56</v>
      </c>
      <c r="E176" s="836"/>
      <c r="F176" s="33"/>
    </row>
    <row r="177" spans="1:6" ht="15" customHeight="1">
      <c r="A177" t="s">
        <v>1947</v>
      </c>
      <c r="B177" t="s">
        <v>2713</v>
      </c>
      <c r="C177" s="836" t="s">
        <v>661</v>
      </c>
      <c r="D177" s="836" t="s">
        <v>56</v>
      </c>
      <c r="E177" s="836"/>
      <c r="F177" s="33"/>
    </row>
    <row r="178" spans="1:6" ht="15" customHeight="1">
      <c r="A178" t="s">
        <v>1961</v>
      </c>
      <c r="B178" t="s">
        <v>1962</v>
      </c>
      <c r="C178" s="836" t="s">
        <v>661</v>
      </c>
      <c r="D178" s="836" t="s">
        <v>66</v>
      </c>
      <c r="E178" s="836"/>
      <c r="F178" s="33"/>
    </row>
    <row r="179" spans="1:6" ht="15" customHeight="1">
      <c r="A179" t="s">
        <v>1963</v>
      </c>
      <c r="B179" t="s">
        <v>1964</v>
      </c>
      <c r="C179" s="836" t="s">
        <v>661</v>
      </c>
      <c r="D179" s="836" t="s">
        <v>66</v>
      </c>
      <c r="E179" s="836"/>
      <c r="F179" s="33"/>
    </row>
    <row r="180" spans="1:6" ht="15" customHeight="1">
      <c r="A180" t="s">
        <v>1965</v>
      </c>
      <c r="B180" t="s">
        <v>1966</v>
      </c>
      <c r="C180" s="836" t="s">
        <v>661</v>
      </c>
      <c r="D180" s="836" t="s">
        <v>71</v>
      </c>
      <c r="E180" s="836"/>
      <c r="F180" s="33"/>
    </row>
    <row r="181" spans="1:6" ht="15" customHeight="1">
      <c r="A181" t="s">
        <v>1967</v>
      </c>
      <c r="B181" t="s">
        <v>1968</v>
      </c>
      <c r="C181" s="836" t="s">
        <v>661</v>
      </c>
      <c r="D181" s="836" t="s">
        <v>71</v>
      </c>
      <c r="E181" s="836"/>
      <c r="F181" s="3"/>
    </row>
    <row r="182" spans="1:6" ht="15" customHeight="1">
      <c r="A182" t="s">
        <v>1969</v>
      </c>
      <c r="B182" t="s">
        <v>1970</v>
      </c>
      <c r="C182" s="836" t="s">
        <v>661</v>
      </c>
      <c r="D182" s="836" t="s">
        <v>70</v>
      </c>
      <c r="E182" s="836"/>
      <c r="F182" s="3"/>
    </row>
    <row r="183" spans="1:6" ht="15" customHeight="1">
      <c r="A183" t="s">
        <v>1971</v>
      </c>
      <c r="B183" t="s">
        <v>1972</v>
      </c>
      <c r="C183" s="836" t="s">
        <v>661</v>
      </c>
      <c r="D183" s="836" t="s">
        <v>70</v>
      </c>
      <c r="E183" s="836"/>
      <c r="F183" s="3"/>
    </row>
    <row r="184" spans="1:6" ht="15" customHeight="1">
      <c r="A184" t="s">
        <v>1973</v>
      </c>
      <c r="B184" t="s">
        <v>1974</v>
      </c>
      <c r="C184" s="836" t="s">
        <v>661</v>
      </c>
      <c r="D184" s="836" t="s">
        <v>70</v>
      </c>
      <c r="E184" s="836"/>
      <c r="F184" s="3"/>
    </row>
    <row r="185" spans="1:6" ht="15" customHeight="1">
      <c r="A185" t="s">
        <v>1975</v>
      </c>
      <c r="B185" t="s">
        <v>1976</v>
      </c>
      <c r="C185" s="836" t="s">
        <v>661</v>
      </c>
      <c r="D185" s="836" t="s">
        <v>70</v>
      </c>
      <c r="E185" s="836"/>
      <c r="F185" s="3"/>
    </row>
    <row r="186" spans="1:6" ht="15" customHeight="1">
      <c r="A186" t="s">
        <v>1977</v>
      </c>
      <c r="B186" t="s">
        <v>652</v>
      </c>
      <c r="C186" s="836" t="s">
        <v>661</v>
      </c>
      <c r="D186" s="836" t="s">
        <v>75</v>
      </c>
      <c r="E186" s="836"/>
      <c r="F186" s="3"/>
    </row>
    <row r="187" spans="1:6" ht="15" customHeight="1">
      <c r="A187" t="s">
        <v>1978</v>
      </c>
      <c r="B187" t="s">
        <v>1979</v>
      </c>
      <c r="C187" s="836" t="s">
        <v>661</v>
      </c>
      <c r="D187" s="836" t="s">
        <v>75</v>
      </c>
      <c r="E187" s="836"/>
      <c r="F187" s="3"/>
    </row>
    <row r="188" spans="1:6" ht="15" customHeight="1">
      <c r="A188" t="s">
        <v>1984</v>
      </c>
      <c r="B188" t="s">
        <v>651</v>
      </c>
      <c r="C188" s="836" t="s">
        <v>661</v>
      </c>
      <c r="D188" s="836" t="s">
        <v>72</v>
      </c>
      <c r="E188" s="836"/>
      <c r="F188" s="3"/>
    </row>
    <row r="189" spans="1:6" ht="15" customHeight="1">
      <c r="A189" t="s">
        <v>1985</v>
      </c>
      <c r="B189" t="s">
        <v>1986</v>
      </c>
      <c r="C189" s="836" t="s">
        <v>661</v>
      </c>
      <c r="D189" s="836" t="s">
        <v>72</v>
      </c>
      <c r="E189" s="836"/>
      <c r="F189" s="3"/>
    </row>
    <row r="190" spans="1:6" ht="15" customHeight="1">
      <c r="A190" t="s">
        <v>2002</v>
      </c>
      <c r="B190" t="s">
        <v>2003</v>
      </c>
      <c r="C190" s="836" t="s">
        <v>661</v>
      </c>
      <c r="D190" s="836" t="s">
        <v>79</v>
      </c>
      <c r="E190" s="836"/>
      <c r="F190" s="3"/>
    </row>
    <row r="191" spans="1:6" ht="15" customHeight="1">
      <c r="A191" t="s">
        <v>2004</v>
      </c>
      <c r="B191" t="s">
        <v>2005</v>
      </c>
      <c r="C191" s="836" t="s">
        <v>661</v>
      </c>
      <c r="D191" s="836" t="s">
        <v>79</v>
      </c>
      <c r="E191" s="836"/>
      <c r="F191" s="3"/>
    </row>
    <row r="192" spans="1:6" ht="15" customHeight="1">
      <c r="A192" t="s">
        <v>2011</v>
      </c>
      <c r="B192" t="s">
        <v>2012</v>
      </c>
      <c r="C192" s="836" t="s">
        <v>661</v>
      </c>
      <c r="D192" s="836" t="s">
        <v>43</v>
      </c>
      <c r="E192" s="836"/>
      <c r="F192" s="3"/>
    </row>
    <row r="193" spans="1:9" ht="15" customHeight="1">
      <c r="A193" t="s">
        <v>2014</v>
      </c>
      <c r="B193" t="s">
        <v>2015</v>
      </c>
      <c r="C193" s="836" t="s">
        <v>661</v>
      </c>
      <c r="D193" s="836" t="s">
        <v>45</v>
      </c>
      <c r="E193" s="836"/>
      <c r="F193" s="3"/>
    </row>
    <row r="194" spans="1:9" ht="15" customHeight="1">
      <c r="A194" t="s">
        <v>2016</v>
      </c>
      <c r="B194" t="s">
        <v>2017</v>
      </c>
      <c r="C194" s="836" t="s">
        <v>661</v>
      </c>
      <c r="D194" s="836" t="s">
        <v>43</v>
      </c>
      <c r="E194" s="836"/>
      <c r="F194" s="3"/>
    </row>
    <row r="195" spans="1:9" ht="15" customHeight="1">
      <c r="A195" t="s">
        <v>2030</v>
      </c>
      <c r="B195" t="s">
        <v>2031</v>
      </c>
      <c r="C195" s="836" t="s">
        <v>661</v>
      </c>
      <c r="D195" s="836" t="s">
        <v>29</v>
      </c>
      <c r="E195" s="836"/>
      <c r="F195" s="3"/>
      <c r="I195" s="3"/>
    </row>
    <row r="196" spans="1:9" ht="15" customHeight="1">
      <c r="A196" t="s">
        <v>2033</v>
      </c>
      <c r="B196" t="s">
        <v>2034</v>
      </c>
      <c r="C196" s="836" t="s">
        <v>661</v>
      </c>
      <c r="D196" s="836" t="s">
        <v>29</v>
      </c>
      <c r="E196" s="836"/>
      <c r="F196" s="3"/>
    </row>
    <row r="197" spans="1:9" ht="15" customHeight="1">
      <c r="A197" t="s">
        <v>2035</v>
      </c>
      <c r="B197" t="s">
        <v>2036</v>
      </c>
      <c r="C197" s="836" t="s">
        <v>661</v>
      </c>
      <c r="D197" s="836" t="s">
        <v>29</v>
      </c>
      <c r="E197" s="836"/>
      <c r="F197" s="3"/>
    </row>
    <row r="198" spans="1:9" ht="15" customHeight="1">
      <c r="A198" t="s">
        <v>2037</v>
      </c>
      <c r="B198" t="s">
        <v>2038</v>
      </c>
      <c r="C198" s="836" t="s">
        <v>661</v>
      </c>
      <c r="D198" s="836" t="s">
        <v>29</v>
      </c>
      <c r="E198" s="836"/>
      <c r="F198" s="3"/>
    </row>
    <row r="199" spans="1:9" ht="15" customHeight="1">
      <c r="A199" t="s">
        <v>2039</v>
      </c>
      <c r="B199" t="s">
        <v>2040</v>
      </c>
      <c r="C199" s="836" t="s">
        <v>661</v>
      </c>
      <c r="D199" s="836" t="s">
        <v>29</v>
      </c>
      <c r="E199" s="836"/>
      <c r="F199" s="3"/>
    </row>
    <row r="200" spans="1:9" ht="15" customHeight="1">
      <c r="A200" t="s">
        <v>2043</v>
      </c>
      <c r="B200" t="s">
        <v>2044</v>
      </c>
      <c r="C200" s="836" t="s">
        <v>661</v>
      </c>
      <c r="D200" s="836" t="s">
        <v>51</v>
      </c>
      <c r="E200" s="836"/>
      <c r="F200" s="3"/>
    </row>
    <row r="201" spans="1:9" ht="15" customHeight="1">
      <c r="A201" t="s">
        <v>2045</v>
      </c>
      <c r="B201" t="s">
        <v>2046</v>
      </c>
      <c r="C201" s="836" t="s">
        <v>661</v>
      </c>
      <c r="D201" s="836" t="s">
        <v>51</v>
      </c>
      <c r="E201" s="836"/>
      <c r="F201" s="3"/>
    </row>
    <row r="202" spans="1:9" ht="15" customHeight="1">
      <c r="A202" t="s">
        <v>2047</v>
      </c>
      <c r="B202" t="s">
        <v>2048</v>
      </c>
      <c r="C202" s="836" t="s">
        <v>661</v>
      </c>
      <c r="D202" s="836" t="s">
        <v>51</v>
      </c>
      <c r="E202" s="836"/>
      <c r="F202" s="3"/>
    </row>
    <row r="203" spans="1:9" ht="15" customHeight="1">
      <c r="A203" t="s">
        <v>2049</v>
      </c>
      <c r="B203" t="s">
        <v>2050</v>
      </c>
      <c r="C203" s="836" t="s">
        <v>661</v>
      </c>
      <c r="D203" s="836" t="s">
        <v>51</v>
      </c>
      <c r="E203" s="836"/>
      <c r="F203" s="3"/>
    </row>
    <row r="204" spans="1:9" ht="15" customHeight="1">
      <c r="A204" t="s">
        <v>2051</v>
      </c>
      <c r="B204" t="s">
        <v>2052</v>
      </c>
      <c r="C204" s="836" t="s">
        <v>661</v>
      </c>
      <c r="D204" s="836" t="s">
        <v>51</v>
      </c>
      <c r="E204" s="836"/>
      <c r="F204" s="3"/>
    </row>
    <row r="205" spans="1:9" ht="15" customHeight="1">
      <c r="A205" t="s">
        <v>2053</v>
      </c>
      <c r="B205" t="s">
        <v>659</v>
      </c>
      <c r="C205" s="836" t="s">
        <v>661</v>
      </c>
      <c r="D205" s="836" t="s">
        <v>51</v>
      </c>
      <c r="E205" s="836"/>
      <c r="F205" s="3"/>
    </row>
    <row r="206" spans="1:9" ht="15" customHeight="1">
      <c r="A206" t="s">
        <v>2054</v>
      </c>
      <c r="B206" t="s">
        <v>655</v>
      </c>
      <c r="C206" s="836" t="s">
        <v>661</v>
      </c>
      <c r="D206" s="836" t="s">
        <v>31</v>
      </c>
      <c r="E206" s="836"/>
      <c r="F206" s="3"/>
    </row>
    <row r="207" spans="1:9" ht="15" customHeight="1">
      <c r="A207" t="s">
        <v>2055</v>
      </c>
      <c r="B207" t="s">
        <v>2056</v>
      </c>
      <c r="C207" s="836" t="s">
        <v>661</v>
      </c>
      <c r="D207" s="836" t="s">
        <v>31</v>
      </c>
      <c r="E207" s="836"/>
      <c r="F207" s="3"/>
    </row>
    <row r="208" spans="1:9" ht="15" customHeight="1">
      <c r="A208" t="s">
        <v>2057</v>
      </c>
      <c r="B208" t="s">
        <v>2058</v>
      </c>
      <c r="C208" s="836" t="s">
        <v>661</v>
      </c>
      <c r="D208" s="836" t="s">
        <v>31</v>
      </c>
      <c r="E208" s="836"/>
      <c r="F208" s="3"/>
    </row>
    <row r="209" spans="1:6" ht="15" customHeight="1">
      <c r="A209" t="s">
        <v>2059</v>
      </c>
      <c r="B209" t="s">
        <v>2060</v>
      </c>
      <c r="C209" s="836" t="s">
        <v>661</v>
      </c>
      <c r="D209" s="836" t="s">
        <v>31</v>
      </c>
      <c r="E209" s="836"/>
      <c r="F209" s="3"/>
    </row>
    <row r="210" spans="1:6" ht="15" customHeight="1">
      <c r="A210" t="s">
        <v>2061</v>
      </c>
      <c r="B210" t="s">
        <v>2062</v>
      </c>
      <c r="C210" s="836" t="s">
        <v>661</v>
      </c>
      <c r="D210" s="836" t="s">
        <v>31</v>
      </c>
      <c r="E210" s="836"/>
      <c r="F210" s="3"/>
    </row>
    <row r="211" spans="1:6" ht="15" customHeight="1">
      <c r="A211" t="s">
        <v>2063</v>
      </c>
      <c r="B211" t="s">
        <v>2064</v>
      </c>
      <c r="C211" s="836" t="s">
        <v>661</v>
      </c>
      <c r="D211" s="836" t="s">
        <v>31</v>
      </c>
      <c r="E211" s="836"/>
      <c r="F211" s="3"/>
    </row>
    <row r="212" spans="1:6" ht="15" customHeight="1">
      <c r="A212" t="s">
        <v>2065</v>
      </c>
      <c r="B212" t="s">
        <v>2066</v>
      </c>
      <c r="C212" s="836" t="s">
        <v>661</v>
      </c>
      <c r="D212" s="836" t="s">
        <v>31</v>
      </c>
      <c r="E212" s="836"/>
      <c r="F212" s="3"/>
    </row>
    <row r="213" spans="1:6" ht="15" customHeight="1">
      <c r="A213" t="s">
        <v>2067</v>
      </c>
      <c r="B213" t="s">
        <v>2068</v>
      </c>
      <c r="C213" s="836" t="s">
        <v>661</v>
      </c>
      <c r="D213" s="836" t="s">
        <v>49</v>
      </c>
      <c r="E213" s="836"/>
      <c r="F213" s="3"/>
    </row>
    <row r="214" spans="1:6" ht="15" customHeight="1">
      <c r="A214" t="s">
        <v>2069</v>
      </c>
      <c r="B214" t="s">
        <v>2070</v>
      </c>
      <c r="C214" s="836" t="s">
        <v>661</v>
      </c>
      <c r="D214" s="836" t="s">
        <v>49</v>
      </c>
      <c r="E214" s="836"/>
      <c r="F214" s="3"/>
    </row>
    <row r="215" spans="1:6" ht="15" customHeight="1">
      <c r="A215" t="s">
        <v>2071</v>
      </c>
      <c r="B215" t="s">
        <v>2072</v>
      </c>
      <c r="C215" s="836" t="s">
        <v>661</v>
      </c>
      <c r="D215" s="836" t="s">
        <v>49</v>
      </c>
      <c r="E215" s="836"/>
      <c r="F215" s="3"/>
    </row>
    <row r="216" spans="1:6" ht="15" customHeight="1">
      <c r="A216" t="s">
        <v>2075</v>
      </c>
      <c r="B216" t="s">
        <v>2076</v>
      </c>
      <c r="C216" s="836" t="s">
        <v>661</v>
      </c>
      <c r="D216" s="836" t="s">
        <v>35</v>
      </c>
      <c r="E216" s="836"/>
      <c r="F216" s="3"/>
    </row>
    <row r="217" spans="1:6" ht="15" customHeight="1">
      <c r="A217" t="s">
        <v>2077</v>
      </c>
      <c r="B217" t="s">
        <v>656</v>
      </c>
      <c r="C217" s="836" t="s">
        <v>661</v>
      </c>
      <c r="D217" s="836" t="s">
        <v>31</v>
      </c>
      <c r="E217" s="836"/>
      <c r="F217" s="3"/>
    </row>
    <row r="218" spans="1:6" ht="15" customHeight="1">
      <c r="A218" t="s">
        <v>2078</v>
      </c>
      <c r="B218" t="s">
        <v>2079</v>
      </c>
      <c r="C218" s="836" t="s">
        <v>661</v>
      </c>
      <c r="D218" s="836" t="s">
        <v>31</v>
      </c>
      <c r="E218" s="836"/>
      <c r="F218" s="3"/>
    </row>
    <row r="219" spans="1:6" ht="15" customHeight="1">
      <c r="A219" t="s">
        <v>2080</v>
      </c>
      <c r="B219" t="s">
        <v>2081</v>
      </c>
      <c r="C219" s="836" t="s">
        <v>661</v>
      </c>
      <c r="D219" s="836" t="s">
        <v>31</v>
      </c>
      <c r="E219" s="836"/>
      <c r="F219" s="3"/>
    </row>
    <row r="220" spans="1:6" ht="15" customHeight="1">
      <c r="A220" t="s">
        <v>2086</v>
      </c>
      <c r="B220" t="s">
        <v>2087</v>
      </c>
      <c r="C220" s="836" t="s">
        <v>661</v>
      </c>
      <c r="D220" s="836" t="s">
        <v>39</v>
      </c>
      <c r="E220" s="836"/>
      <c r="F220" s="3"/>
    </row>
    <row r="221" spans="1:6" ht="15" customHeight="1">
      <c r="A221" t="s">
        <v>2088</v>
      </c>
      <c r="B221" t="s">
        <v>2089</v>
      </c>
      <c r="C221" s="836" t="s">
        <v>661</v>
      </c>
      <c r="D221" s="836" t="s">
        <v>53</v>
      </c>
      <c r="E221" s="836"/>
      <c r="F221" s="3"/>
    </row>
    <row r="222" spans="1:6" ht="15" customHeight="1">
      <c r="A222" t="s">
        <v>2090</v>
      </c>
      <c r="B222" t="s">
        <v>2091</v>
      </c>
      <c r="C222" s="836" t="s">
        <v>661</v>
      </c>
      <c r="D222" s="836" t="s">
        <v>53</v>
      </c>
      <c r="E222" s="836"/>
      <c r="F222" s="3"/>
    </row>
    <row r="223" spans="1:6" ht="15" customHeight="1">
      <c r="A223" t="s">
        <v>2092</v>
      </c>
      <c r="B223" t="s">
        <v>2093</v>
      </c>
      <c r="C223" s="836" t="s">
        <v>661</v>
      </c>
      <c r="D223" s="836" t="s">
        <v>53</v>
      </c>
      <c r="E223" s="836"/>
      <c r="F223" s="3"/>
    </row>
    <row r="224" spans="1:6" ht="15" customHeight="1">
      <c r="A224" t="s">
        <v>2094</v>
      </c>
      <c r="B224" t="s">
        <v>2095</v>
      </c>
      <c r="C224" s="836" t="s">
        <v>661</v>
      </c>
      <c r="D224" s="836" t="s">
        <v>53</v>
      </c>
      <c r="E224" s="836"/>
      <c r="F224" s="3"/>
    </row>
    <row r="225" spans="1:6" ht="15" customHeight="1">
      <c r="A225" t="s">
        <v>2106</v>
      </c>
      <c r="B225" t="s">
        <v>2107</v>
      </c>
      <c r="C225" s="836" t="s">
        <v>661</v>
      </c>
      <c r="D225" s="836" t="s">
        <v>53</v>
      </c>
      <c r="E225" s="836"/>
      <c r="F225" s="3"/>
    </row>
    <row r="226" spans="1:6" ht="15" customHeight="1">
      <c r="A226" t="s">
        <v>2108</v>
      </c>
      <c r="B226" t="s">
        <v>2109</v>
      </c>
      <c r="C226" s="836" t="s">
        <v>661</v>
      </c>
      <c r="D226" s="836" t="s">
        <v>49</v>
      </c>
      <c r="E226" s="836"/>
      <c r="F226" s="3"/>
    </row>
    <row r="227" spans="1:6" ht="15" customHeight="1">
      <c r="A227" t="s">
        <v>2115</v>
      </c>
      <c r="B227" t="s">
        <v>2116</v>
      </c>
      <c r="C227" s="836" t="s">
        <v>661</v>
      </c>
      <c r="D227" s="836" t="s">
        <v>49</v>
      </c>
      <c r="E227" s="836"/>
      <c r="F227" s="3"/>
    </row>
    <row r="228" spans="1:6" ht="15" customHeight="1">
      <c r="A228" t="s">
        <v>2117</v>
      </c>
      <c r="B228" t="s">
        <v>2118</v>
      </c>
      <c r="C228" s="836" t="s">
        <v>661</v>
      </c>
      <c r="D228" s="836" t="s">
        <v>53</v>
      </c>
      <c r="E228" s="836"/>
      <c r="F228" s="3"/>
    </row>
    <row r="229" spans="1:6" ht="15" customHeight="1">
      <c r="A229" t="s">
        <v>2119</v>
      </c>
      <c r="B229" t="s">
        <v>2120</v>
      </c>
      <c r="C229" s="836" t="s">
        <v>661</v>
      </c>
      <c r="D229" s="836" t="s">
        <v>53</v>
      </c>
      <c r="E229" s="836"/>
      <c r="F229" s="3"/>
    </row>
    <row r="230" spans="1:6" ht="15" customHeight="1">
      <c r="A230" t="s">
        <v>2121</v>
      </c>
      <c r="B230" t="s">
        <v>2122</v>
      </c>
      <c r="C230" s="836" t="s">
        <v>661</v>
      </c>
      <c r="D230" s="836" t="s">
        <v>53</v>
      </c>
      <c r="E230" s="836"/>
      <c r="F230" s="3"/>
    </row>
    <row r="231" spans="1:6" ht="15" customHeight="1">
      <c r="A231" t="s">
        <v>2131</v>
      </c>
      <c r="B231" t="s">
        <v>2132</v>
      </c>
      <c r="C231" s="836" t="s">
        <v>661</v>
      </c>
      <c r="D231" s="836" t="s">
        <v>53</v>
      </c>
      <c r="E231" s="836"/>
      <c r="F231" s="3"/>
    </row>
    <row r="232" spans="1:6" ht="15" customHeight="1">
      <c r="A232" t="s">
        <v>2135</v>
      </c>
      <c r="B232" t="s">
        <v>2136</v>
      </c>
      <c r="C232" s="836" t="s">
        <v>661</v>
      </c>
      <c r="D232" s="836" t="s">
        <v>53</v>
      </c>
      <c r="E232" s="836"/>
      <c r="F232" s="3"/>
    </row>
    <row r="233" spans="1:6" ht="15" customHeight="1">
      <c r="A233" t="s">
        <v>2137</v>
      </c>
      <c r="B233" t="s">
        <v>2138</v>
      </c>
      <c r="C233" s="836" t="s">
        <v>661</v>
      </c>
      <c r="D233" s="836" t="s">
        <v>53</v>
      </c>
      <c r="E233" s="836"/>
      <c r="F233" s="3"/>
    </row>
    <row r="234" spans="1:6" ht="15" customHeight="1">
      <c r="A234" t="s">
        <v>2139</v>
      </c>
      <c r="B234" t="s">
        <v>2140</v>
      </c>
      <c r="C234" s="836" t="s">
        <v>661</v>
      </c>
      <c r="D234" s="836" t="s">
        <v>33</v>
      </c>
      <c r="E234" s="836"/>
      <c r="F234" s="3"/>
    </row>
    <row r="235" spans="1:6" ht="15" customHeight="1">
      <c r="A235" t="s">
        <v>2141</v>
      </c>
      <c r="B235" t="s">
        <v>2142</v>
      </c>
      <c r="C235" s="836" t="s">
        <v>661</v>
      </c>
      <c r="D235" s="836" t="s">
        <v>33</v>
      </c>
      <c r="E235" s="836"/>
      <c r="F235" s="3"/>
    </row>
    <row r="236" spans="1:6" ht="15" customHeight="1">
      <c r="A236" t="s">
        <v>2143</v>
      </c>
      <c r="B236" t="s">
        <v>2144</v>
      </c>
      <c r="C236" s="836" t="s">
        <v>661</v>
      </c>
      <c r="D236" s="836" t="s">
        <v>33</v>
      </c>
      <c r="E236" s="836"/>
      <c r="F236" s="3"/>
    </row>
    <row r="237" spans="1:6" ht="15" customHeight="1">
      <c r="A237" t="s">
        <v>2149</v>
      </c>
      <c r="B237" t="s">
        <v>2150</v>
      </c>
      <c r="C237" s="836" t="s">
        <v>661</v>
      </c>
      <c r="D237" s="836" t="s">
        <v>33</v>
      </c>
      <c r="E237" s="836"/>
      <c r="F237" s="3"/>
    </row>
    <row r="238" spans="1:6" ht="15" customHeight="1">
      <c r="A238" t="s">
        <v>2171</v>
      </c>
      <c r="B238" t="s">
        <v>2172</v>
      </c>
      <c r="C238" s="836" t="s">
        <v>661</v>
      </c>
      <c r="D238" s="836" t="s">
        <v>36</v>
      </c>
      <c r="E238" s="836"/>
      <c r="F238" s="3"/>
    </row>
    <row r="239" spans="1:6" ht="15" customHeight="1">
      <c r="A239" t="s">
        <v>2183</v>
      </c>
      <c r="B239" t="s">
        <v>2184</v>
      </c>
      <c r="C239" s="836" t="s">
        <v>661</v>
      </c>
      <c r="D239" s="836" t="s">
        <v>80</v>
      </c>
      <c r="E239" s="836"/>
      <c r="F239" s="3"/>
    </row>
    <row r="240" spans="1:6" ht="15" customHeight="1">
      <c r="A240" t="s">
        <v>2185</v>
      </c>
      <c r="B240" t="s">
        <v>2186</v>
      </c>
      <c r="C240" s="836" t="s">
        <v>661</v>
      </c>
      <c r="D240" s="836" t="s">
        <v>80</v>
      </c>
      <c r="E240" s="836"/>
      <c r="F240" s="3"/>
    </row>
    <row r="241" spans="1:7" ht="15" customHeight="1">
      <c r="A241" t="s">
        <v>2208</v>
      </c>
      <c r="B241" t="s">
        <v>2209</v>
      </c>
      <c r="C241" s="836" t="s">
        <v>661</v>
      </c>
      <c r="D241" s="836" t="s">
        <v>82</v>
      </c>
      <c r="E241" s="836"/>
      <c r="F241" s="4"/>
    </row>
    <row r="242" spans="1:7" ht="15" customHeight="1">
      <c r="A242" t="s">
        <v>2233</v>
      </c>
      <c r="B242" t="s">
        <v>2234</v>
      </c>
      <c r="C242" s="836" t="s">
        <v>88</v>
      </c>
      <c r="D242" s="836" t="s">
        <v>94</v>
      </c>
      <c r="E242" s="1032" t="s">
        <v>678</v>
      </c>
      <c r="F242" s="3"/>
    </row>
    <row r="243" spans="1:7" ht="15" customHeight="1">
      <c r="A243" t="s">
        <v>2237</v>
      </c>
      <c r="B243" t="s">
        <v>2238</v>
      </c>
      <c r="C243" s="836" t="s">
        <v>88</v>
      </c>
      <c r="D243" s="836" t="s">
        <v>94</v>
      </c>
      <c r="E243" s="1032" t="s">
        <v>678</v>
      </c>
      <c r="F243" s="3"/>
    </row>
    <row r="244" spans="1:7" ht="15" customHeight="1">
      <c r="A244" t="s">
        <v>2247</v>
      </c>
      <c r="B244" t="s">
        <v>2248</v>
      </c>
      <c r="C244" s="836" t="s">
        <v>88</v>
      </c>
      <c r="D244" s="836" t="s">
        <v>93</v>
      </c>
      <c r="E244" s="1032" t="s">
        <v>678</v>
      </c>
      <c r="F244" s="3"/>
    </row>
    <row r="245" spans="1:7" ht="15" customHeight="1">
      <c r="A245" t="s">
        <v>2253</v>
      </c>
      <c r="B245" t="s">
        <v>2254</v>
      </c>
      <c r="C245" s="836" t="s">
        <v>88</v>
      </c>
      <c r="D245" s="836" t="s">
        <v>93</v>
      </c>
      <c r="E245" s="1032" t="s">
        <v>678</v>
      </c>
      <c r="F245" s="3"/>
    </row>
    <row r="246" spans="1:7" ht="15" customHeight="1">
      <c r="A246" t="s">
        <v>2258</v>
      </c>
      <c r="B246" t="s">
        <v>2259</v>
      </c>
      <c r="C246" s="836" t="s">
        <v>88</v>
      </c>
      <c r="D246" s="836" t="s">
        <v>2717</v>
      </c>
      <c r="E246" s="1032" t="s">
        <v>678</v>
      </c>
      <c r="F246" s="3"/>
    </row>
    <row r="247" spans="1:7" ht="15" customHeight="1">
      <c r="A247" t="s">
        <v>2260</v>
      </c>
      <c r="B247" t="s">
        <v>2261</v>
      </c>
      <c r="C247" s="836" t="s">
        <v>88</v>
      </c>
      <c r="D247" s="836" t="s">
        <v>2717</v>
      </c>
      <c r="E247" s="1032" t="s">
        <v>678</v>
      </c>
      <c r="F247" s="3"/>
    </row>
    <row r="248" spans="1:7" ht="15" customHeight="1">
      <c r="A248" t="s">
        <v>2262</v>
      </c>
      <c r="B248" t="s">
        <v>2263</v>
      </c>
      <c r="C248" s="836" t="s">
        <v>88</v>
      </c>
      <c r="D248" s="836" t="s">
        <v>94</v>
      </c>
      <c r="E248" s="1032" t="s">
        <v>678</v>
      </c>
      <c r="F248" s="3"/>
    </row>
    <row r="249" spans="1:7" ht="15" customHeight="1">
      <c r="A249" t="s">
        <v>2264</v>
      </c>
      <c r="B249" t="s">
        <v>2265</v>
      </c>
      <c r="C249" s="836" t="s">
        <v>88</v>
      </c>
      <c r="D249" s="836" t="s">
        <v>2717</v>
      </c>
      <c r="E249" s="1032" t="s">
        <v>678</v>
      </c>
      <c r="F249" s="3"/>
    </row>
    <row r="250" spans="1:7" ht="15" customHeight="1">
      <c r="A250" t="s">
        <v>2266</v>
      </c>
      <c r="B250" t="s">
        <v>2267</v>
      </c>
      <c r="C250" s="836" t="s">
        <v>88</v>
      </c>
      <c r="D250" s="836" t="s">
        <v>93</v>
      </c>
      <c r="E250" s="1032" t="s">
        <v>678</v>
      </c>
      <c r="F250" s="3"/>
      <c r="G250" s="887" t="s">
        <v>1094</v>
      </c>
    </row>
    <row r="251" spans="1:7" ht="15" customHeight="1">
      <c r="A251" t="s">
        <v>2272</v>
      </c>
      <c r="B251" t="s">
        <v>2273</v>
      </c>
      <c r="C251" s="836" t="s">
        <v>88</v>
      </c>
      <c r="D251" s="836" t="s">
        <v>94</v>
      </c>
      <c r="E251" s="1032" t="s">
        <v>678</v>
      </c>
      <c r="F251" s="3"/>
    </row>
    <row r="252" spans="1:7" ht="15" customHeight="1">
      <c r="A252" t="s">
        <v>2274</v>
      </c>
      <c r="B252" t="s">
        <v>2275</v>
      </c>
      <c r="C252" s="836" t="s">
        <v>88</v>
      </c>
      <c r="D252" s="836" t="s">
        <v>94</v>
      </c>
      <c r="E252" s="1032" t="s">
        <v>678</v>
      </c>
      <c r="F252" s="3"/>
    </row>
    <row r="253" spans="1:7" ht="15" customHeight="1">
      <c r="A253" t="s">
        <v>2276</v>
      </c>
      <c r="B253" t="s">
        <v>2277</v>
      </c>
      <c r="C253" s="836" t="s">
        <v>88</v>
      </c>
      <c r="D253" s="836" t="s">
        <v>2717</v>
      </c>
      <c r="E253" s="1032" t="s">
        <v>678</v>
      </c>
      <c r="F253" s="3"/>
    </row>
    <row r="254" spans="1:7" ht="15" customHeight="1">
      <c r="A254" t="s">
        <v>2280</v>
      </c>
      <c r="B254" t="s">
        <v>2281</v>
      </c>
      <c r="C254" s="836" t="s">
        <v>88</v>
      </c>
      <c r="D254" s="836" t="s">
        <v>102</v>
      </c>
      <c r="E254" s="1032" t="s">
        <v>678</v>
      </c>
      <c r="F254" s="3"/>
    </row>
    <row r="255" spans="1:7" ht="15" customHeight="1">
      <c r="A255" t="s">
        <v>2282</v>
      </c>
      <c r="B255" t="s">
        <v>2283</v>
      </c>
      <c r="C255" s="836" t="s">
        <v>88</v>
      </c>
      <c r="D255" s="836" t="s">
        <v>102</v>
      </c>
      <c r="E255" s="1032" t="s">
        <v>678</v>
      </c>
      <c r="F255" s="3"/>
    </row>
    <row r="256" spans="1:7" ht="15" customHeight="1">
      <c r="A256" t="s">
        <v>2286</v>
      </c>
      <c r="B256" t="s">
        <v>2285</v>
      </c>
      <c r="C256" s="836" t="s">
        <v>88</v>
      </c>
      <c r="D256" s="836" t="s">
        <v>102</v>
      </c>
      <c r="E256" s="1032" t="s">
        <v>678</v>
      </c>
      <c r="F256" s="3"/>
    </row>
    <row r="257" spans="1:6" ht="15" customHeight="1">
      <c r="A257" t="s">
        <v>2287</v>
      </c>
      <c r="B257" t="s">
        <v>2288</v>
      </c>
      <c r="C257" s="836" t="s">
        <v>88</v>
      </c>
      <c r="D257" s="836" t="s">
        <v>101</v>
      </c>
      <c r="E257" s="1032" t="s">
        <v>678</v>
      </c>
      <c r="F257" s="3"/>
    </row>
    <row r="258" spans="1:6" ht="15" customHeight="1">
      <c r="A258" t="s">
        <v>2289</v>
      </c>
      <c r="B258" t="s">
        <v>2290</v>
      </c>
      <c r="C258" s="836" t="s">
        <v>88</v>
      </c>
      <c r="D258" s="836" t="s">
        <v>102</v>
      </c>
      <c r="E258" s="1032" t="s">
        <v>678</v>
      </c>
      <c r="F258" s="4"/>
    </row>
    <row r="259" spans="1:6" ht="15" customHeight="1">
      <c r="A259" t="s">
        <v>2293</v>
      </c>
      <c r="B259" t="s">
        <v>2294</v>
      </c>
      <c r="C259" s="836" t="s">
        <v>88</v>
      </c>
      <c r="D259" s="836" t="s">
        <v>102</v>
      </c>
      <c r="E259" s="1032" t="s">
        <v>678</v>
      </c>
      <c r="F259" s="3"/>
    </row>
    <row r="260" spans="1:6" ht="15" customHeight="1">
      <c r="A260" t="s">
        <v>2295</v>
      </c>
      <c r="B260" t="s">
        <v>2296</v>
      </c>
      <c r="C260" s="836" t="s">
        <v>88</v>
      </c>
      <c r="D260" s="836" t="s">
        <v>99</v>
      </c>
      <c r="E260" s="1032" t="s">
        <v>678</v>
      </c>
      <c r="F260" s="3"/>
    </row>
    <row r="261" spans="1:6" ht="15" customHeight="1">
      <c r="A261" t="s">
        <v>2297</v>
      </c>
      <c r="B261" t="s">
        <v>2298</v>
      </c>
      <c r="C261" s="836" t="s">
        <v>88</v>
      </c>
      <c r="D261" s="836" t="s">
        <v>99</v>
      </c>
      <c r="E261" s="1032" t="s">
        <v>678</v>
      </c>
      <c r="F261" s="3"/>
    </row>
    <row r="262" spans="1:6" ht="15" customHeight="1">
      <c r="A262" t="s">
        <v>2299</v>
      </c>
      <c r="B262" t="s">
        <v>2300</v>
      </c>
      <c r="C262" s="836" t="s">
        <v>148</v>
      </c>
      <c r="D262" s="836" t="s">
        <v>100</v>
      </c>
      <c r="E262" s="1032" t="s">
        <v>678</v>
      </c>
      <c r="F262" s="3"/>
    </row>
    <row r="263" spans="1:6" ht="15" customHeight="1">
      <c r="A263" t="s">
        <v>2301</v>
      </c>
      <c r="B263" t="s">
        <v>2302</v>
      </c>
      <c r="C263" s="836" t="s">
        <v>88</v>
      </c>
      <c r="D263" s="836" t="s">
        <v>94</v>
      </c>
      <c r="E263" s="1032" t="s">
        <v>678</v>
      </c>
      <c r="F263" s="3"/>
    </row>
    <row r="264" spans="1:6" ht="15" customHeight="1">
      <c r="A264" t="s">
        <v>2303</v>
      </c>
      <c r="B264" t="s">
        <v>2304</v>
      </c>
      <c r="C264" s="836" t="s">
        <v>88</v>
      </c>
      <c r="D264" s="836" t="s">
        <v>94</v>
      </c>
      <c r="E264" s="1032" t="s">
        <v>678</v>
      </c>
      <c r="F264" s="3"/>
    </row>
    <row r="265" spans="1:6" ht="15" customHeight="1">
      <c r="A265" t="s">
        <v>2305</v>
      </c>
      <c r="B265" t="s">
        <v>2306</v>
      </c>
      <c r="C265" s="836" t="s">
        <v>148</v>
      </c>
      <c r="D265" s="836" t="s">
        <v>149</v>
      </c>
      <c r="E265" s="1032" t="s">
        <v>678</v>
      </c>
      <c r="F265" s="3"/>
    </row>
    <row r="266" spans="1:6" ht="15" customHeight="1">
      <c r="A266" t="s">
        <v>2309</v>
      </c>
      <c r="B266" t="s">
        <v>2310</v>
      </c>
      <c r="C266" s="836" t="s">
        <v>148</v>
      </c>
      <c r="D266" s="836" t="s">
        <v>150</v>
      </c>
      <c r="E266" s="1032" t="s">
        <v>678</v>
      </c>
      <c r="F266" s="3"/>
    </row>
    <row r="267" spans="1:6" ht="15" customHeight="1">
      <c r="A267" t="s">
        <v>2313</v>
      </c>
      <c r="B267" t="s">
        <v>2314</v>
      </c>
      <c r="C267" s="836" t="s">
        <v>148</v>
      </c>
      <c r="D267" s="836" t="s">
        <v>1094</v>
      </c>
      <c r="E267" s="1032" t="s">
        <v>678</v>
      </c>
      <c r="F267" s="3"/>
    </row>
    <row r="268" spans="1:6" ht="15" customHeight="1">
      <c r="A268" t="s">
        <v>2317</v>
      </c>
      <c r="B268" t="s">
        <v>2318</v>
      </c>
      <c r="C268" s="836" t="s">
        <v>148</v>
      </c>
      <c r="D268" s="836" t="s">
        <v>150</v>
      </c>
      <c r="E268" s="1032" t="s">
        <v>678</v>
      </c>
      <c r="F268" s="3"/>
    </row>
    <row r="269" spans="1:6" ht="15" customHeight="1">
      <c r="A269" t="s">
        <v>2322</v>
      </c>
      <c r="B269" t="s">
        <v>2323</v>
      </c>
      <c r="C269" s="836" t="s">
        <v>88</v>
      </c>
      <c r="D269" s="836" t="s">
        <v>2714</v>
      </c>
      <c r="E269" s="1032"/>
      <c r="F269" s="3"/>
    </row>
    <row r="270" spans="1:6" ht="15" customHeight="1">
      <c r="A270" t="s">
        <v>2324</v>
      </c>
      <c r="B270" t="s">
        <v>2248</v>
      </c>
      <c r="C270" s="836" t="s">
        <v>88</v>
      </c>
      <c r="D270" s="836" t="s">
        <v>93</v>
      </c>
      <c r="E270" s="1032" t="s">
        <v>678</v>
      </c>
      <c r="F270" s="3"/>
    </row>
    <row r="271" spans="1:6" ht="15" customHeight="1">
      <c r="A271" t="s">
        <v>2325</v>
      </c>
      <c r="B271" t="s">
        <v>2326</v>
      </c>
      <c r="C271" s="836" t="s">
        <v>148</v>
      </c>
      <c r="D271" s="836" t="s">
        <v>152</v>
      </c>
      <c r="E271" s="1032" t="s">
        <v>678</v>
      </c>
      <c r="F271" s="3"/>
    </row>
    <row r="272" spans="1:6" ht="15" customHeight="1">
      <c r="A272" t="s">
        <v>2327</v>
      </c>
      <c r="B272" t="s">
        <v>2328</v>
      </c>
      <c r="C272" s="836" t="s">
        <v>148</v>
      </c>
      <c r="D272" s="836" t="s">
        <v>152</v>
      </c>
      <c r="E272" s="1032" t="s">
        <v>678</v>
      </c>
      <c r="F272" s="3"/>
    </row>
    <row r="273" spans="1:6" ht="15" customHeight="1">
      <c r="A273" t="s">
        <v>2331</v>
      </c>
      <c r="B273" t="s">
        <v>2332</v>
      </c>
      <c r="C273" s="836" t="s">
        <v>148</v>
      </c>
      <c r="D273" s="836" t="s">
        <v>100</v>
      </c>
      <c r="E273" s="1032" t="s">
        <v>678</v>
      </c>
      <c r="F273" s="3"/>
    </row>
    <row r="274" spans="1:6" ht="15" customHeight="1">
      <c r="A274" t="s">
        <v>2347</v>
      </c>
      <c r="B274" t="s">
        <v>2348</v>
      </c>
      <c r="C274" s="836" t="s">
        <v>148</v>
      </c>
      <c r="D274" s="836" t="s">
        <v>102</v>
      </c>
      <c r="E274" s="1032" t="s">
        <v>678</v>
      </c>
      <c r="F274" s="3"/>
    </row>
    <row r="275" spans="1:6" ht="15" customHeight="1">
      <c r="A275" t="s">
        <v>2349</v>
      </c>
      <c r="B275" t="s">
        <v>2350</v>
      </c>
      <c r="C275" s="836" t="s">
        <v>148</v>
      </c>
      <c r="D275" s="836" t="s">
        <v>102</v>
      </c>
      <c r="E275" s="1032" t="s">
        <v>678</v>
      </c>
      <c r="F275" s="3"/>
    </row>
    <row r="276" spans="1:6" ht="15" customHeight="1">
      <c r="A276" t="s">
        <v>2351</v>
      </c>
      <c r="B276" t="s">
        <v>2338</v>
      </c>
      <c r="C276" s="836" t="s">
        <v>148</v>
      </c>
      <c r="D276" s="836" t="s">
        <v>101</v>
      </c>
      <c r="E276" s="1032" t="s">
        <v>678</v>
      </c>
      <c r="F276" s="3"/>
    </row>
    <row r="277" spans="1:6" ht="15" customHeight="1">
      <c r="A277" t="s">
        <v>2352</v>
      </c>
      <c r="B277" t="s">
        <v>2353</v>
      </c>
      <c r="C277" s="836" t="s">
        <v>148</v>
      </c>
      <c r="D277" s="836" t="s">
        <v>102</v>
      </c>
      <c r="E277" s="1032" t="s">
        <v>678</v>
      </c>
      <c r="F277" s="3"/>
    </row>
    <row r="278" spans="1:6" ht="15" customHeight="1">
      <c r="A278" t="s">
        <v>2354</v>
      </c>
      <c r="B278" t="s">
        <v>2285</v>
      </c>
      <c r="C278" s="836" t="s">
        <v>148</v>
      </c>
      <c r="D278" s="836" t="s">
        <v>102</v>
      </c>
      <c r="E278" s="1032" t="s">
        <v>678</v>
      </c>
      <c r="F278" s="3"/>
    </row>
    <row r="279" spans="1:6" ht="15" customHeight="1">
      <c r="A279" t="s">
        <v>2357</v>
      </c>
      <c r="B279" t="s">
        <v>2358</v>
      </c>
      <c r="C279" s="836" t="s">
        <v>88</v>
      </c>
      <c r="D279" s="836" t="s">
        <v>94</v>
      </c>
      <c r="E279" s="1032" t="s">
        <v>678</v>
      </c>
      <c r="F279" s="3"/>
    </row>
    <row r="280" spans="1:6" ht="15" customHeight="1">
      <c r="A280" t="s">
        <v>2359</v>
      </c>
      <c r="B280" t="s">
        <v>2360</v>
      </c>
      <c r="C280" s="836" t="s">
        <v>88</v>
      </c>
      <c r="D280" s="836" t="s">
        <v>2717</v>
      </c>
      <c r="E280" s="1032" t="s">
        <v>678</v>
      </c>
      <c r="F280" s="3"/>
    </row>
    <row r="281" spans="1:6" ht="15" customHeight="1">
      <c r="A281" t="s">
        <v>2361</v>
      </c>
      <c r="B281" t="s">
        <v>2362</v>
      </c>
      <c r="C281" s="836" t="s">
        <v>88</v>
      </c>
      <c r="D281" s="836" t="s">
        <v>2717</v>
      </c>
      <c r="E281" s="1032" t="s">
        <v>678</v>
      </c>
      <c r="F281" s="3"/>
    </row>
    <row r="282" spans="1:6" ht="15" customHeight="1">
      <c r="A282" t="s">
        <v>2364</v>
      </c>
      <c r="B282" t="s">
        <v>2365</v>
      </c>
      <c r="C282" s="836" t="s">
        <v>88</v>
      </c>
      <c r="D282" s="836" t="s">
        <v>2717</v>
      </c>
      <c r="E282" s="1032" t="s">
        <v>678</v>
      </c>
      <c r="F282" s="3"/>
    </row>
    <row r="283" spans="1:6" ht="15" customHeight="1">
      <c r="A283" t="s">
        <v>2366</v>
      </c>
      <c r="B283" t="s">
        <v>2367</v>
      </c>
      <c r="C283" s="836" t="s">
        <v>176</v>
      </c>
      <c r="D283" s="836" t="s">
        <v>183</v>
      </c>
      <c r="E283" s="1032" t="s">
        <v>678</v>
      </c>
      <c r="F283" s="3"/>
    </row>
    <row r="284" spans="1:6" ht="15" customHeight="1">
      <c r="A284" t="s">
        <v>2369</v>
      </c>
      <c r="B284" t="s">
        <v>2370</v>
      </c>
      <c r="C284" s="836" t="s">
        <v>176</v>
      </c>
      <c r="D284" s="836" t="s">
        <v>182</v>
      </c>
      <c r="E284" s="1032" t="s">
        <v>678</v>
      </c>
      <c r="F284" s="3"/>
    </row>
    <row r="285" spans="1:6" ht="15" customHeight="1">
      <c r="A285" t="s">
        <v>2371</v>
      </c>
      <c r="B285" t="s">
        <v>2372</v>
      </c>
      <c r="C285" s="836" t="s">
        <v>176</v>
      </c>
      <c r="D285" s="836" t="s">
        <v>182</v>
      </c>
      <c r="E285" s="1032" t="s">
        <v>678</v>
      </c>
      <c r="F285" s="3"/>
    </row>
    <row r="286" spans="1:6" ht="15" customHeight="1">
      <c r="A286" t="s">
        <v>2373</v>
      </c>
      <c r="B286" t="s">
        <v>2374</v>
      </c>
      <c r="C286" s="836" t="s">
        <v>176</v>
      </c>
      <c r="D286" s="836" t="s">
        <v>178</v>
      </c>
      <c r="E286" s="1032" t="s">
        <v>678</v>
      </c>
      <c r="F286" s="3"/>
    </row>
    <row r="287" spans="1:6" ht="15" customHeight="1">
      <c r="A287" t="s">
        <v>2379</v>
      </c>
      <c r="B287" t="s">
        <v>2380</v>
      </c>
      <c r="C287" s="836" t="s">
        <v>176</v>
      </c>
      <c r="D287" s="836" t="s">
        <v>180</v>
      </c>
      <c r="E287" s="1032" t="s">
        <v>678</v>
      </c>
      <c r="F287" s="3"/>
    </row>
    <row r="288" spans="1:6" ht="15" customHeight="1">
      <c r="A288" t="s">
        <v>2381</v>
      </c>
      <c r="B288" t="s">
        <v>2382</v>
      </c>
      <c r="C288" s="836" t="s">
        <v>176</v>
      </c>
      <c r="D288" s="836" t="s">
        <v>181</v>
      </c>
      <c r="E288" s="1032" t="s">
        <v>678</v>
      </c>
      <c r="F288" s="3"/>
    </row>
    <row r="289" spans="1:6" ht="15" customHeight="1">
      <c r="A289" t="s">
        <v>2385</v>
      </c>
      <c r="B289" t="s">
        <v>2386</v>
      </c>
      <c r="C289" s="836" t="s">
        <v>176</v>
      </c>
      <c r="D289" s="836" t="s">
        <v>187</v>
      </c>
      <c r="E289" s="1032" t="s">
        <v>678</v>
      </c>
      <c r="F289" s="3"/>
    </row>
    <row r="290" spans="1:6" ht="15" customHeight="1">
      <c r="A290" t="s">
        <v>2393</v>
      </c>
      <c r="B290" t="s">
        <v>2394</v>
      </c>
      <c r="C290" s="836" t="s">
        <v>157</v>
      </c>
      <c r="D290" s="836" t="s">
        <v>160</v>
      </c>
      <c r="E290" s="1032" t="s">
        <v>678</v>
      </c>
      <c r="F290" s="3"/>
    </row>
    <row r="291" spans="1:6" ht="15" customHeight="1">
      <c r="A291" t="s">
        <v>2399</v>
      </c>
      <c r="B291" t="s">
        <v>2400</v>
      </c>
      <c r="C291" s="836" t="s">
        <v>157</v>
      </c>
      <c r="D291" s="836" t="s">
        <v>162</v>
      </c>
      <c r="E291" s="1032" t="s">
        <v>678</v>
      </c>
      <c r="F291" s="3"/>
    </row>
    <row r="292" spans="1:6" ht="15" customHeight="1">
      <c r="A292" t="s">
        <v>2401</v>
      </c>
      <c r="B292" t="s">
        <v>2402</v>
      </c>
      <c r="C292" s="836" t="s">
        <v>157</v>
      </c>
      <c r="D292" s="836" t="s">
        <v>163</v>
      </c>
      <c r="E292" s="1032" t="s">
        <v>678</v>
      </c>
      <c r="F292" s="3"/>
    </row>
    <row r="293" spans="1:6" ht="15" customHeight="1">
      <c r="A293" t="s">
        <v>2417</v>
      </c>
      <c r="B293" t="s">
        <v>2418</v>
      </c>
      <c r="C293" s="836" t="s">
        <v>157</v>
      </c>
      <c r="D293" s="836" t="s">
        <v>168</v>
      </c>
      <c r="E293" s="1032" t="s">
        <v>678</v>
      </c>
      <c r="F293" s="3"/>
    </row>
    <row r="294" spans="1:6" ht="15" customHeight="1">
      <c r="A294" t="s">
        <v>2423</v>
      </c>
      <c r="B294" t="s">
        <v>2424</v>
      </c>
      <c r="C294" s="836" t="s">
        <v>176</v>
      </c>
      <c r="D294" s="836" t="s">
        <v>188</v>
      </c>
      <c r="E294" s="1032" t="s">
        <v>678</v>
      </c>
      <c r="F294" s="3"/>
    </row>
    <row r="295" spans="1:6" ht="15" customHeight="1">
      <c r="A295" t="s">
        <v>2425</v>
      </c>
      <c r="B295" t="s">
        <v>2426</v>
      </c>
      <c r="C295" s="836" t="s">
        <v>176</v>
      </c>
      <c r="D295" s="836" t="s">
        <v>188</v>
      </c>
      <c r="E295" s="1032" t="s">
        <v>678</v>
      </c>
      <c r="F295" s="3"/>
    </row>
    <row r="296" spans="1:6" ht="15" customHeight="1">
      <c r="A296" t="s">
        <v>2450</v>
      </c>
      <c r="B296" t="s">
        <v>2451</v>
      </c>
      <c r="C296" s="836" t="s">
        <v>88</v>
      </c>
      <c r="D296" s="836" t="s">
        <v>94</v>
      </c>
      <c r="E296" s="1032"/>
      <c r="F296" s="3"/>
    </row>
    <row r="297" spans="1:6" ht="15" customHeight="1">
      <c r="A297" t="s">
        <v>2454</v>
      </c>
      <c r="B297" t="s">
        <v>2455</v>
      </c>
      <c r="C297" s="836" t="s">
        <v>88</v>
      </c>
      <c r="D297" s="836" t="s">
        <v>94</v>
      </c>
      <c r="E297" s="1032"/>
      <c r="F297" s="3"/>
    </row>
    <row r="298" spans="1:6" ht="15" customHeight="1">
      <c r="A298" t="s">
        <v>2464</v>
      </c>
      <c r="B298" t="s">
        <v>2465</v>
      </c>
      <c r="C298" s="836" t="s">
        <v>88</v>
      </c>
      <c r="D298" s="836" t="s">
        <v>93</v>
      </c>
      <c r="E298" s="1032"/>
      <c r="F298" s="3"/>
    </row>
    <row r="299" spans="1:6" ht="15" customHeight="1">
      <c r="A299" t="s">
        <v>2470</v>
      </c>
      <c r="B299" t="s">
        <v>2471</v>
      </c>
      <c r="C299" s="836" t="s">
        <v>88</v>
      </c>
      <c r="D299" s="836" t="s">
        <v>93</v>
      </c>
      <c r="E299" s="1032"/>
      <c r="F299" s="3"/>
    </row>
    <row r="300" spans="1:6" ht="15" customHeight="1">
      <c r="A300" t="s">
        <v>2475</v>
      </c>
      <c r="B300" t="s">
        <v>2476</v>
      </c>
      <c r="C300" s="836" t="s">
        <v>88</v>
      </c>
      <c r="D300" s="836" t="s">
        <v>2717</v>
      </c>
      <c r="E300" s="1032"/>
      <c r="F300" s="3"/>
    </row>
    <row r="301" spans="1:6" ht="15" customHeight="1">
      <c r="A301" t="s">
        <v>2477</v>
      </c>
      <c r="B301" t="s">
        <v>2478</v>
      </c>
      <c r="C301" s="836" t="s">
        <v>88</v>
      </c>
      <c r="D301" s="836" t="s">
        <v>2717</v>
      </c>
      <c r="E301" s="1032"/>
      <c r="F301" s="3"/>
    </row>
    <row r="302" spans="1:6" ht="15" customHeight="1">
      <c r="A302" t="s">
        <v>2479</v>
      </c>
      <c r="B302" t="s">
        <v>2480</v>
      </c>
      <c r="C302" s="836" t="s">
        <v>88</v>
      </c>
      <c r="D302" s="836" t="s">
        <v>94</v>
      </c>
      <c r="E302" s="1032"/>
      <c r="F302" s="3"/>
    </row>
    <row r="303" spans="1:6" ht="15" customHeight="1">
      <c r="A303" t="s">
        <v>2481</v>
      </c>
      <c r="B303" t="s">
        <v>2482</v>
      </c>
      <c r="C303" s="836" t="s">
        <v>88</v>
      </c>
      <c r="D303" s="836" t="s">
        <v>2717</v>
      </c>
      <c r="E303" s="1032"/>
      <c r="F303" s="3"/>
    </row>
    <row r="304" spans="1:6" ht="15" customHeight="1">
      <c r="A304" t="s">
        <v>2483</v>
      </c>
      <c r="B304" t="s">
        <v>2484</v>
      </c>
      <c r="C304" s="836" t="s">
        <v>88</v>
      </c>
      <c r="D304" s="836" t="s">
        <v>93</v>
      </c>
      <c r="E304" s="1032"/>
      <c r="F304" s="3"/>
    </row>
    <row r="305" spans="1:6" ht="15" customHeight="1">
      <c r="A305" t="s">
        <v>2489</v>
      </c>
      <c r="B305" t="s">
        <v>2490</v>
      </c>
      <c r="C305" s="836" t="s">
        <v>88</v>
      </c>
      <c r="D305" s="836" t="s">
        <v>94</v>
      </c>
      <c r="E305" s="1032"/>
      <c r="F305" s="3"/>
    </row>
    <row r="306" spans="1:6" ht="15" customHeight="1">
      <c r="A306" t="s">
        <v>2491</v>
      </c>
      <c r="B306" t="s">
        <v>2492</v>
      </c>
      <c r="C306" s="836" t="s">
        <v>88</v>
      </c>
      <c r="D306" s="836" t="s">
        <v>94</v>
      </c>
      <c r="E306" s="1032"/>
      <c r="F306" s="3"/>
    </row>
    <row r="307" spans="1:6" ht="15" customHeight="1">
      <c r="A307" t="s">
        <v>2493</v>
      </c>
      <c r="B307" t="s">
        <v>2494</v>
      </c>
      <c r="C307" s="836" t="s">
        <v>88</v>
      </c>
      <c r="D307" s="836" t="s">
        <v>2717</v>
      </c>
      <c r="E307" s="1032"/>
      <c r="F307" s="3"/>
    </row>
    <row r="308" spans="1:6" ht="15" customHeight="1">
      <c r="A308" t="s">
        <v>2497</v>
      </c>
      <c r="B308" t="s">
        <v>2498</v>
      </c>
      <c r="C308" s="836" t="s">
        <v>88</v>
      </c>
      <c r="D308" s="836" t="s">
        <v>102</v>
      </c>
      <c r="E308" s="1032"/>
      <c r="F308" s="3"/>
    </row>
    <row r="309" spans="1:6" ht="15" customHeight="1">
      <c r="A309" t="s">
        <v>2499</v>
      </c>
      <c r="B309" t="s">
        <v>2500</v>
      </c>
      <c r="C309" s="836" t="s">
        <v>88</v>
      </c>
      <c r="D309" s="836" t="s">
        <v>102</v>
      </c>
      <c r="E309" s="1032"/>
      <c r="F309" s="3"/>
    </row>
    <row r="310" spans="1:6" ht="15" customHeight="1">
      <c r="A310" t="s">
        <v>2503</v>
      </c>
      <c r="B310" t="s">
        <v>2502</v>
      </c>
      <c r="C310" s="836" t="s">
        <v>88</v>
      </c>
      <c r="D310" s="836" t="s">
        <v>102</v>
      </c>
      <c r="E310" s="1032"/>
      <c r="F310" s="3"/>
    </row>
    <row r="311" spans="1:6" ht="15" customHeight="1">
      <c r="A311" t="s">
        <v>2504</v>
      </c>
      <c r="B311" t="s">
        <v>2505</v>
      </c>
      <c r="C311" s="836" t="s">
        <v>88</v>
      </c>
      <c r="D311" s="836" t="s">
        <v>101</v>
      </c>
      <c r="E311" s="1032"/>
      <c r="F311" s="3"/>
    </row>
    <row r="312" spans="1:6" ht="15" customHeight="1">
      <c r="A312" t="s">
        <v>2506</v>
      </c>
      <c r="B312" t="s">
        <v>2507</v>
      </c>
      <c r="C312" s="836" t="s">
        <v>88</v>
      </c>
      <c r="D312" s="836" t="s">
        <v>102</v>
      </c>
      <c r="E312" s="1032"/>
      <c r="F312" s="3"/>
    </row>
    <row r="313" spans="1:6" ht="15" customHeight="1">
      <c r="A313" t="s">
        <v>2510</v>
      </c>
      <c r="B313" t="s">
        <v>2511</v>
      </c>
      <c r="C313" s="836" t="s">
        <v>88</v>
      </c>
      <c r="D313" s="836" t="s">
        <v>102</v>
      </c>
      <c r="E313" s="1032"/>
      <c r="F313" s="3"/>
    </row>
    <row r="314" spans="1:6" ht="15" customHeight="1">
      <c r="A314" t="s">
        <v>2512</v>
      </c>
      <c r="B314" t="s">
        <v>2513</v>
      </c>
      <c r="C314" s="836" t="s">
        <v>88</v>
      </c>
      <c r="D314" s="836" t="s">
        <v>99</v>
      </c>
      <c r="E314" s="1032"/>
      <c r="F314" s="3"/>
    </row>
    <row r="315" spans="1:6" ht="15" customHeight="1">
      <c r="A315" t="s">
        <v>2514</v>
      </c>
      <c r="B315" t="s">
        <v>2515</v>
      </c>
      <c r="C315" s="836" t="s">
        <v>88</v>
      </c>
      <c r="D315" s="836" t="s">
        <v>99</v>
      </c>
      <c r="E315" s="1032"/>
      <c r="F315" s="3"/>
    </row>
    <row r="316" spans="1:6" ht="15" customHeight="1">
      <c r="A316" t="s">
        <v>2516</v>
      </c>
      <c r="B316" t="s">
        <v>2517</v>
      </c>
      <c r="C316" s="836" t="s">
        <v>148</v>
      </c>
      <c r="D316" s="836" t="s">
        <v>100</v>
      </c>
      <c r="E316" s="1032"/>
      <c r="F316" s="3"/>
    </row>
    <row r="317" spans="1:6" ht="15" customHeight="1">
      <c r="A317" t="s">
        <v>2518</v>
      </c>
      <c r="B317" t="s">
        <v>2519</v>
      </c>
      <c r="C317" s="836" t="s">
        <v>88</v>
      </c>
      <c r="D317" s="836" t="s">
        <v>94</v>
      </c>
      <c r="E317" s="1032"/>
      <c r="F317" s="3"/>
    </row>
    <row r="318" spans="1:6" ht="15" customHeight="1">
      <c r="A318" t="s">
        <v>2520</v>
      </c>
      <c r="B318" t="s">
        <v>2521</v>
      </c>
      <c r="C318" s="836" t="s">
        <v>88</v>
      </c>
      <c r="D318" s="836" t="s">
        <v>94</v>
      </c>
      <c r="E318" s="1032"/>
      <c r="F318" s="3"/>
    </row>
    <row r="319" spans="1:6" ht="15" customHeight="1">
      <c r="A319" t="s">
        <v>2522</v>
      </c>
      <c r="B319" t="s">
        <v>2523</v>
      </c>
      <c r="C319" s="836" t="s">
        <v>148</v>
      </c>
      <c r="D319" s="836" t="s">
        <v>149</v>
      </c>
      <c r="E319" s="1032"/>
      <c r="F319" s="3"/>
    </row>
    <row r="320" spans="1:6" ht="15" customHeight="1">
      <c r="A320" t="s">
        <v>2524</v>
      </c>
      <c r="B320" t="s">
        <v>2525</v>
      </c>
      <c r="C320" s="836" t="s">
        <v>148</v>
      </c>
      <c r="D320" s="836" t="s">
        <v>149</v>
      </c>
      <c r="E320" s="1032"/>
      <c r="F320" s="3"/>
    </row>
    <row r="321" spans="1:6" ht="15" customHeight="1">
      <c r="A321" t="s">
        <v>2527</v>
      </c>
      <c r="B321" t="s">
        <v>2528</v>
      </c>
      <c r="C321" s="836" t="s">
        <v>148</v>
      </c>
      <c r="D321" s="836" t="s">
        <v>150</v>
      </c>
      <c r="E321" s="1032"/>
      <c r="F321" s="3"/>
    </row>
    <row r="322" spans="1:6" ht="15" customHeight="1">
      <c r="A322" t="s">
        <v>2529</v>
      </c>
      <c r="B322" t="s">
        <v>2312</v>
      </c>
      <c r="C322" s="836" t="s">
        <v>148</v>
      </c>
      <c r="D322" s="836" t="s">
        <v>150</v>
      </c>
      <c r="E322" s="1032"/>
      <c r="F322" s="3"/>
    </row>
    <row r="323" spans="1:6" ht="15" customHeight="1">
      <c r="A323" t="s">
        <v>2530</v>
      </c>
      <c r="B323" t="s">
        <v>2531</v>
      </c>
      <c r="C323" s="836" t="s">
        <v>148</v>
      </c>
      <c r="D323" s="836" t="s">
        <v>1094</v>
      </c>
      <c r="E323" s="1032"/>
      <c r="F323" s="3"/>
    </row>
    <row r="324" spans="1:6" ht="15" customHeight="1">
      <c r="A324" t="s">
        <v>2532</v>
      </c>
      <c r="B324" t="s">
        <v>2316</v>
      </c>
      <c r="C324" s="836" t="s">
        <v>148</v>
      </c>
      <c r="D324" s="836" t="s">
        <v>1094</v>
      </c>
      <c r="E324" s="1032"/>
      <c r="F324" s="3"/>
    </row>
    <row r="325" spans="1:6" ht="15" customHeight="1">
      <c r="A325" t="s">
        <v>2533</v>
      </c>
      <c r="B325" t="s">
        <v>2534</v>
      </c>
      <c r="C325" s="836" t="s">
        <v>148</v>
      </c>
      <c r="D325" s="836" t="s">
        <v>150</v>
      </c>
      <c r="E325" s="1032"/>
      <c r="F325" s="3"/>
    </row>
    <row r="326" spans="1:6" ht="15" customHeight="1">
      <c r="A326" t="s">
        <v>2535</v>
      </c>
      <c r="B326" t="s">
        <v>2536</v>
      </c>
      <c r="C326" s="836" t="s">
        <v>88</v>
      </c>
      <c r="D326" s="836" t="s">
        <v>2714</v>
      </c>
      <c r="E326" s="1032"/>
      <c r="F326" s="3"/>
    </row>
    <row r="327" spans="1:6" ht="15" customHeight="1">
      <c r="A327" t="s">
        <v>2537</v>
      </c>
      <c r="B327" t="s">
        <v>2465</v>
      </c>
      <c r="C327" s="836" t="s">
        <v>88</v>
      </c>
      <c r="D327" s="836" t="s">
        <v>93</v>
      </c>
      <c r="E327" s="1032"/>
      <c r="F327" s="3"/>
    </row>
    <row r="328" spans="1:6" ht="15" customHeight="1">
      <c r="A328" t="s">
        <v>2538</v>
      </c>
      <c r="B328" t="s">
        <v>2539</v>
      </c>
      <c r="C328" s="836" t="s">
        <v>148</v>
      </c>
      <c r="D328" s="836" t="s">
        <v>152</v>
      </c>
      <c r="E328" s="1032"/>
      <c r="F328" s="3"/>
    </row>
    <row r="329" spans="1:6" ht="15" customHeight="1">
      <c r="A329" t="s">
        <v>2540</v>
      </c>
      <c r="B329" t="s">
        <v>2541</v>
      </c>
      <c r="C329" s="836" t="s">
        <v>148</v>
      </c>
      <c r="D329" s="836" t="s">
        <v>152</v>
      </c>
      <c r="E329" s="1032"/>
      <c r="F329" s="3"/>
    </row>
    <row r="330" spans="1:6" ht="15" customHeight="1">
      <c r="A330" t="s">
        <v>2544</v>
      </c>
      <c r="B330" t="s">
        <v>2545</v>
      </c>
      <c r="C330" s="836" t="s">
        <v>148</v>
      </c>
      <c r="D330" s="836" t="s">
        <v>100</v>
      </c>
      <c r="E330" s="1032"/>
      <c r="F330" s="3"/>
    </row>
    <row r="331" spans="1:6" ht="15" customHeight="1">
      <c r="A331" t="s">
        <v>2560</v>
      </c>
      <c r="B331" t="s">
        <v>2561</v>
      </c>
      <c r="C331" s="836" t="s">
        <v>148</v>
      </c>
      <c r="D331" s="836" t="s">
        <v>102</v>
      </c>
      <c r="E331" s="1032"/>
      <c r="F331" s="3"/>
    </row>
    <row r="332" spans="1:6" ht="15" customHeight="1">
      <c r="A332" t="s">
        <v>2562</v>
      </c>
      <c r="B332" t="s">
        <v>2563</v>
      </c>
      <c r="C332" s="836" t="s">
        <v>148</v>
      </c>
      <c r="D332" s="836" t="s">
        <v>102</v>
      </c>
      <c r="E332" s="1032"/>
      <c r="F332" s="3"/>
    </row>
    <row r="333" spans="1:6" ht="15" customHeight="1">
      <c r="A333" t="s">
        <v>2564</v>
      </c>
      <c r="B333" t="s">
        <v>2565</v>
      </c>
      <c r="C333" s="836" t="s">
        <v>148</v>
      </c>
      <c r="D333" s="836" t="s">
        <v>101</v>
      </c>
      <c r="E333" s="1032"/>
      <c r="F333" s="3"/>
    </row>
    <row r="334" spans="1:6" ht="15" customHeight="1">
      <c r="A334" t="s">
        <v>2566</v>
      </c>
      <c r="B334" t="s">
        <v>2567</v>
      </c>
      <c r="C334" s="836" t="s">
        <v>148</v>
      </c>
      <c r="D334" s="836" t="s">
        <v>102</v>
      </c>
      <c r="E334" s="1032"/>
      <c r="F334" s="3"/>
    </row>
    <row r="335" spans="1:6" ht="15" customHeight="1">
      <c r="A335" t="s">
        <v>2568</v>
      </c>
      <c r="B335" t="s">
        <v>2502</v>
      </c>
      <c r="C335" s="836" t="s">
        <v>148</v>
      </c>
      <c r="D335" s="836" t="s">
        <v>102</v>
      </c>
      <c r="E335" s="1032"/>
      <c r="F335" s="3"/>
    </row>
    <row r="336" spans="1:6" ht="15" customHeight="1">
      <c r="A336" t="s">
        <v>2570</v>
      </c>
      <c r="B336" t="s">
        <v>2571</v>
      </c>
      <c r="C336" s="836" t="s">
        <v>88</v>
      </c>
      <c r="D336" s="836" t="s">
        <v>94</v>
      </c>
      <c r="E336" s="1032"/>
      <c r="F336" s="3"/>
    </row>
    <row r="337" spans="1:6" ht="15" customHeight="1">
      <c r="A337" t="s">
        <v>2572</v>
      </c>
      <c r="B337" t="s">
        <v>2573</v>
      </c>
      <c r="C337" s="836" t="s">
        <v>88</v>
      </c>
      <c r="D337" s="836" t="s">
        <v>2717</v>
      </c>
      <c r="E337" s="1032"/>
      <c r="F337" s="3"/>
    </row>
    <row r="338" spans="1:6" ht="15" customHeight="1">
      <c r="A338" t="s">
        <v>2574</v>
      </c>
      <c r="B338" t="s">
        <v>2575</v>
      </c>
      <c r="C338" s="836" t="s">
        <v>88</v>
      </c>
      <c r="D338" s="836" t="s">
        <v>2717</v>
      </c>
      <c r="E338" s="1032"/>
      <c r="F338" s="3"/>
    </row>
    <row r="339" spans="1:6" ht="15" customHeight="1">
      <c r="A339" t="s">
        <v>2577</v>
      </c>
      <c r="B339" t="s">
        <v>2578</v>
      </c>
      <c r="C339" s="836" t="s">
        <v>88</v>
      </c>
      <c r="D339" s="836" t="s">
        <v>2717</v>
      </c>
      <c r="E339" s="1032"/>
      <c r="F339" s="3"/>
    </row>
    <row r="340" spans="1:6" ht="15" customHeight="1">
      <c r="A340" t="s">
        <v>2579</v>
      </c>
      <c r="B340" t="s">
        <v>2580</v>
      </c>
      <c r="C340" s="836" t="s">
        <v>176</v>
      </c>
      <c r="D340" s="836" t="s">
        <v>183</v>
      </c>
      <c r="E340" s="1032"/>
      <c r="F340" s="3"/>
    </row>
    <row r="341" spans="1:6" ht="15" customHeight="1">
      <c r="A341" t="s">
        <v>2581</v>
      </c>
      <c r="B341" t="s">
        <v>2582</v>
      </c>
      <c r="C341" s="836" t="s">
        <v>176</v>
      </c>
      <c r="D341" s="836" t="s">
        <v>182</v>
      </c>
      <c r="E341" s="1032"/>
      <c r="F341" s="3"/>
    </row>
    <row r="342" spans="1:6" ht="15" customHeight="1">
      <c r="A342" t="s">
        <v>2583</v>
      </c>
      <c r="B342" t="s">
        <v>2584</v>
      </c>
      <c r="C342" s="836" t="s">
        <v>176</v>
      </c>
      <c r="D342" s="836" t="s">
        <v>182</v>
      </c>
      <c r="E342" s="1032"/>
      <c r="F342" s="3"/>
    </row>
    <row r="343" spans="1:6" ht="15" customHeight="1">
      <c r="A343" t="s">
        <v>2585</v>
      </c>
      <c r="B343" t="s">
        <v>2586</v>
      </c>
      <c r="C343" s="836" t="s">
        <v>176</v>
      </c>
      <c r="D343" s="836" t="s">
        <v>178</v>
      </c>
      <c r="E343" s="1032"/>
      <c r="F343" s="3"/>
    </row>
    <row r="344" spans="1:6" ht="15" customHeight="1">
      <c r="A344" t="s">
        <v>2591</v>
      </c>
      <c r="B344" t="s">
        <v>2592</v>
      </c>
      <c r="C344" s="836" t="s">
        <v>176</v>
      </c>
      <c r="D344" s="836" t="s">
        <v>180</v>
      </c>
      <c r="E344" s="1032"/>
      <c r="F344" s="3"/>
    </row>
    <row r="345" spans="1:6" ht="15" customHeight="1">
      <c r="A345" t="s">
        <v>2593</v>
      </c>
      <c r="B345" t="s">
        <v>2594</v>
      </c>
      <c r="C345" s="836" t="s">
        <v>176</v>
      </c>
      <c r="D345" s="836" t="s">
        <v>181</v>
      </c>
      <c r="E345" s="1032"/>
      <c r="F345" s="3"/>
    </row>
    <row r="346" spans="1:6" ht="15" customHeight="1">
      <c r="A346" t="s">
        <v>2597</v>
      </c>
      <c r="B346" t="s">
        <v>2598</v>
      </c>
      <c r="C346" s="836" t="s">
        <v>176</v>
      </c>
      <c r="D346" s="836" t="s">
        <v>187</v>
      </c>
      <c r="E346" s="1032"/>
      <c r="F346" s="3"/>
    </row>
    <row r="347" spans="1:6" ht="15" customHeight="1">
      <c r="A347" t="s">
        <v>2599</v>
      </c>
      <c r="B347" t="s">
        <v>2388</v>
      </c>
      <c r="C347" s="836" t="s">
        <v>176</v>
      </c>
      <c r="D347" s="836" t="s">
        <v>184</v>
      </c>
      <c r="E347" s="1032"/>
      <c r="F347" s="3"/>
    </row>
    <row r="348" spans="1:6" ht="15" customHeight="1">
      <c r="A348" t="s">
        <v>2600</v>
      </c>
      <c r="B348" t="s">
        <v>2390</v>
      </c>
      <c r="C348" s="836" t="s">
        <v>176</v>
      </c>
      <c r="D348" s="836" t="s">
        <v>185</v>
      </c>
      <c r="E348" s="1032"/>
      <c r="F348" s="3"/>
    </row>
    <row r="349" spans="1:6" ht="15" customHeight="1">
      <c r="A349" t="s">
        <v>2603</v>
      </c>
      <c r="B349" t="s">
        <v>2604</v>
      </c>
      <c r="C349" s="836" t="s">
        <v>157</v>
      </c>
      <c r="D349" s="836" t="s">
        <v>160</v>
      </c>
      <c r="E349" s="1032"/>
      <c r="F349" s="3"/>
    </row>
    <row r="350" spans="1:6" ht="15" customHeight="1">
      <c r="A350" t="s">
        <v>2607</v>
      </c>
      <c r="B350" t="s">
        <v>2608</v>
      </c>
      <c r="C350" s="836" t="s">
        <v>172</v>
      </c>
      <c r="D350" s="836" t="s">
        <v>173</v>
      </c>
      <c r="E350" s="1032"/>
      <c r="F350" s="3"/>
    </row>
    <row r="351" spans="1:6" ht="15" customHeight="1">
      <c r="A351" t="s">
        <v>2609</v>
      </c>
      <c r="B351" t="s">
        <v>2610</v>
      </c>
      <c r="C351" s="836" t="s">
        <v>157</v>
      </c>
      <c r="D351" s="836" t="s">
        <v>162</v>
      </c>
      <c r="E351" s="1032"/>
      <c r="F351" s="3"/>
    </row>
    <row r="352" spans="1:6" ht="15" customHeight="1">
      <c r="A352" t="s">
        <v>2611</v>
      </c>
      <c r="B352" t="s">
        <v>2612</v>
      </c>
      <c r="C352" s="836" t="s">
        <v>157</v>
      </c>
      <c r="D352" s="836" t="s">
        <v>163</v>
      </c>
      <c r="E352" s="1032"/>
      <c r="F352" s="3"/>
    </row>
    <row r="353" spans="1:6" ht="15" customHeight="1">
      <c r="A353" t="s">
        <v>2623</v>
      </c>
      <c r="B353" t="s">
        <v>2624</v>
      </c>
      <c r="C353" s="836" t="s">
        <v>157</v>
      </c>
      <c r="D353" s="836" t="s">
        <v>165</v>
      </c>
      <c r="E353" s="1032"/>
      <c r="F353" s="3"/>
    </row>
    <row r="354" spans="1:6" ht="15" customHeight="1">
      <c r="A354" t="s">
        <v>2627</v>
      </c>
      <c r="B354" t="s">
        <v>2628</v>
      </c>
      <c r="C354" s="836" t="s">
        <v>157</v>
      </c>
      <c r="D354" s="836" t="s">
        <v>168</v>
      </c>
      <c r="E354" s="1032"/>
      <c r="F354" s="3"/>
    </row>
    <row r="355" spans="1:6" ht="15" customHeight="1">
      <c r="A355" t="s">
        <v>2633</v>
      </c>
      <c r="B355" t="s">
        <v>2634</v>
      </c>
      <c r="C355" s="836" t="s">
        <v>176</v>
      </c>
      <c r="D355" s="836" t="s">
        <v>188</v>
      </c>
      <c r="E355" s="1032"/>
      <c r="F355" s="3"/>
    </row>
    <row r="356" spans="1:6" ht="15" customHeight="1">
      <c r="A356" t="s">
        <v>2635</v>
      </c>
      <c r="B356" t="s">
        <v>2636</v>
      </c>
      <c r="C356" s="836" t="s">
        <v>176</v>
      </c>
      <c r="D356" s="836" t="s">
        <v>188</v>
      </c>
      <c r="E356" s="1032"/>
      <c r="F356" s="3"/>
    </row>
    <row r="357" spans="1:6" ht="15" customHeight="1">
      <c r="A357" t="s">
        <v>2654</v>
      </c>
      <c r="B357" t="s">
        <v>2655</v>
      </c>
      <c r="C357" s="836" t="s">
        <v>665</v>
      </c>
      <c r="D357" s="836" t="s">
        <v>1111</v>
      </c>
      <c r="E357" s="836"/>
      <c r="F357" s="3"/>
    </row>
    <row r="358" spans="1:6" ht="15" customHeight="1">
      <c r="A358" t="s">
        <v>2658</v>
      </c>
      <c r="B358" t="s">
        <v>2659</v>
      </c>
      <c r="C358" s="836" t="s">
        <v>88</v>
      </c>
      <c r="D358" s="836" t="s">
        <v>144</v>
      </c>
      <c r="E358" s="836"/>
      <c r="F358" s="3"/>
    </row>
    <row r="359" spans="1:6" ht="15" customHeight="1">
      <c r="A359" t="s">
        <v>2664</v>
      </c>
      <c r="B359" t="s">
        <v>2665</v>
      </c>
      <c r="C359" s="836" t="s">
        <v>665</v>
      </c>
      <c r="D359" s="836" t="s">
        <v>212</v>
      </c>
      <c r="E359" s="836"/>
      <c r="F359" s="3"/>
    </row>
    <row r="360" spans="1:6" ht="15" customHeight="1">
      <c r="A360" t="s">
        <v>2666</v>
      </c>
      <c r="B360" t="s">
        <v>2667</v>
      </c>
      <c r="C360" s="836" t="s">
        <v>665</v>
      </c>
      <c r="D360" s="836" t="s">
        <v>212</v>
      </c>
      <c r="E360" s="836"/>
      <c r="F360" s="3"/>
    </row>
    <row r="361" spans="1:6" ht="15" customHeight="1">
      <c r="A361" t="s">
        <v>2672</v>
      </c>
      <c r="B361" t="s">
        <v>2673</v>
      </c>
      <c r="C361" s="836" t="s">
        <v>665</v>
      </c>
      <c r="D361" s="836" t="s">
        <v>138</v>
      </c>
      <c r="E361" s="836"/>
      <c r="F361" s="3"/>
    </row>
    <row r="362" spans="1:6" ht="15" customHeight="1">
      <c r="A362" t="s">
        <v>2676</v>
      </c>
      <c r="B362" t="s">
        <v>2715</v>
      </c>
      <c r="C362" s="836" t="s">
        <v>665</v>
      </c>
      <c r="D362" s="836" t="s">
        <v>219</v>
      </c>
      <c r="E362" s="836"/>
      <c r="F362" s="3"/>
    </row>
    <row r="363" spans="1:6" ht="15" customHeight="1">
      <c r="A363" t="s">
        <v>2684</v>
      </c>
      <c r="B363" t="s">
        <v>2685</v>
      </c>
      <c r="C363" s="836" t="s">
        <v>665</v>
      </c>
      <c r="D363" s="836" t="s">
        <v>219</v>
      </c>
      <c r="E363" s="836"/>
      <c r="F363" s="3"/>
    </row>
    <row r="364" spans="1:6" ht="15" customHeight="1">
      <c r="A364" t="s">
        <v>2692</v>
      </c>
      <c r="B364" t="s">
        <v>2723</v>
      </c>
      <c r="C364" s="836" t="s">
        <v>665</v>
      </c>
      <c r="D364" s="836" t="s">
        <v>136</v>
      </c>
      <c r="E364" s="836"/>
      <c r="F364" s="3"/>
    </row>
    <row r="365" spans="1:6" ht="15" customHeight="1">
      <c r="A365" t="s">
        <v>2702</v>
      </c>
      <c r="B365" t="s">
        <v>2703</v>
      </c>
      <c r="C365" s="836" t="s">
        <v>665</v>
      </c>
      <c r="D365" s="836" t="s">
        <v>138</v>
      </c>
      <c r="E365" s="836"/>
      <c r="F365" s="3"/>
    </row>
    <row r="366" spans="1:6" ht="15" customHeight="1">
      <c r="B366" t="s">
        <v>2716</v>
      </c>
      <c r="F366" s="3"/>
    </row>
    <row r="367" spans="1:6" ht="15" customHeight="1">
      <c r="F367" s="3"/>
    </row>
    <row r="368" spans="1:6" ht="15" customHeight="1">
      <c r="F368" s="3"/>
    </row>
    <row r="369" spans="6:6" ht="15" customHeight="1">
      <c r="F369" s="3"/>
    </row>
    <row r="370" spans="6:6" ht="15" customHeight="1">
      <c r="F370" s="3"/>
    </row>
    <row r="371" spans="6:6" ht="15" customHeight="1">
      <c r="F371" s="3"/>
    </row>
    <row r="372" spans="6:6" ht="15" customHeight="1">
      <c r="F372" s="3"/>
    </row>
    <row r="373" spans="6:6" ht="15" customHeight="1">
      <c r="F373" s="3"/>
    </row>
    <row r="374" spans="6:6" ht="15" customHeight="1">
      <c r="F374" s="3"/>
    </row>
    <row r="375" spans="6:6" ht="15" customHeight="1">
      <c r="F375" s="3"/>
    </row>
    <row r="376" spans="6:6" ht="15" customHeight="1">
      <c r="F376" s="3"/>
    </row>
    <row r="377" spans="6:6" ht="15" customHeight="1">
      <c r="F377" s="3"/>
    </row>
    <row r="378" spans="6:6" ht="15" customHeight="1">
      <c r="F378" s="3"/>
    </row>
    <row r="379" spans="6:6" ht="15" customHeight="1">
      <c r="F379" s="3"/>
    </row>
    <row r="380" spans="6:6" ht="15" customHeight="1">
      <c r="F380" s="3"/>
    </row>
    <row r="381" spans="6:6" ht="15" customHeight="1">
      <c r="F381" s="3"/>
    </row>
    <row r="382" spans="6:6" ht="15" customHeight="1">
      <c r="F382" s="3"/>
    </row>
    <row r="383" spans="6:6" ht="15" customHeight="1">
      <c r="F383" s="3"/>
    </row>
    <row r="384" spans="6: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4"/>
    </row>
    <row r="418" spans="6:6" ht="15" customHeight="1">
      <c r="F418" s="4"/>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10" ht="15" customHeight="1">
      <c r="F433" s="3"/>
    </row>
    <row r="434" spans="6:10" ht="15" customHeight="1">
      <c r="F434" s="3"/>
    </row>
    <row r="435" spans="6:10" ht="15" customHeight="1">
      <c r="F435" s="3"/>
    </row>
    <row r="436" spans="6:10" ht="15" customHeight="1">
      <c r="F436" s="3"/>
    </row>
    <row r="437" spans="6:10" ht="15" customHeight="1">
      <c r="F437" s="3"/>
    </row>
    <row r="438" spans="6:10" ht="15" customHeight="1">
      <c r="F438" s="3"/>
    </row>
    <row r="439" spans="6:10" ht="15" customHeight="1">
      <c r="F439" s="3"/>
    </row>
    <row r="440" spans="6:10" ht="15" customHeight="1">
      <c r="F440" s="3"/>
    </row>
    <row r="441" spans="6:10" ht="15" customHeight="1">
      <c r="F441" s="3"/>
    </row>
    <row r="442" spans="6:10" ht="15" customHeight="1">
      <c r="F442" s="3"/>
    </row>
    <row r="443" spans="6:10" ht="15" customHeight="1">
      <c r="F443" s="3"/>
    </row>
    <row r="444" spans="6:10" ht="15" customHeight="1">
      <c r="F444" s="3"/>
    </row>
    <row r="445" spans="6:10" ht="15" customHeight="1">
      <c r="F445" s="3"/>
    </row>
    <row r="446" spans="6:10" ht="15" customHeight="1">
      <c r="F446" s="3"/>
    </row>
    <row r="447" spans="6:10" ht="15" customHeight="1">
      <c r="F447" s="3"/>
    </row>
    <row r="448" spans="6:10" ht="15" customHeight="1">
      <c r="F448" s="3"/>
      <c r="J448" s="3"/>
    </row>
    <row r="449" spans="6:10" ht="15" customHeight="1">
      <c r="F449" s="3"/>
      <c r="J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27" ht="15" customHeight="1">
      <c r="F529" s="3"/>
    </row>
    <row r="530" spans="6:27" ht="15" customHeight="1">
      <c r="F530" s="3"/>
    </row>
    <row r="531" spans="6:27" ht="15" customHeight="1">
      <c r="F531" s="3"/>
    </row>
    <row r="532" spans="6:27" ht="15" customHeight="1">
      <c r="F532" s="3"/>
    </row>
    <row r="533" spans="6:27" ht="15" customHeight="1">
      <c r="F533" s="3"/>
    </row>
    <row r="534" spans="6:27" ht="15" customHeight="1">
      <c r="F534" s="3"/>
    </row>
    <row r="535" spans="6:27" ht="15" customHeight="1">
      <c r="F535" s="3"/>
    </row>
    <row r="536" spans="6:27" ht="15" customHeight="1">
      <c r="F536" s="3"/>
    </row>
    <row r="537" spans="6:27" ht="15" customHeight="1">
      <c r="F537" s="3"/>
    </row>
    <row r="538" spans="6:27" ht="15" customHeight="1">
      <c r="F538" s="3"/>
    </row>
    <row r="539" spans="6:27" ht="15" customHeight="1">
      <c r="F539" s="3"/>
    </row>
    <row r="540" spans="6:27" ht="15" customHeight="1">
      <c r="F540" s="3"/>
    </row>
    <row r="541" spans="6:27" ht="15" customHeight="1">
      <c r="F541" s="3"/>
    </row>
    <row r="542" spans="6:27" ht="15" customHeight="1">
      <c r="F542" s="3"/>
    </row>
    <row r="543" spans="6:27" ht="15" customHeight="1">
      <c r="F543" s="3"/>
    </row>
    <row r="544" spans="6:27" ht="15" customHeight="1">
      <c r="F544" s="3"/>
      <c r="G544" s="3"/>
      <c r="H544" s="3"/>
      <c r="J544" s="3"/>
      <c r="K544" s="3"/>
      <c r="L544" s="3"/>
      <c r="M544" s="3"/>
      <c r="N544" s="3"/>
      <c r="O544" s="3"/>
      <c r="P544" s="3"/>
      <c r="Q544" s="3"/>
      <c r="R544" s="3"/>
      <c r="S544" s="3"/>
      <c r="T544" s="3"/>
      <c r="U544" s="3"/>
      <c r="V544" s="3"/>
      <c r="W544" s="3"/>
      <c r="X544" s="3"/>
      <c r="Y544" s="3"/>
      <c r="Z544" s="3"/>
      <c r="AA544" s="3"/>
    </row>
    <row r="545" spans="6:27" ht="15" customHeight="1">
      <c r="F545" s="3"/>
      <c r="G545" s="3"/>
      <c r="H545" s="3"/>
      <c r="J545" s="3"/>
      <c r="K545" s="3"/>
      <c r="L545" s="3"/>
      <c r="M545" s="3"/>
      <c r="N545" s="3"/>
      <c r="O545" s="3"/>
      <c r="P545" s="3"/>
      <c r="Q545" s="3"/>
      <c r="R545" s="3"/>
      <c r="S545" s="3"/>
      <c r="T545" s="3"/>
      <c r="U545" s="3"/>
      <c r="V545" s="3"/>
      <c r="W545" s="3"/>
      <c r="X545" s="3"/>
      <c r="Y545" s="3"/>
      <c r="Z545" s="3"/>
      <c r="AA545" s="3"/>
    </row>
    <row r="546" spans="6:27" ht="13.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c r="I551" s="3"/>
    </row>
    <row r="552" spans="6:27" ht="15" customHeight="1">
      <c r="F552" s="3"/>
      <c r="G552" s="3"/>
      <c r="H552" s="3"/>
      <c r="I552" s="3"/>
      <c r="J552" s="3"/>
      <c r="K552" s="3"/>
      <c r="L552" s="3"/>
      <c r="M552" s="3"/>
      <c r="N552" s="3"/>
      <c r="O552" s="3"/>
      <c r="P552" s="3"/>
      <c r="Q552" s="3"/>
      <c r="R552" s="3"/>
      <c r="S552" s="3"/>
      <c r="T552" s="3"/>
      <c r="U552" s="3"/>
      <c r="V552" s="3"/>
      <c r="W552" s="3"/>
      <c r="X552" s="3"/>
      <c r="Y552" s="3"/>
      <c r="Z552" s="3"/>
      <c r="AA552" s="3"/>
    </row>
    <row r="553" spans="6:27" ht="15" customHeight="1">
      <c r="F553" s="3"/>
    </row>
    <row r="554" spans="6:27" ht="15" customHeight="1">
      <c r="F554" s="3"/>
    </row>
    <row r="555" spans="6:27" ht="15" customHeight="1">
      <c r="F555" s="3"/>
    </row>
    <row r="556" spans="6:27" ht="15" customHeight="1">
      <c r="F556" s="3"/>
    </row>
    <row r="557" spans="6:27" ht="15" customHeight="1">
      <c r="F557" s="3"/>
    </row>
    <row r="558" spans="6:27" ht="15" customHeight="1">
      <c r="F558" s="3"/>
    </row>
    <row r="559" spans="6:27" ht="15" customHeight="1">
      <c r="F559" s="3"/>
      <c r="G559" s="3"/>
      <c r="H559" s="3"/>
      <c r="J559" s="3"/>
      <c r="K559" s="3"/>
      <c r="L559" s="3"/>
      <c r="M559" s="3"/>
      <c r="N559" s="3"/>
      <c r="O559" s="3"/>
      <c r="P559" s="3"/>
      <c r="Q559" s="3"/>
      <c r="R559" s="3"/>
      <c r="S559" s="3"/>
      <c r="T559" s="3"/>
      <c r="U559" s="3"/>
      <c r="V559" s="3"/>
      <c r="W559" s="3"/>
      <c r="X559" s="3"/>
      <c r="Y559" s="3"/>
      <c r="Z559" s="3"/>
      <c r="AA559" s="3"/>
    </row>
    <row r="560" spans="6:27" ht="15" customHeight="1">
      <c r="F560" s="3"/>
      <c r="I560" s="3"/>
    </row>
    <row r="561" spans="6:9" ht="15" customHeight="1">
      <c r="F561" s="3"/>
      <c r="I561" s="3"/>
    </row>
    <row r="562" spans="6:9" ht="15" customHeight="1">
      <c r="F562" s="3"/>
    </row>
    <row r="563" spans="6:9" ht="15" customHeight="1">
      <c r="F563" s="3"/>
    </row>
    <row r="564" spans="6:9" ht="15" customHeight="1">
      <c r="F564" s="3"/>
    </row>
    <row r="565" spans="6:9" ht="15" customHeight="1">
      <c r="F565" s="3"/>
    </row>
    <row r="566" spans="6:9" ht="15" customHeight="1">
      <c r="F566" s="3"/>
    </row>
    <row r="567" spans="6:9" ht="15" customHeight="1">
      <c r="F567" s="3"/>
    </row>
    <row r="568" spans="6:9" ht="15" customHeight="1">
      <c r="F568" s="3"/>
    </row>
    <row r="569" spans="6:9" ht="15" customHeight="1">
      <c r="F569" s="3"/>
    </row>
    <row r="570" spans="6:9" ht="15" customHeight="1">
      <c r="F570" s="3"/>
    </row>
    <row r="571" spans="6:9" ht="15" customHeight="1">
      <c r="F571" s="3"/>
    </row>
    <row r="572" spans="6:9" ht="15" customHeight="1">
      <c r="F572" s="3"/>
    </row>
    <row r="573" spans="6:9" ht="15" customHeight="1">
      <c r="F573" s="3"/>
    </row>
    <row r="574" spans="6:9" ht="15" customHeight="1">
      <c r="F574" s="3"/>
    </row>
    <row r="575" spans="6:9" ht="15" customHeight="1">
      <c r="F575" s="3"/>
    </row>
    <row r="576" spans="6:9" ht="15" customHeight="1">
      <c r="F576" s="3"/>
    </row>
    <row r="577" spans="6:27" ht="15" customHeight="1">
      <c r="F577" s="3"/>
    </row>
    <row r="578" spans="6:27" ht="15" customHeight="1">
      <c r="F578" s="3"/>
      <c r="G578" s="3"/>
      <c r="H578" s="3"/>
      <c r="J578" s="3"/>
      <c r="K578" s="3"/>
      <c r="L578" s="3"/>
      <c r="M578" s="3"/>
      <c r="N578" s="3"/>
      <c r="O578" s="3"/>
      <c r="P578" s="3"/>
      <c r="Q578" s="3"/>
      <c r="R578" s="3"/>
      <c r="S578" s="3"/>
      <c r="T578" s="3"/>
      <c r="U578" s="3"/>
      <c r="V578" s="3"/>
      <c r="W578" s="3"/>
      <c r="X578" s="3"/>
      <c r="Y578" s="3"/>
      <c r="Z578" s="3"/>
      <c r="AA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9" ht="15" customHeight="1">
      <c r="F593" s="3"/>
    </row>
    <row r="594" spans="6:9" ht="15" customHeight="1">
      <c r="F594" s="3"/>
    </row>
    <row r="595" spans="6:9" ht="15" customHeight="1">
      <c r="F595" s="3"/>
    </row>
    <row r="596" spans="6:9" ht="15" customHeight="1">
      <c r="F596" s="3"/>
    </row>
    <row r="597" spans="6:9" ht="15" customHeight="1">
      <c r="F597" s="3"/>
    </row>
    <row r="598" spans="6:9" ht="15" customHeight="1">
      <c r="F598" s="3"/>
    </row>
    <row r="599" spans="6:9" ht="15" customHeight="1">
      <c r="F599" s="3"/>
    </row>
    <row r="600" spans="6:9" ht="15" customHeight="1">
      <c r="F600" s="3"/>
    </row>
    <row r="601" spans="6:9" ht="15" customHeight="1">
      <c r="F601" s="3"/>
    </row>
    <row r="602" spans="6:9" ht="15" customHeight="1">
      <c r="F602" s="3"/>
    </row>
    <row r="603" spans="6:9" ht="15" customHeight="1">
      <c r="F603" s="3"/>
    </row>
    <row r="604" spans="6:9" ht="15" customHeight="1">
      <c r="F604" s="3"/>
    </row>
    <row r="605" spans="6:9" ht="15" customHeight="1">
      <c r="F605" s="3"/>
    </row>
    <row r="606" spans="6:9" ht="15" customHeight="1">
      <c r="F606" s="3"/>
    </row>
    <row r="607" spans="6:9" ht="15" customHeight="1">
      <c r="F607" s="3"/>
      <c r="I607" s="3"/>
    </row>
    <row r="608" spans="6:9"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6" ht="15" customHeight="1">
      <c r="F625" s="3"/>
    </row>
    <row r="626" spans="6:6" ht="15" customHeight="1">
      <c r="F626" s="3"/>
    </row>
    <row r="627" spans="6:6" ht="15" customHeight="1">
      <c r="F627" s="3"/>
    </row>
    <row r="628" spans="6:6" ht="15" customHeight="1">
      <c r="F628" s="3"/>
    </row>
    <row r="629" spans="6:6" ht="15" customHeight="1">
      <c r="F629" s="3"/>
    </row>
    <row r="630" spans="6:6" ht="15" customHeight="1">
      <c r="F630" s="3"/>
    </row>
    <row r="631" spans="6:6" ht="15" customHeight="1">
      <c r="F631" s="3"/>
    </row>
    <row r="632" spans="6:6" ht="15" customHeight="1">
      <c r="F632" s="3"/>
    </row>
    <row r="633" spans="6:6" ht="15" customHeight="1">
      <c r="F633" s="3"/>
    </row>
    <row r="634" spans="6:6" ht="15" customHeight="1">
      <c r="F634" s="3"/>
    </row>
    <row r="635" spans="6:6" ht="15" customHeight="1">
      <c r="F635" s="3"/>
    </row>
    <row r="636" spans="6:6" ht="15" customHeight="1">
      <c r="F636" s="3"/>
    </row>
    <row r="637" spans="6:6" ht="15" customHeight="1">
      <c r="F637" s="3"/>
    </row>
    <row r="638" spans="6:6" ht="15" customHeight="1">
      <c r="F638" s="3"/>
    </row>
    <row r="639" spans="6:6" ht="15" customHeight="1">
      <c r="F639" s="3"/>
    </row>
    <row r="640" spans="6:6" ht="15" customHeight="1">
      <c r="F640" s="3"/>
    </row>
    <row r="641" spans="6:27" ht="15" customHeight="1">
      <c r="F641" s="3"/>
    </row>
    <row r="642" spans="6:27" ht="15" customHeight="1">
      <c r="F642" s="3"/>
    </row>
    <row r="643" spans="6:27" ht="15" customHeight="1">
      <c r="F643" s="3"/>
    </row>
    <row r="644" spans="6:27" ht="15" customHeight="1">
      <c r="F644" s="3"/>
    </row>
    <row r="645" spans="6:27" ht="15" customHeight="1">
      <c r="F645" s="3"/>
    </row>
    <row r="646" spans="6:27" ht="15" customHeight="1">
      <c r="F646" s="3"/>
    </row>
    <row r="647" spans="6:27" ht="15" customHeight="1">
      <c r="F647" s="3"/>
    </row>
    <row r="648" spans="6:27" ht="15" customHeight="1">
      <c r="F648" s="3"/>
    </row>
    <row r="649" spans="6:27" ht="15" customHeight="1">
      <c r="F649" s="3"/>
    </row>
    <row r="650" spans="6:27" ht="15" customHeight="1">
      <c r="F650" s="3"/>
    </row>
    <row r="651" spans="6:27" ht="15" customHeight="1">
      <c r="F651" s="3"/>
    </row>
    <row r="652" spans="6:27" ht="15" customHeight="1">
      <c r="F652" s="3"/>
    </row>
    <row r="653" spans="6:27" ht="15" customHeight="1">
      <c r="F653" s="3"/>
    </row>
    <row r="654" spans="6:27" ht="15" customHeight="1">
      <c r="F654" s="3"/>
    </row>
    <row r="655" spans="6:27" ht="15" customHeight="1">
      <c r="F655" s="3"/>
    </row>
    <row r="656" spans="6:27" ht="15" customHeight="1">
      <c r="F656" s="3"/>
      <c r="G656" s="3"/>
      <c r="H656" s="3"/>
      <c r="J656" s="3"/>
      <c r="K656" s="3"/>
      <c r="L656" s="3"/>
      <c r="M656" s="3"/>
      <c r="N656" s="3"/>
      <c r="O656" s="3"/>
      <c r="P656" s="3"/>
      <c r="Q656" s="3"/>
      <c r="R656" s="3"/>
      <c r="S656" s="3"/>
      <c r="T656" s="3"/>
      <c r="U656" s="3"/>
      <c r="V656" s="3"/>
      <c r="W656" s="3"/>
      <c r="X656" s="3"/>
      <c r="Y656" s="3"/>
      <c r="Z656" s="3"/>
      <c r="AA656" s="3"/>
    </row>
    <row r="657" spans="6:9" ht="15" customHeight="1">
      <c r="F657" s="3"/>
    </row>
    <row r="658" spans="6:9" ht="15" customHeight="1">
      <c r="F658" s="3"/>
    </row>
    <row r="659" spans="6:9" ht="15" customHeight="1">
      <c r="F659" s="3"/>
    </row>
    <row r="660" spans="6:9" ht="15" customHeight="1">
      <c r="F660" s="3"/>
    </row>
    <row r="661" spans="6:9" ht="15" customHeight="1">
      <c r="F661" s="3"/>
    </row>
    <row r="662" spans="6:9" ht="15" customHeight="1">
      <c r="F662" s="3"/>
    </row>
    <row r="663" spans="6:9" ht="15" customHeight="1">
      <c r="F663" s="3"/>
      <c r="I663" s="3"/>
    </row>
    <row r="664" spans="6:9" ht="15" customHeight="1">
      <c r="F664" s="3"/>
    </row>
    <row r="665" spans="6:9" ht="15" customHeight="1">
      <c r="F665" s="3"/>
    </row>
    <row r="666" spans="6:9" ht="15" customHeight="1">
      <c r="F666" s="3"/>
    </row>
    <row r="667" spans="6:9" ht="15" customHeight="1">
      <c r="F667" s="3"/>
    </row>
    <row r="668" spans="6:9" ht="15" customHeight="1">
      <c r="F668" s="3"/>
    </row>
    <row r="669" spans="6:9" ht="15" customHeight="1">
      <c r="F669" s="3"/>
    </row>
    <row r="670" spans="6:9" ht="15" customHeight="1">
      <c r="F670" s="3"/>
    </row>
    <row r="671" spans="6:9" ht="15" customHeight="1">
      <c r="F671" s="3"/>
    </row>
    <row r="672" spans="6:9" ht="15" customHeight="1">
      <c r="F672" s="3"/>
    </row>
    <row r="673" spans="6:27" ht="15" customHeight="1">
      <c r="F673" s="3"/>
    </row>
    <row r="674" spans="6:27" ht="15" customHeight="1">
      <c r="F674" s="3"/>
    </row>
    <row r="675" spans="6:27" ht="15" customHeight="1">
      <c r="F675" s="3"/>
    </row>
    <row r="676" spans="6:27" ht="15" customHeight="1">
      <c r="F676" s="3"/>
    </row>
    <row r="677" spans="6:27" ht="15" customHeight="1">
      <c r="F677" s="3"/>
    </row>
    <row r="678" spans="6:27" ht="15" customHeight="1">
      <c r="F678" s="3"/>
    </row>
    <row r="679" spans="6:27" ht="15" customHeight="1">
      <c r="F679" s="3"/>
    </row>
    <row r="680" spans="6:27" ht="15" customHeight="1">
      <c r="F680" s="3"/>
    </row>
    <row r="681" spans="6:27" ht="15" customHeight="1">
      <c r="F681" s="3"/>
    </row>
    <row r="682" spans="6:27" ht="15" customHeight="1">
      <c r="F682" s="3"/>
    </row>
    <row r="683" spans="6:27" ht="15" customHeight="1">
      <c r="F683" s="3"/>
    </row>
    <row r="684" spans="6:27" ht="15" customHeight="1">
      <c r="F684" s="3"/>
    </row>
    <row r="685" spans="6:27" ht="15" customHeight="1">
      <c r="F685" s="3"/>
    </row>
    <row r="686" spans="6:27" ht="15" customHeight="1">
      <c r="F686" s="3"/>
    </row>
    <row r="687" spans="6:27" ht="15" customHeight="1">
      <c r="F687" s="3"/>
      <c r="G687" s="3"/>
      <c r="H687" s="3"/>
      <c r="J687" s="3"/>
      <c r="K687" s="3"/>
      <c r="L687" s="3"/>
      <c r="M687" s="3"/>
      <c r="N687" s="3"/>
      <c r="O687" s="3"/>
      <c r="P687" s="3"/>
      <c r="Q687" s="3"/>
      <c r="R687" s="3"/>
      <c r="S687" s="3"/>
      <c r="T687" s="3"/>
      <c r="U687" s="3"/>
      <c r="V687" s="3"/>
      <c r="W687" s="3"/>
      <c r="X687" s="3"/>
      <c r="Y687" s="3"/>
      <c r="Z687" s="3"/>
      <c r="AA687" s="3"/>
    </row>
    <row r="688" spans="6:27" ht="15" customHeight="1">
      <c r="F688" s="3"/>
    </row>
    <row r="689" spans="6:6" ht="15" customHeight="1">
      <c r="F689" s="3"/>
    </row>
    <row r="690" spans="6:6" ht="15" customHeight="1">
      <c r="F690" s="3"/>
    </row>
    <row r="691" spans="6:6" ht="15" customHeight="1">
      <c r="F691" s="3"/>
    </row>
    <row r="692" spans="6:6" ht="15" customHeight="1">
      <c r="F692" s="3"/>
    </row>
    <row r="693" spans="6:6" ht="15" customHeight="1">
      <c r="F693" s="3"/>
    </row>
    <row r="694" spans="6:6" ht="15" customHeight="1">
      <c r="F694" s="3"/>
    </row>
    <row r="695" spans="6:6" ht="15" customHeight="1">
      <c r="F695" s="3"/>
    </row>
    <row r="696" spans="6:6" ht="15" customHeight="1">
      <c r="F696" s="3"/>
    </row>
    <row r="697" spans="6:6" ht="15" customHeight="1">
      <c r="F697" s="3"/>
    </row>
    <row r="698" spans="6:6" ht="15" customHeight="1">
      <c r="F698" s="3"/>
    </row>
    <row r="699" spans="6:6" ht="15" customHeight="1">
      <c r="F699" s="3"/>
    </row>
    <row r="700" spans="6:6" ht="15" customHeight="1">
      <c r="F700" s="3"/>
    </row>
    <row r="701" spans="6:6" ht="15" customHeight="1">
      <c r="F701" s="3"/>
    </row>
    <row r="702" spans="6:6" ht="15" customHeight="1">
      <c r="F702" s="3"/>
    </row>
    <row r="703" spans="6:6" ht="15" customHeight="1">
      <c r="F703" s="3"/>
    </row>
    <row r="704" spans="6:6"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c r="G722" s="3"/>
      <c r="H722" s="3"/>
      <c r="J722" s="3"/>
      <c r="K722" s="3"/>
      <c r="L722" s="3"/>
      <c r="M722" s="3"/>
      <c r="N722" s="3"/>
      <c r="O722" s="3"/>
      <c r="P722" s="3"/>
      <c r="Q722" s="3"/>
      <c r="R722" s="3"/>
      <c r="S722" s="3"/>
      <c r="T722" s="3"/>
      <c r="U722" s="3"/>
      <c r="V722" s="3"/>
      <c r="W722" s="3"/>
      <c r="X722" s="3"/>
      <c r="Y722" s="3"/>
      <c r="Z722" s="3"/>
      <c r="AA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c r="G737" s="3"/>
      <c r="H737" s="3"/>
      <c r="J737" s="3"/>
      <c r="K737" s="3"/>
      <c r="L737" s="3"/>
      <c r="M737" s="3"/>
      <c r="N737" s="3"/>
      <c r="O737" s="3"/>
      <c r="P737" s="3"/>
      <c r="Q737" s="3"/>
      <c r="R737" s="3"/>
      <c r="S737" s="3"/>
      <c r="T737" s="3"/>
      <c r="U737" s="3"/>
      <c r="V737" s="3"/>
      <c r="W737" s="3"/>
      <c r="X737" s="3"/>
      <c r="Y737" s="3"/>
      <c r="Z737" s="3"/>
      <c r="AA737" s="3"/>
    </row>
    <row r="738" spans="6:27" ht="15" customHeight="1">
      <c r="F738" s="3"/>
      <c r="I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c r="I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row>
    <row r="783" spans="6:9" ht="15" customHeight="1">
      <c r="F783" s="3"/>
    </row>
    <row r="784" spans="6:9" ht="15" customHeight="1">
      <c r="F784" s="3"/>
    </row>
    <row r="785" spans="6:27" ht="15" customHeight="1">
      <c r="F785" s="3"/>
    </row>
    <row r="786" spans="6:27" ht="15" customHeight="1">
      <c r="F786" s="3"/>
      <c r="I786" s="3"/>
    </row>
    <row r="787" spans="6:27" ht="15" customHeight="1">
      <c r="F787" s="3"/>
    </row>
    <row r="788" spans="6:27" ht="15" customHeight="1">
      <c r="F788" s="3"/>
      <c r="I788" s="3"/>
    </row>
    <row r="789" spans="6:27" ht="15" customHeight="1">
      <c r="F789" s="3"/>
    </row>
    <row r="790" spans="6:27" ht="15" customHeight="1">
      <c r="F790" s="3"/>
    </row>
    <row r="791" spans="6:27" ht="15" customHeight="1">
      <c r="F791" s="3"/>
    </row>
    <row r="792" spans="6:27" ht="15" customHeight="1">
      <c r="F792" s="3"/>
    </row>
    <row r="793" spans="6:27" ht="15" customHeight="1">
      <c r="F793" s="3"/>
    </row>
    <row r="794" spans="6:27" ht="15" customHeight="1">
      <c r="F794" s="3"/>
    </row>
    <row r="795" spans="6:27" ht="15" customHeight="1">
      <c r="F795" s="3"/>
      <c r="G795" s="3"/>
      <c r="H795" s="3"/>
      <c r="J795" s="3"/>
      <c r="K795" s="3"/>
      <c r="L795" s="3"/>
      <c r="M795" s="3"/>
      <c r="N795" s="3"/>
      <c r="O795" s="3"/>
      <c r="P795" s="3"/>
      <c r="Q795" s="3"/>
      <c r="R795" s="3"/>
      <c r="S795" s="3"/>
      <c r="T795" s="3"/>
      <c r="U795" s="3"/>
      <c r="V795" s="3"/>
      <c r="W795" s="3"/>
      <c r="X795" s="3"/>
      <c r="Y795" s="3"/>
      <c r="Z795" s="3"/>
      <c r="AA795" s="3"/>
    </row>
    <row r="796" spans="6:27" ht="15" customHeight="1">
      <c r="F796" s="3"/>
    </row>
    <row r="797" spans="6:27" ht="15" customHeight="1">
      <c r="F797" s="3"/>
    </row>
    <row r="798" spans="6:27" ht="15" customHeight="1">
      <c r="F798" s="3"/>
    </row>
    <row r="799" spans="6:27" ht="15" customHeight="1">
      <c r="F799" s="3"/>
    </row>
    <row r="800" spans="6:27"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27" ht="15" customHeight="1">
      <c r="F817" s="3"/>
    </row>
    <row r="818" spans="6:27" ht="15" customHeight="1">
      <c r="F818" s="3"/>
    </row>
    <row r="819" spans="6:27" ht="15" customHeight="1">
      <c r="F819" s="3"/>
    </row>
    <row r="820" spans="6:27" ht="15" customHeight="1">
      <c r="F820" s="3"/>
    </row>
    <row r="821" spans="6:27" ht="15" customHeight="1">
      <c r="F821" s="3"/>
    </row>
    <row r="822" spans="6:27" ht="15" customHeight="1">
      <c r="F822" s="3"/>
    </row>
    <row r="823" spans="6:27" ht="15" customHeight="1">
      <c r="F823" s="3"/>
    </row>
    <row r="824" spans="6:27" ht="15" customHeight="1">
      <c r="F824" s="3"/>
    </row>
    <row r="825" spans="6:27" ht="15" customHeight="1">
      <c r="F825" s="3"/>
    </row>
    <row r="826" spans="6:27" ht="15" customHeight="1">
      <c r="F826" s="3"/>
    </row>
    <row r="827" spans="6:27" ht="15" customHeight="1">
      <c r="F827" s="3"/>
    </row>
    <row r="828" spans="6:27" ht="15" customHeight="1">
      <c r="F828" s="3"/>
    </row>
    <row r="829" spans="6:27" ht="15" customHeight="1">
      <c r="F829" s="3"/>
    </row>
    <row r="830" spans="6:27" ht="15" customHeight="1">
      <c r="F830" s="3"/>
    </row>
    <row r="831" spans="6:27" ht="15" customHeight="1">
      <c r="F831" s="3"/>
      <c r="G831" s="3"/>
      <c r="H831" s="3"/>
      <c r="J831" s="3"/>
      <c r="K831" s="3"/>
      <c r="L831" s="3"/>
      <c r="M831" s="3"/>
      <c r="N831" s="3"/>
      <c r="O831" s="3"/>
      <c r="P831" s="3"/>
      <c r="Q831" s="3"/>
      <c r="R831" s="3"/>
      <c r="S831" s="3"/>
      <c r="T831" s="3"/>
      <c r="U831" s="3"/>
      <c r="V831" s="3"/>
      <c r="W831" s="3"/>
      <c r="X831" s="3"/>
      <c r="Y831" s="3"/>
      <c r="Z831" s="3"/>
      <c r="AA831" s="3"/>
    </row>
    <row r="832" spans="6:27"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c r="I838" s="3"/>
    </row>
    <row r="839" spans="6:27" ht="15" customHeight="1">
      <c r="F839" s="3"/>
    </row>
    <row r="840" spans="6:27" ht="15" customHeight="1">
      <c r="F840" s="3"/>
    </row>
    <row r="841" spans="6:27" ht="15" customHeight="1">
      <c r="F841" s="3"/>
    </row>
    <row r="842" spans="6:27" ht="15" customHeight="1">
      <c r="F842" s="3"/>
    </row>
    <row r="843" spans="6:27" ht="15" customHeight="1">
      <c r="F843" s="4"/>
    </row>
    <row r="844" spans="6:27" ht="15" customHeight="1">
      <c r="F844" s="4"/>
    </row>
    <row r="845" spans="6:27" ht="15" customHeight="1">
      <c r="F845" s="3"/>
    </row>
    <row r="846" spans="6:27" ht="15" customHeight="1">
      <c r="F846" s="3"/>
    </row>
    <row r="847" spans="6:27" ht="15" customHeight="1">
      <c r="F847" s="3"/>
      <c r="G847" s="3"/>
      <c r="H847" s="3"/>
      <c r="I847" s="3"/>
      <c r="J847" s="3"/>
      <c r="K847" s="3"/>
      <c r="L847" s="3"/>
      <c r="M847" s="3"/>
      <c r="N847" s="3"/>
      <c r="O847" s="3"/>
      <c r="P847" s="3"/>
      <c r="Q847" s="3"/>
      <c r="R847" s="3"/>
      <c r="S847" s="3"/>
      <c r="T847" s="3"/>
      <c r="U847" s="3"/>
      <c r="V847" s="3"/>
      <c r="W847" s="3"/>
      <c r="X847" s="3"/>
      <c r="Y847" s="3"/>
      <c r="Z847" s="3"/>
      <c r="AA847" s="3"/>
    </row>
    <row r="848" spans="6:27" ht="15" customHeight="1">
      <c r="F848" s="3"/>
      <c r="G848" s="3"/>
      <c r="H848" s="3"/>
      <c r="J848" s="3"/>
      <c r="K848" s="3"/>
      <c r="L848" s="3"/>
      <c r="M848" s="3"/>
      <c r="N848" s="3"/>
      <c r="O848" s="3"/>
      <c r="P848" s="3"/>
      <c r="Q848" s="3"/>
      <c r="R848" s="3"/>
      <c r="S848" s="3"/>
      <c r="T848" s="3"/>
      <c r="U848" s="3"/>
      <c r="V848" s="3"/>
      <c r="W848" s="3"/>
      <c r="X848" s="3"/>
      <c r="Y848" s="3"/>
      <c r="Z848" s="3"/>
      <c r="AA848" s="3"/>
    </row>
    <row r="849" spans="6:27" ht="15" customHeight="1">
      <c r="F849" s="3"/>
    </row>
    <row r="850" spans="6:27" ht="15" customHeight="1">
      <c r="F850" s="3"/>
    </row>
    <row r="851" spans="6:27" ht="15" customHeight="1">
      <c r="F851" s="3"/>
    </row>
    <row r="852" spans="6:27" ht="15" customHeight="1">
      <c r="F852" s="3"/>
    </row>
    <row r="853" spans="6:27" ht="15" customHeight="1">
      <c r="F853" s="33"/>
    </row>
    <row r="854" spans="6:27" ht="15" customHeight="1">
      <c r="F854" s="33"/>
      <c r="G854" s="3"/>
      <c r="H854" s="3"/>
      <c r="J854" s="3"/>
      <c r="K854" s="3"/>
      <c r="L854" s="3"/>
      <c r="M854" s="3"/>
      <c r="N854" s="3"/>
      <c r="O854" s="3"/>
      <c r="P854" s="3"/>
      <c r="Q854" s="3"/>
      <c r="R854" s="3"/>
      <c r="S854" s="3"/>
      <c r="T854" s="3"/>
      <c r="U854" s="3"/>
      <c r="V854" s="3"/>
      <c r="W854" s="3"/>
      <c r="X854" s="3"/>
      <c r="Y854" s="3"/>
      <c r="Z854" s="3"/>
      <c r="AA854" s="3"/>
    </row>
    <row r="855" spans="6:27" ht="15" customHeight="1">
      <c r="F855" s="33"/>
    </row>
    <row r="856" spans="6:27" ht="15" customHeight="1">
      <c r="F856" s="33"/>
    </row>
    <row r="857" spans="6:27" ht="15" customHeight="1">
      <c r="F857" s="33"/>
    </row>
    <row r="858" spans="6:27" ht="15" customHeight="1">
      <c r="F858" s="33"/>
    </row>
    <row r="859" spans="6:27" ht="15" customHeight="1">
      <c r="F859" s="33"/>
    </row>
    <row r="860" spans="6:27" ht="15" customHeight="1">
      <c r="F860" s="33"/>
    </row>
    <row r="861" spans="6:27" ht="15" customHeight="1">
      <c r="F861" s="33"/>
    </row>
    <row r="862" spans="6:27" ht="15" customHeight="1">
      <c r="F862" s="33"/>
    </row>
    <row r="863" spans="6:27" ht="15" customHeight="1">
      <c r="F863" s="33"/>
    </row>
    <row r="864" spans="6:27" ht="15" customHeight="1">
      <c r="F864" s="33"/>
    </row>
    <row r="865" spans="6:6" ht="15" customHeight="1">
      <c r="F865" s="3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3"/>
    </row>
    <row r="877" spans="6:6" ht="15" customHeight="1">
      <c r="F877" s="33"/>
    </row>
    <row r="878" spans="6:6" ht="15" customHeight="1">
      <c r="F878" s="33"/>
    </row>
    <row r="879" spans="6:6" ht="15" customHeight="1">
      <c r="F879" s="33"/>
    </row>
    <row r="880" spans="6:6" ht="15" customHeight="1">
      <c r="F880" s="33"/>
    </row>
    <row r="881" spans="6:6" ht="15" customHeight="1">
      <c r="F881" s="33"/>
    </row>
    <row r="882" spans="6:6" ht="15" customHeight="1">
      <c r="F882" s="33"/>
    </row>
    <row r="883" spans="6:6" ht="15" customHeight="1">
      <c r="F883" s="3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c r="I898" s="3"/>
    </row>
    <row r="899" spans="6:27" ht="15" customHeight="1">
      <c r="F899" s="33"/>
      <c r="I899" s="3"/>
    </row>
    <row r="900" spans="6:27" ht="15" customHeight="1">
      <c r="F900" s="33"/>
    </row>
    <row r="901" spans="6:27" ht="15" customHeight="1">
      <c r="F901" s="33"/>
    </row>
    <row r="902" spans="6:27" ht="15" customHeight="1">
      <c r="F902" s="33"/>
    </row>
    <row r="903" spans="6:27" ht="15" customHeight="1">
      <c r="F903" s="33"/>
      <c r="G903" s="3"/>
      <c r="H903" s="3"/>
      <c r="J903" s="3"/>
      <c r="K903" s="3"/>
      <c r="L903" s="3"/>
      <c r="M903" s="3"/>
      <c r="N903" s="3"/>
      <c r="O903" s="3"/>
      <c r="P903" s="3"/>
      <c r="Q903" s="3"/>
      <c r="R903" s="3"/>
      <c r="S903" s="3"/>
      <c r="T903" s="3"/>
      <c r="U903" s="3"/>
      <c r="V903" s="3"/>
      <c r="W903" s="3"/>
      <c r="X903" s="3"/>
      <c r="Y903" s="3"/>
      <c r="Z903" s="3"/>
      <c r="AA903" s="3"/>
    </row>
    <row r="904" spans="6:27" ht="15" customHeight="1">
      <c r="F904" s="33"/>
    </row>
    <row r="905" spans="6:27" ht="15" customHeight="1">
      <c r="F905" s="33"/>
      <c r="I905" s="3"/>
    </row>
    <row r="906" spans="6:27" ht="15" customHeight="1">
      <c r="F906" s="33"/>
    </row>
    <row r="907" spans="6:27" ht="15" customHeight="1">
      <c r="F907" s="33"/>
    </row>
    <row r="908" spans="6:27" ht="15" customHeight="1">
      <c r="F908" s="33"/>
    </row>
    <row r="909" spans="6:27" ht="15" customHeight="1">
      <c r="F909" s="33"/>
    </row>
    <row r="910" spans="6:27" ht="15" customHeight="1">
      <c r="F910" s="33"/>
      <c r="I910" s="3"/>
    </row>
    <row r="911" spans="6:27" ht="15" customHeight="1">
      <c r="F911" s="33"/>
    </row>
    <row r="912" spans="6:27" ht="15" customHeight="1">
      <c r="F912" s="33"/>
    </row>
    <row r="913" spans="6:6" ht="15" customHeight="1">
      <c r="F913" s="33"/>
    </row>
    <row r="914" spans="6:6" ht="15" customHeight="1">
      <c r="F914" s="33"/>
    </row>
    <row r="915" spans="6:6" ht="15" customHeight="1">
      <c r="F915" s="33"/>
    </row>
    <row r="916" spans="6:6" ht="15" customHeight="1">
      <c r="F916" s="33"/>
    </row>
    <row r="917" spans="6:6" ht="15" customHeight="1">
      <c r="F917" s="33"/>
    </row>
    <row r="918" spans="6:6" ht="15" customHeight="1">
      <c r="F918" s="33"/>
    </row>
    <row r="919" spans="6:6" ht="15" customHeight="1">
      <c r="F919" s="33"/>
    </row>
    <row r="920" spans="6:6" ht="15" customHeight="1">
      <c r="F920" s="33"/>
    </row>
    <row r="921" spans="6:6" ht="15" customHeight="1">
      <c r="F921" s="33"/>
    </row>
    <row r="922" spans="6:6" ht="15" customHeight="1">
      <c r="F922" s="33"/>
    </row>
    <row r="923" spans="6:6" ht="15" customHeight="1">
      <c r="F923" s="33"/>
    </row>
    <row r="924" spans="6:6" ht="15" customHeight="1">
      <c r="F924" s="33"/>
    </row>
    <row r="925" spans="6:6" ht="15" customHeight="1">
      <c r="F925" s="33"/>
    </row>
    <row r="926" spans="6:6" ht="15" customHeight="1">
      <c r="F926" s="33"/>
    </row>
    <row r="927" spans="6:6" ht="15" customHeight="1">
      <c r="F927" s="33"/>
    </row>
    <row r="928" spans="6:6"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4"/>
    </row>
    <row r="944" spans="6:6" ht="15" customHeight="1">
      <c r="F944" s="4"/>
    </row>
    <row r="945" spans="6:27" ht="15" customHeight="1">
      <c r="F945" s="4"/>
    </row>
    <row r="946" spans="6:27" ht="15" customHeight="1">
      <c r="F946" s="4"/>
    </row>
    <row r="947" spans="6:27" ht="15" customHeight="1">
      <c r="F947" s="4"/>
    </row>
    <row r="948" spans="6:27" ht="15" customHeight="1">
      <c r="F948" s="4"/>
    </row>
    <row r="949" spans="6:27" ht="15" customHeight="1">
      <c r="F949" s="4"/>
    </row>
    <row r="950" spans="6:27" ht="15" customHeight="1">
      <c r="F950" s="4"/>
    </row>
    <row r="951" spans="6:27" ht="15" customHeight="1">
      <c r="F951" s="4"/>
      <c r="G951" s="3"/>
      <c r="H951" s="3"/>
      <c r="J951" s="3"/>
      <c r="K951" s="3"/>
      <c r="L951" s="3"/>
      <c r="M951" s="3"/>
      <c r="N951" s="3"/>
      <c r="O951" s="3"/>
      <c r="P951" s="3"/>
      <c r="Q951" s="3"/>
      <c r="R951" s="3"/>
      <c r="S951" s="3"/>
      <c r="T951" s="3"/>
      <c r="U951" s="3"/>
      <c r="V951" s="3"/>
      <c r="W951" s="3"/>
      <c r="X951" s="3"/>
      <c r="Y951" s="3"/>
      <c r="Z951" s="3"/>
      <c r="AA951" s="3"/>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3"/>
    </row>
    <row r="958" spans="6:27" ht="15" customHeight="1">
      <c r="F958" s="3"/>
    </row>
    <row r="959" spans="6:27" ht="15" customHeight="1">
      <c r="F959" s="3"/>
    </row>
    <row r="960" spans="6:27" ht="15" customHeight="1">
      <c r="F960" s="3"/>
    </row>
    <row r="961" spans="6:27" ht="15" customHeight="1">
      <c r="F961" s="3"/>
    </row>
    <row r="962" spans="6:27" ht="15" customHeight="1">
      <c r="F962" s="3"/>
      <c r="G962" s="3"/>
      <c r="H962" s="3"/>
      <c r="J962" s="3"/>
      <c r="K962" s="3"/>
      <c r="L962" s="3"/>
      <c r="M962" s="3"/>
      <c r="N962" s="3"/>
      <c r="O962" s="3"/>
      <c r="P962" s="3"/>
      <c r="Q962" s="3"/>
      <c r="R962" s="3"/>
      <c r="S962" s="3"/>
      <c r="T962" s="3"/>
      <c r="U962" s="3"/>
      <c r="V962" s="3"/>
      <c r="W962" s="3"/>
      <c r="X962" s="3"/>
      <c r="Y962" s="3"/>
      <c r="Z962" s="3"/>
      <c r="AA962" s="3"/>
    </row>
    <row r="963" spans="6:27" ht="1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c r="G968" s="3"/>
      <c r="H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c r="G971" s="3"/>
      <c r="H971" s="3"/>
      <c r="J971" s="3"/>
      <c r="K971" s="3"/>
      <c r="L971" s="3"/>
      <c r="M971" s="3"/>
      <c r="N971" s="3"/>
      <c r="O971" s="3"/>
      <c r="P971" s="3"/>
      <c r="Q971" s="3"/>
      <c r="R971" s="3"/>
      <c r="S971" s="3"/>
      <c r="T971" s="3"/>
      <c r="U971" s="3"/>
      <c r="V971" s="3"/>
      <c r="W971" s="3"/>
      <c r="X971" s="3"/>
      <c r="Y971" s="3"/>
      <c r="Z971" s="3"/>
      <c r="AA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6" ht="15" customHeight="1">
      <c r="F977" s="3"/>
    </row>
    <row r="978" spans="6:6" ht="15" customHeight="1">
      <c r="F978" s="3"/>
    </row>
    <row r="979" spans="6:6" ht="15" customHeight="1">
      <c r="F979" s="3"/>
    </row>
    <row r="980" spans="6:6" ht="15" customHeight="1">
      <c r="F980" s="3"/>
    </row>
    <row r="981" spans="6:6" ht="15" customHeight="1">
      <c r="F981" s="3"/>
    </row>
    <row r="982" spans="6:6" ht="15" customHeight="1">
      <c r="F982" s="3"/>
    </row>
    <row r="983" spans="6:6" ht="15" customHeight="1">
      <c r="F983" s="3"/>
    </row>
    <row r="984" spans="6:6" ht="15" customHeight="1">
      <c r="F984" s="3"/>
    </row>
    <row r="985" spans="6:6" ht="15" customHeight="1">
      <c r="F985" s="3"/>
    </row>
    <row r="986" spans="6:6" ht="15" customHeight="1">
      <c r="F986" s="3"/>
    </row>
    <row r="987" spans="6:6" ht="15" customHeight="1">
      <c r="F987" s="3"/>
    </row>
    <row r="988" spans="6:6" ht="15" customHeight="1">
      <c r="F988" s="3"/>
    </row>
    <row r="989" spans="6:6" ht="15" customHeight="1">
      <c r="F989" s="3"/>
    </row>
    <row r="990" spans="6:6" ht="15" customHeight="1">
      <c r="F990" s="3"/>
    </row>
    <row r="991" spans="6:6" ht="15" customHeight="1">
      <c r="F991" s="3"/>
    </row>
    <row r="992" spans="6:6" ht="15" customHeight="1">
      <c r="F992" s="3"/>
    </row>
    <row r="993" spans="6:9" ht="15" customHeight="1">
      <c r="F993" s="3"/>
    </row>
    <row r="994" spans="6:9" ht="15" customHeight="1">
      <c r="F994" s="3"/>
    </row>
    <row r="995" spans="6:9" ht="15" customHeight="1">
      <c r="F995" s="3"/>
    </row>
    <row r="996" spans="6:9" ht="15" customHeight="1">
      <c r="F996" s="3"/>
    </row>
    <row r="997" spans="6:9" ht="15" customHeight="1">
      <c r="F997" s="3"/>
    </row>
    <row r="998" spans="6:9" ht="15" customHeight="1">
      <c r="F998" s="3"/>
    </row>
    <row r="999" spans="6:9" ht="15" customHeight="1">
      <c r="F999" s="3"/>
    </row>
    <row r="1000" spans="6:9" ht="15" customHeight="1">
      <c r="F1000" s="3"/>
    </row>
    <row r="1001" spans="6:9" ht="15" customHeight="1">
      <c r="F1001" s="3"/>
    </row>
    <row r="1002" spans="6:9" ht="15" customHeight="1">
      <c r="F1002" s="3"/>
      <c r="I1002" s="3"/>
    </row>
    <row r="1003" spans="6:9" ht="15" customHeight="1">
      <c r="F1003" s="3"/>
    </row>
    <row r="1004" spans="6:9" ht="15" customHeight="1">
      <c r="F1004" s="3"/>
    </row>
    <row r="1005" spans="6:9" ht="15" customHeight="1">
      <c r="F1005" s="3"/>
    </row>
    <row r="1006" spans="6:9" ht="15" customHeight="1">
      <c r="F1006" s="3"/>
    </row>
    <row r="1007" spans="6:9" ht="15" customHeight="1">
      <c r="F1007" s="3"/>
    </row>
    <row r="1008" spans="6:9"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c r="I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c r="I1019" s="3"/>
    </row>
    <row r="1020" spans="6:9" ht="15" customHeight="1">
      <c r="F1020" s="3"/>
    </row>
    <row r="1021" spans="6:9" ht="15" customHeight="1">
      <c r="F1021" s="3"/>
    </row>
    <row r="1022" spans="6:9" ht="15" customHeight="1">
      <c r="F1022" s="3"/>
      <c r="I1022" s="3"/>
    </row>
    <row r="1023" spans="6:9" ht="15" customHeight="1">
      <c r="F1023" s="3"/>
    </row>
    <row r="1024" spans="6:9" ht="15" customHeight="1">
      <c r="F1024" s="3"/>
    </row>
    <row r="1025" spans="6:27" ht="15" customHeight="1">
      <c r="F1025" s="3"/>
    </row>
    <row r="1026" spans="6:27" ht="15" customHeight="1">
      <c r="F1026" s="3"/>
    </row>
    <row r="1027" spans="6:27" ht="15" customHeight="1">
      <c r="F1027" s="3"/>
    </row>
    <row r="1028" spans="6:27" ht="15" customHeight="1">
      <c r="F1028" s="3"/>
    </row>
    <row r="1029" spans="6:27" ht="15" customHeight="1">
      <c r="F1029" s="3"/>
    </row>
    <row r="1030" spans="6:27" ht="15" customHeight="1">
      <c r="F1030" s="3"/>
    </row>
    <row r="1031" spans="6:27" ht="15" customHeight="1">
      <c r="F1031" s="3"/>
    </row>
    <row r="1032" spans="6:27" ht="15" customHeight="1">
      <c r="F1032" s="3"/>
      <c r="G1032" s="3"/>
      <c r="H1032" s="3"/>
      <c r="J1032" s="3"/>
      <c r="K1032" s="3"/>
      <c r="L1032" s="3"/>
      <c r="M1032" s="3"/>
      <c r="N1032" s="3"/>
      <c r="O1032" s="3"/>
      <c r="P1032" s="3"/>
      <c r="Q1032" s="3"/>
      <c r="R1032" s="3"/>
      <c r="S1032" s="3"/>
      <c r="T1032" s="3"/>
      <c r="U1032" s="3"/>
      <c r="V1032" s="3"/>
      <c r="W1032" s="3"/>
      <c r="X1032" s="3"/>
      <c r="Y1032" s="3"/>
      <c r="Z1032" s="3"/>
      <c r="AA1032" s="3"/>
    </row>
    <row r="1033" spans="6:27" ht="15" customHeight="1">
      <c r="F1033" s="3"/>
    </row>
    <row r="1034" spans="6:27" ht="15" customHeight="1">
      <c r="F1034" s="3"/>
    </row>
    <row r="1035" spans="6:27" ht="15" customHeight="1">
      <c r="F1035" s="3"/>
    </row>
    <row r="1036" spans="6:27" ht="15" customHeight="1">
      <c r="F1036" s="3"/>
    </row>
    <row r="1037" spans="6:27" ht="15" customHeight="1">
      <c r="F1037" s="3"/>
    </row>
    <row r="1038" spans="6:27" ht="15" customHeight="1">
      <c r="F1038" s="3"/>
    </row>
    <row r="1039" spans="6:27" ht="15" customHeight="1">
      <c r="F1039" s="3"/>
    </row>
    <row r="1040" spans="6:27" ht="15" customHeight="1">
      <c r="F1040" s="3"/>
    </row>
    <row r="1041" spans="6:13" ht="15" customHeight="1">
      <c r="F1041" s="3"/>
    </row>
    <row r="1042" spans="6:13" ht="15" customHeight="1">
      <c r="F1042" s="3"/>
    </row>
    <row r="1043" spans="6:13" ht="15" customHeight="1">
      <c r="F1043" s="3"/>
      <c r="K1043" s="3"/>
      <c r="L1043" s="3"/>
      <c r="M1043" s="3"/>
    </row>
    <row r="1044" spans="6:13" ht="15" customHeight="1">
      <c r="F1044" s="3"/>
    </row>
    <row r="1045" spans="6:13" ht="15" customHeight="1">
      <c r="F1045" s="3"/>
    </row>
    <row r="1046" spans="6:13" ht="15" customHeight="1">
      <c r="F1046" s="3"/>
    </row>
    <row r="1047" spans="6:13" ht="15" customHeight="1">
      <c r="F1047" s="3"/>
    </row>
    <row r="1048" spans="6:13" ht="15" customHeight="1">
      <c r="F1048" s="3"/>
    </row>
    <row r="1049" spans="6:13" ht="15" customHeight="1">
      <c r="F1049" s="3"/>
    </row>
    <row r="1050" spans="6:13" ht="15" customHeight="1">
      <c r="F1050" s="3"/>
    </row>
    <row r="1051" spans="6:13" ht="15" customHeight="1">
      <c r="F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c r="G1068" s="3"/>
      <c r="H1068" s="3"/>
      <c r="J1068" s="3"/>
      <c r="K1068" s="3"/>
      <c r="L1068" s="3"/>
      <c r="M1068" s="3"/>
      <c r="N1068" s="3"/>
      <c r="O1068" s="3"/>
      <c r="P1068" s="3"/>
      <c r="Q1068" s="3"/>
      <c r="R1068" s="3"/>
      <c r="S1068" s="3"/>
      <c r="T1068" s="3"/>
      <c r="U1068" s="3"/>
      <c r="V1068" s="3"/>
      <c r="W1068" s="3"/>
      <c r="X1068" s="3"/>
      <c r="Y1068" s="3"/>
      <c r="Z1068" s="3"/>
      <c r="AA1068" s="3"/>
    </row>
    <row r="1069" spans="6:27" ht="15" customHeight="1">
      <c r="F1069" s="3"/>
    </row>
    <row r="1070" spans="6:27" ht="15" customHeight="1">
      <c r="F1070" s="3"/>
    </row>
    <row r="1071" spans="6:27" ht="15" customHeight="1">
      <c r="F1071" s="3"/>
      <c r="G1071" s="3"/>
      <c r="H1071" s="3"/>
      <c r="J1071" s="3"/>
      <c r="K1071" s="3"/>
      <c r="L1071" s="3"/>
      <c r="M1071" s="3"/>
      <c r="N1071" s="3"/>
      <c r="O1071" s="3"/>
      <c r="P1071" s="3"/>
      <c r="Q1071" s="3"/>
      <c r="R1071" s="3"/>
      <c r="S1071" s="3"/>
      <c r="T1071" s="3"/>
      <c r="U1071" s="3"/>
      <c r="V1071" s="3"/>
      <c r="W1071" s="3"/>
      <c r="X1071" s="3"/>
      <c r="Y1071" s="3"/>
      <c r="Z1071" s="3"/>
      <c r="AA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27" ht="15" customHeight="1">
      <c r="F1073" s="3"/>
    </row>
    <row r="1074" spans="6:27" ht="15" customHeight="1">
      <c r="F1074" s="3"/>
    </row>
    <row r="1075" spans="6:27" ht="15" customHeight="1">
      <c r="F1075" s="3"/>
      <c r="I1075" s="3"/>
    </row>
    <row r="1076" spans="6:27" ht="15" customHeight="1">
      <c r="F1076" s="3"/>
    </row>
    <row r="1077" spans="6:27" ht="15" customHeight="1">
      <c r="F1077" s="3"/>
    </row>
    <row r="1078" spans="6:27" ht="15" customHeight="1">
      <c r="F1078" s="3"/>
      <c r="G1078" s="3"/>
      <c r="H1078" s="3"/>
      <c r="J1078" s="3"/>
      <c r="K1078" s="3"/>
      <c r="L1078" s="3"/>
      <c r="M1078" s="3"/>
      <c r="N1078" s="3"/>
      <c r="O1078" s="3"/>
      <c r="P1078" s="3"/>
      <c r="Q1078" s="3"/>
      <c r="R1078" s="3"/>
      <c r="S1078" s="3"/>
      <c r="T1078" s="3"/>
      <c r="U1078" s="3"/>
      <c r="V1078" s="3"/>
      <c r="W1078" s="3"/>
      <c r="X1078" s="3"/>
      <c r="Y1078" s="3"/>
      <c r="Z1078" s="3"/>
      <c r="AA1078" s="3"/>
    </row>
    <row r="1079" spans="6:27" ht="15" customHeight="1">
      <c r="F1079" s="3"/>
    </row>
    <row r="1080" spans="6:27" ht="15" customHeight="1">
      <c r="F1080" s="3"/>
    </row>
    <row r="1081" spans="6:27" ht="15" customHeight="1">
      <c r="F1081" s="3"/>
    </row>
    <row r="1082" spans="6:27" ht="15" customHeight="1">
      <c r="F1082" s="3"/>
    </row>
    <row r="1083" spans="6:27" ht="15" customHeight="1">
      <c r="F1083" s="3"/>
      <c r="I1083" s="3"/>
    </row>
    <row r="1084" spans="6:27" ht="15" customHeight="1">
      <c r="F1084" s="3"/>
    </row>
    <row r="1085" spans="6:27" ht="15" customHeight="1">
      <c r="F1085" s="3"/>
    </row>
    <row r="1086" spans="6:27" ht="15" customHeight="1">
      <c r="F1086" s="3"/>
    </row>
    <row r="1087" spans="6:27" ht="15" customHeight="1">
      <c r="F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c r="I1122" s="3"/>
    </row>
    <row r="1123" spans="6:27" ht="15" customHeight="1">
      <c r="F1123" s="3"/>
      <c r="I1123" s="3"/>
    </row>
    <row r="1124" spans="6:27" ht="15" customHeight="1">
      <c r="F1124" s="3"/>
    </row>
    <row r="1125" spans="6:27" ht="15" customHeight="1">
      <c r="F1125" s="3"/>
    </row>
    <row r="1126" spans="6:27" ht="15" customHeight="1">
      <c r="F1126" s="3"/>
    </row>
    <row r="1127" spans="6:27" ht="15" customHeight="1">
      <c r="F1127" s="3"/>
    </row>
    <row r="1128" spans="6:27" ht="15.75" customHeight="1">
      <c r="F1128" s="3"/>
    </row>
    <row r="1129" spans="6:27" ht="15.75" customHeight="1">
      <c r="F1129" s="3"/>
      <c r="I1129" s="3"/>
    </row>
    <row r="1130" spans="6:27" ht="15.75" customHeight="1">
      <c r="F1130" s="3"/>
    </row>
    <row r="1131" spans="6:27" ht="15.75" customHeight="1">
      <c r="F1131" s="3"/>
    </row>
    <row r="1132" spans="6:27" ht="15.75" customHeight="1">
      <c r="F1132" s="3"/>
    </row>
    <row r="1133" spans="6:27" ht="15.75" customHeight="1">
      <c r="F1133" s="3"/>
    </row>
    <row r="1134" spans="6:27" ht="15.75" customHeight="1">
      <c r="F1134" s="3"/>
    </row>
    <row r="1135" spans="6:27" ht="15.75" customHeight="1">
      <c r="F1135" s="3"/>
      <c r="G1135" s="3"/>
      <c r="H1135" s="3"/>
      <c r="J1135" s="3"/>
      <c r="K1135" s="3"/>
      <c r="L1135" s="3"/>
      <c r="M1135" s="3"/>
      <c r="N1135" s="3"/>
      <c r="O1135" s="3"/>
      <c r="P1135" s="3"/>
      <c r="Q1135" s="3"/>
      <c r="R1135" s="3"/>
      <c r="S1135" s="3"/>
      <c r="T1135" s="3"/>
      <c r="U1135" s="3"/>
      <c r="V1135" s="3"/>
      <c r="W1135" s="3"/>
      <c r="X1135" s="3"/>
      <c r="Y1135" s="3"/>
      <c r="Z1135" s="3"/>
      <c r="AA1135" s="3"/>
    </row>
    <row r="1136" spans="6:27" ht="15.75" customHeight="1">
      <c r="F1136" s="3"/>
    </row>
    <row r="1137" spans="6:9" ht="15.75" customHeight="1">
      <c r="F1137" s="3"/>
    </row>
    <row r="1138" spans="6:9" ht="15.75" customHeight="1">
      <c r="F1138" s="3"/>
    </row>
    <row r="1139" spans="6:9" ht="15.75" customHeight="1">
      <c r="F1139" s="3"/>
    </row>
    <row r="1140" spans="6:9" ht="15.75" customHeight="1">
      <c r="F1140" s="3"/>
    </row>
    <row r="1141" spans="6:9" ht="15.75" customHeight="1">
      <c r="F1141" s="3"/>
    </row>
    <row r="1142" spans="6:9" ht="15.75" customHeight="1">
      <c r="F1142" s="3"/>
      <c r="I1142" s="3"/>
    </row>
    <row r="1143" spans="6:9" ht="15.75" customHeight="1">
      <c r="F1143" s="3"/>
    </row>
    <row r="1144" spans="6:9" ht="15.75" customHeight="1">
      <c r="F1144" s="3"/>
    </row>
    <row r="1145" spans="6:9" ht="15.75" customHeight="1">
      <c r="F1145" s="3"/>
    </row>
    <row r="1146" spans="6:9" ht="15.75" customHeight="1">
      <c r="F1146" s="3"/>
    </row>
    <row r="1147" spans="6:9" ht="15.75" customHeight="1">
      <c r="F1147" s="3"/>
    </row>
    <row r="1148" spans="6:9" ht="15.75" customHeight="1">
      <c r="F1148" s="3"/>
    </row>
    <row r="1149" spans="6:9" ht="15.75" customHeight="1">
      <c r="F1149" s="3"/>
    </row>
    <row r="1150" spans="6:9" ht="15.75" customHeight="1">
      <c r="F1150" s="3"/>
    </row>
    <row r="1151" spans="6:9" ht="15.75" customHeight="1">
      <c r="F1151" s="3"/>
    </row>
    <row r="1152" spans="6:9" ht="15.75" customHeight="1">
      <c r="F1152" s="3"/>
    </row>
    <row r="1153" spans="6:6" ht="15.75" customHeight="1">
      <c r="F1153" s="3"/>
    </row>
    <row r="1154" spans="6:6" ht="15.75" customHeight="1">
      <c r="F1154" s="3"/>
    </row>
    <row r="1155" spans="6:6" ht="15.75" customHeight="1">
      <c r="F1155" s="3"/>
    </row>
    <row r="1156" spans="6:6" ht="15" customHeight="1">
      <c r="F1156" s="4"/>
    </row>
    <row r="1157" spans="6:6" ht="15" customHeight="1">
      <c r="F1157" s="4"/>
    </row>
    <row r="1158" spans="6:6" ht="15" customHeight="1">
      <c r="F1158" s="4"/>
    </row>
    <row r="1159" spans="6:6" ht="15" customHeight="1">
      <c r="F1159" s="4"/>
    </row>
    <row r="1160" spans="6:6" ht="15" customHeight="1">
      <c r="F1160" s="4"/>
    </row>
    <row r="1161" spans="6:6" ht="15" customHeight="1">
      <c r="F1161" s="4"/>
    </row>
    <row r="1162" spans="6:6" ht="15" customHeight="1">
      <c r="F1162" s="4"/>
    </row>
    <row r="1163" spans="6:6" ht="15" customHeight="1">
      <c r="F1163" s="4"/>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sheetData>
  <autoFilter ref="A1:E973" xr:uid="{00000000-0009-0000-0000-00000F000000}">
    <sortState xmlns:xlrd2="http://schemas.microsoft.com/office/spreadsheetml/2017/richdata2" ref="A2:E973">
      <sortCondition ref="A1:A973"/>
    </sortState>
  </autoFilter>
  <dataValidations count="2">
    <dataValidation type="list" allowBlank="1" showErrorMessage="1" sqref="D1" xr:uid="{0FC73AF7-9B2F-44ED-BEB3-31E6363A2D0E}">
      <formula1>$F$1:$F$177</formula1>
    </dataValidation>
    <dataValidation type="list" allowBlank="1" showErrorMessage="1" sqref="D2:D5 D42 D37:D40 D7:D8 D69" xr:uid="{B92DDC5D-EC3A-41DF-90FF-4824EA5B1495}">
      <formula1>$F$3:$F$177</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abSelected="1" topLeftCell="AL1" zoomScale="80" zoomScaleNormal="80" workbookViewId="0">
      <selection activeCell="AW3" sqref="AW3:AW794"/>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t="str">
        <f>IFERROR(INDEX(G3:R3,1,MATCH(Parametres!$B$3,G$1:R$1,0)-1)*IF(OR(F3="L",F3="S",F3="I"),-1,1),"")</f>
        <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t="str">
        <f>IFERROR(INDEX(V3:AG3,1,MATCH(Parametres!$B$3,V$1:AG$1,0)-1)*IF(OR(C3="L",C3="S",C3="I"),-1,1),"")</f>
        <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K67" si="0">C4</f>
        <v>HDB134</v>
      </c>
      <c r="AK4" s="1030" t="str">
        <f t="shared" si="0"/>
        <v>PROV.POUR MAUVAIS.CREANCE</v>
      </c>
      <c r="AL4" s="1030" t="str">
        <f>IFERROR(INDEX(G4:R4,1,MATCH(Parametres!$B$3,G$1:R$1,0)-1)*IF(OR(F4="L",F4="S",F4="I"),-1,1),"")</f>
        <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U67" si="2">C4</f>
        <v>HDB134</v>
      </c>
      <c r="AU4" s="599" t="str">
        <f t="shared" si="2"/>
        <v>PROV.POUR MAUVAIS.CREANCE</v>
      </c>
      <c r="AV4" s="1030" t="str">
        <f>IFERROR(INDEX(V4:AG4,1,MATCH(Parametres!$B$3,V$1:AG$1,0)-1)*IF(OR(C4="L",C4="S",C4="I"),-1,1),"")</f>
        <v/>
      </c>
      <c r="AW4" s="1030">
        <f t="shared" ref="AW4:AW67" si="3">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0"/>
        <v>AVAN.FIDUCIE TESTAMENTAIR</v>
      </c>
      <c r="AL5" s="1030" t="str">
        <f>IFERROR(INDEX(G5:R5,1,MATCH(Parametres!$B$3,G$1:R$1,0)-1)*IF(OR(F5="L",F5="S",F5="I"),-1,1),"")</f>
        <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2"/>
        <v>HDB137</v>
      </c>
      <c r="AU5" s="599" t="str">
        <f t="shared" si="2"/>
        <v>AVAN.FIDUCIE TESTAMENTAIR</v>
      </c>
      <c r="AV5" s="1030" t="str">
        <f>IFERROR(INDEX(V5:AG5,1,MATCH(Parametres!$B$3,V$1:AG$1,0)-1)*IF(OR(C5="L",C5="S",C5="I"),-1,1),"")</f>
        <v/>
      </c>
      <c r="AW5" s="1030">
        <f t="shared" si="3"/>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0"/>
        <v>IMRTD(COMPTE BNR)</v>
      </c>
      <c r="AL6" s="1030" t="str">
        <f>IFERROR(INDEX(G6:R6,1,MATCH(Parametres!$B$3,G$1:R$1,0)-1)*IF(OR(F6="L",F6="S",F6="I"),-1,1),"")</f>
        <v/>
      </c>
      <c r="AM6" s="1030">
        <f t="shared" si="1"/>
        <v>16305</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2"/>
        <v>HDB15</v>
      </c>
      <c r="AU6" s="599" t="str">
        <f t="shared" si="2"/>
        <v>IMRTD(COMPTE BNR)</v>
      </c>
      <c r="AV6" s="1030" t="str">
        <f>IFERROR(INDEX(V6:AG6,1,MATCH(Parametres!$B$3,V$1:AG$1,0)-1)*IF(OR(C6="L",C6="S",C6="I"),-1,1),"")</f>
        <v/>
      </c>
      <c r="AW6" s="1030">
        <f t="shared" si="3"/>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0"/>
        <v>RTD (COMPTE BNR)</v>
      </c>
      <c r="AL7" s="1030" t="str">
        <f>IFERROR(INDEX(G7:R7,1,MATCH(Parametres!$B$3,G$1:R$1,0)-1)*IF(OR(F7="L",F7="S",F7="I"),-1,1),"")</f>
        <v/>
      </c>
      <c r="AM7" s="1030">
        <f t="shared" si="1"/>
        <v>-16305</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2"/>
        <v>HDB16</v>
      </c>
      <c r="AU7" s="599" t="str">
        <f t="shared" si="2"/>
        <v>RTD (COMPTE BNR)</v>
      </c>
      <c r="AV7" s="1030" t="str">
        <f>IFERROR(INDEX(V7:AG7,1,MATCH(Parametres!$B$3,V$1:AG$1,0)-1)*IF(OR(C7="L",C7="S",C7="I"),-1,1),"")</f>
        <v/>
      </c>
      <c r="AW7" s="1030">
        <f t="shared" si="3"/>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0"/>
        <v>NF SALAIRES-VENTES DIR</v>
      </c>
      <c r="AL8" s="1030" t="str">
        <f>IFERROR(INDEX(G8:R8,1,MATCH(Parametres!$B$3,G$1:R$1,0)-1)*IF(OR(F8="L",F8="S",F8="I"),-1,1),"")</f>
        <v/>
      </c>
      <c r="AM8" s="1030">
        <f t="shared" si="1"/>
        <v>24606.94</v>
      </c>
      <c r="AN8" s="1030">
        <f>INDEX(G8:R8,1,MATCH(Parametres!$B$3,G$1:R$1,0))*IF(OR(F8="L",F8="S",F8="I"),-1,1)</f>
        <v>24606.94</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2"/>
        <v>H01201</v>
      </c>
      <c r="AU8" s="599" t="str">
        <f t="shared" si="2"/>
        <v>NF SALAIRES-VENTES DIR</v>
      </c>
      <c r="AV8" s="1030" t="str">
        <f>IFERROR(INDEX(V8:AG8,1,MATCH(Parametres!$B$3,V$1:AG$1,0)-1)*IF(OR(C8="L",C8="S",C8="I"),-1,1),"")</f>
        <v/>
      </c>
      <c r="AW8" s="1030">
        <f t="shared" si="3"/>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0"/>
        <v>NF SALAIRE &amp; COMM VENDEUR</v>
      </c>
      <c r="AL9" s="1030" t="str">
        <f>IFERROR(INDEX(G9:R9,1,MATCH(Parametres!$B$3,G$1:R$1,0)-1)*IF(OR(F9="L",F9="S",F9="I"),-1,1),"")</f>
        <v/>
      </c>
      <c r="AM9" s="1030">
        <f t="shared" si="1"/>
        <v>59450.03</v>
      </c>
      <c r="AN9" s="1030">
        <f>INDEX(G9:R9,1,MATCH(Parametres!$B$3,G$1:R$1,0))*IF(OR(F9="L",F9="S",F9="I"),-1,1)</f>
        <v>59450.03</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2"/>
        <v>H01202</v>
      </c>
      <c r="AU9" s="599" t="str">
        <f t="shared" si="2"/>
        <v>NF SALAIRE &amp; COMM VENDEUR</v>
      </c>
      <c r="AV9" s="1030" t="str">
        <f>IFERROR(INDEX(V9:AG9,1,MATCH(Parametres!$B$3,V$1:AG$1,0)-1)*IF(OR(C9="L",C9="S",C9="I"),-1,1),"")</f>
        <v/>
      </c>
      <c r="AW9" s="1030">
        <f t="shared" si="3"/>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0"/>
        <v>NF SALAIRE &amp; COMM F&amp;I</v>
      </c>
      <c r="AL10" s="1030" t="str">
        <f>IFERROR(INDEX(G10:R10,1,MATCH(Parametres!$B$3,G$1:R$1,0)-1)*IF(OR(F10="L",F10="S",F10="I"),-1,1),"")</f>
        <v/>
      </c>
      <c r="AM10" s="1030">
        <f t="shared" si="1"/>
        <v>31176.01</v>
      </c>
      <c r="AN10" s="1030">
        <f>INDEX(G10:R10,1,MATCH(Parametres!$B$3,G$1:R$1,0))*IF(OR(F10="L",F10="S",F10="I"),-1,1)</f>
        <v>31176.01</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2"/>
        <v>H01203</v>
      </c>
      <c r="AU10" s="599" t="str">
        <f t="shared" si="2"/>
        <v>NF SALAIRE &amp; COMM F&amp;I</v>
      </c>
      <c r="AV10" s="1030" t="str">
        <f>IFERROR(INDEX(V10:AG10,1,MATCH(Parametres!$B$3,V$1:AG$1,0)-1)*IF(OR(C10="L",C10="S",C10="I"),-1,1),"")</f>
        <v/>
      </c>
      <c r="AW10" s="1030">
        <f t="shared" si="3"/>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0"/>
        <v>NF PREP A LA ROUTE</v>
      </c>
      <c r="AL11" s="1030" t="str">
        <f>IFERROR(INDEX(G11:R11,1,MATCH(Parametres!$B$3,G$1:R$1,0)-1)*IF(OR(F11="L",F11="S",F11="I"),-1,1),"")</f>
        <v/>
      </c>
      <c r="AM11" s="1030">
        <f t="shared" si="1"/>
        <v>4053.38</v>
      </c>
      <c r="AN11" s="1030">
        <f>INDEX(G11:R11,1,MATCH(Parametres!$B$3,G$1:R$1,0))*IF(OR(F11="L",F11="S",F11="I"),-1,1)</f>
        <v>4053.38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2"/>
        <v>H01204</v>
      </c>
      <c r="AU11" s="599" t="str">
        <f t="shared" si="2"/>
        <v>NF PREP A LA ROUTE</v>
      </c>
      <c r="AV11" s="1030" t="str">
        <f>IFERROR(INDEX(V11:AG11,1,MATCH(Parametres!$B$3,V$1:AG$1,0)-1)*IF(OR(C11="L",C11="S",C11="I"),-1,1),"")</f>
        <v/>
      </c>
      <c r="AW11" s="1030">
        <f t="shared" si="3"/>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0"/>
        <v>NF PRATIQUES DE GARANTIE</v>
      </c>
      <c r="AL12" s="1030" t="str">
        <f>IFERROR(INDEX(G12:R12,1,MATCH(Parametres!$B$3,G$1:R$1,0)-1)*IF(OR(F12="L",F12="S",F12="I"),-1,1),"")</f>
        <v/>
      </c>
      <c r="AM12" s="1030">
        <f t="shared" si="1"/>
        <v>288.5</v>
      </c>
      <c r="AN12" s="1030">
        <f>INDEX(G12:R12,1,MATCH(Parametres!$B$3,G$1:R$1,0))*IF(OR(F12="L",F12="S",F12="I"),-1,1)</f>
        <v>288.5</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2"/>
        <v>H01205</v>
      </c>
      <c r="AU12" s="599" t="str">
        <f t="shared" si="2"/>
        <v>NF PRATIQUES DE GARANTIE</v>
      </c>
      <c r="AV12" s="1030" t="str">
        <f>IFERROR(INDEX(V12:AG12,1,MATCH(Parametres!$B$3,V$1:AG$1,0)-1)*IF(OR(C12="L",C12="S",C12="I"),-1,1),"")</f>
        <v/>
      </c>
      <c r="AW12" s="1030">
        <f t="shared" si="3"/>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0"/>
        <v>NF TOT PUB &amp; PROMO VENTES</v>
      </c>
      <c r="AL13" s="1030" t="str">
        <f>IFERROR(INDEX(G13:R13,1,MATCH(Parametres!$B$3,G$1:R$1,0)-1)*IF(OR(F13="L",F13="S",F13="I"),-1,1),"")</f>
        <v/>
      </c>
      <c r="AM13" s="1030">
        <f t="shared" si="1"/>
        <v>19803.04</v>
      </c>
      <c r="AN13" s="1030">
        <f>INDEX(G13:R13,1,MATCH(Parametres!$B$3,G$1:R$1,0))*IF(OR(F13="L",F13="S",F13="I"),-1,1)</f>
        <v>19803.04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2"/>
        <v>H01206</v>
      </c>
      <c r="AU13" s="599" t="str">
        <f t="shared" si="2"/>
        <v>NF TOT PUB &amp; PROMO VENTES</v>
      </c>
      <c r="AV13" s="1030" t="str">
        <f>IFERROR(INDEX(V13:AG13,1,MATCH(Parametres!$B$3,V$1:AG$1,0)-1)*IF(OR(C13="L",C13="S",C13="I"),-1,1),"")</f>
        <v/>
      </c>
      <c r="AW13" s="1030">
        <f t="shared" si="3"/>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0"/>
        <v>NF COOP RABAIS PUBLICITE</v>
      </c>
      <c r="AL14" s="1030" t="str">
        <f>IFERROR(INDEX(G14:R14,1,MATCH(Parametres!$B$3,G$1:R$1,0)-1)*IF(OR(F14="L",F14="S",F14="I"),-1,1),"")</f>
        <v/>
      </c>
      <c r="AM14" s="1030">
        <f t="shared" si="1"/>
        <v>-6419.04</v>
      </c>
      <c r="AN14" s="1030">
        <f>INDEX(G14:R14,1,MATCH(Parametres!$B$3,G$1:R$1,0))*IF(OR(F14="L",F14="S",F14="I"),-1,1)</f>
        <v>-6419.04</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2"/>
        <v>H01207</v>
      </c>
      <c r="AU14" s="599" t="str">
        <f t="shared" si="2"/>
        <v>NF COOP RABAIS PUBLICITE</v>
      </c>
      <c r="AV14" s="1030" t="str">
        <f>IFERROR(INDEX(V14:AG14,1,MATCH(Parametres!$B$3,V$1:AG$1,0)-1)*IF(OR(C14="L",C14="S",C14="I"),-1,1),"")</f>
        <v/>
      </c>
      <c r="AW14" s="1030">
        <f t="shared" si="3"/>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0"/>
        <v>NF DEMONSTRATEURS</v>
      </c>
      <c r="AL15" s="1030" t="str">
        <f>IFERROR(INDEX(G15:R15,1,MATCH(Parametres!$B$3,G$1:R$1,0)-1)*IF(OR(F15="L",F15="S",F15="I"),-1,1),"")</f>
        <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2"/>
        <v>H01208</v>
      </c>
      <c r="AU15" s="599" t="str">
        <f t="shared" si="2"/>
        <v>NF DEMONSTRATEURS</v>
      </c>
      <c r="AV15" s="1030" t="str">
        <f>IFERROR(INDEX(V15:AG15,1,MATCH(Parametres!$B$3,V$1:AG$1,0)-1)*IF(OR(C15="L",C15="S",C15="I"),-1,1),"")</f>
        <v/>
      </c>
      <c r="AW15" s="1030">
        <f t="shared" si="3"/>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0"/>
        <v>NF ENT VEH EN STOCK</v>
      </c>
      <c r="AL16" s="1030" t="str">
        <f>IFERROR(INDEX(G16:R16,1,MATCH(Parametres!$B$3,G$1:R$1,0)-1)*IF(OR(F16="L",F16="S",F16="I"),-1,1),"")</f>
        <v/>
      </c>
      <c r="AM16" s="1030">
        <f t="shared" si="1"/>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2"/>
        <v>H01209</v>
      </c>
      <c r="AU16" s="599" t="str">
        <f t="shared" si="2"/>
        <v>NF ENT VEH EN STOCK</v>
      </c>
      <c r="AV16" s="1030" t="str">
        <f>IFERROR(INDEX(V16:AG16,1,MATCH(Parametres!$B$3,V$1:AG$1,0)-1)*IF(OR(C16="L",C16="S",C16="I"),-1,1),"")</f>
        <v/>
      </c>
      <c r="AW16" s="1030">
        <f t="shared" si="3"/>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0"/>
        <v>NF FRAIS FINANCEMENT</v>
      </c>
      <c r="AL17" s="1030" t="str">
        <f>IFERROR(INDEX(G17:R17,1,MATCH(Parametres!$B$3,G$1:R$1,0)-1)*IF(OR(F17="L",F17="S",F17="I"),-1,1),"")</f>
        <v/>
      </c>
      <c r="AM17" s="1030">
        <f t="shared" si="1"/>
        <v>34682.21</v>
      </c>
      <c r="AN17" s="1030">
        <f>INDEX(G17:R17,1,MATCH(Parametres!$B$3,G$1:R$1,0))*IF(OR(F17="L",F17="S",F17="I"),-1,1)</f>
        <v>34682.21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2"/>
        <v>H01210</v>
      </c>
      <c r="AU17" s="599" t="str">
        <f t="shared" si="2"/>
        <v>NF FRAIS FINANCEMENT</v>
      </c>
      <c r="AV17" s="1030" t="str">
        <f>IFERROR(INDEX(V17:AG17,1,MATCH(Parametres!$B$3,V$1:AG$1,0)-1)*IF(OR(C17="L",C17="S",C17="I"),-1,1),"")</f>
        <v/>
      </c>
      <c r="AW17" s="1030">
        <f t="shared" si="3"/>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0"/>
        <v>NF ASSIST FLOOR PLAN HAC</v>
      </c>
      <c r="AL18" s="1030" t="str">
        <f>IFERROR(INDEX(G18:R18,1,MATCH(Parametres!$B$3,G$1:R$1,0)-1)*IF(OR(F18="L",F18="S",F18="I"),-1,1),"")</f>
        <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2"/>
        <v>H01211</v>
      </c>
      <c r="AU18" s="599" t="str">
        <f t="shared" si="2"/>
        <v>NF ASSIST FLOOR PLAN HAC</v>
      </c>
      <c r="AV18" s="1030" t="str">
        <f>IFERROR(INDEX(V18:AG18,1,MATCH(Parametres!$B$3,V$1:AG$1,0)-1)*IF(OR(C18="L",C18="S",C18="I"),-1,1),"")</f>
        <v/>
      </c>
      <c r="AW18" s="1030">
        <f t="shared" si="3"/>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0"/>
        <v>NF FRAIS DE FINANCE</v>
      </c>
      <c r="AL19" s="1030" t="str">
        <f>IFERROR(INDEX(G19:R19,1,MATCH(Parametres!$B$3,G$1:R$1,0)-1)*IF(OR(F19="L",F19="S",F19="I"),-1,1),"")</f>
        <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2"/>
        <v>H01212</v>
      </c>
      <c r="AU19" s="599" t="str">
        <f t="shared" si="2"/>
        <v>NF FRAIS DE FINANCE</v>
      </c>
      <c r="AV19" s="1030" t="str">
        <f>IFERROR(INDEX(V19:AG19,1,MATCH(Parametres!$B$3,V$1:AG$1,0)-1)*IF(OR(C19="L",C19="S",C19="I"),-1,1),"")</f>
        <v/>
      </c>
      <c r="AW19" s="1030">
        <f t="shared" si="3"/>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0"/>
        <v>NF SALAIRES -AUTRES</v>
      </c>
      <c r="AL20" s="1030" t="str">
        <f>IFERROR(INDEX(G20:R20,1,MATCH(Parametres!$B$3,G$1:R$1,0)-1)*IF(OR(F20="L",F20="S",F20="I"),-1,1),"")</f>
        <v/>
      </c>
      <c r="AM20" s="1030">
        <f t="shared" si="1"/>
        <v>3653.9</v>
      </c>
      <c r="AN20" s="1030">
        <f>INDEX(G20:R20,1,MATCH(Parametres!$B$3,G$1:R$1,0))*IF(OR(F20="L",F20="S",F20="I"),-1,1)</f>
        <v>3653.9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2"/>
        <v>H01221</v>
      </c>
      <c r="AU20" s="599" t="str">
        <f t="shared" si="2"/>
        <v>NF SALAIRES -AUTRES</v>
      </c>
      <c r="AV20" s="1030" t="str">
        <f>IFERROR(INDEX(V20:AG20,1,MATCH(Parametres!$B$3,V$1:AG$1,0)-1)*IF(OR(C20="L",C20="S",C20="I"),-1,1),"")</f>
        <v/>
      </c>
      <c r="AW20" s="1030">
        <f t="shared" si="3"/>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0"/>
        <v>NF ABS. &amp; CONGES PAYES</v>
      </c>
      <c r="AL21" s="1030" t="str">
        <f>IFERROR(INDEX(G21:R21,1,MATCH(Parametres!$B$3,G$1:R$1,0)-1)*IF(OR(F21="L",F21="S",F21="I"),-1,1),"")</f>
        <v/>
      </c>
      <c r="AM21" s="1030">
        <f t="shared" si="1"/>
        <v>13085.27</v>
      </c>
      <c r="AN21" s="1030">
        <f>INDEX(G21:R21,1,MATCH(Parametres!$B$3,G$1:R$1,0))*IF(OR(F21="L",F21="S",F21="I"),-1,1)</f>
        <v>13085.27</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2"/>
        <v>H01223</v>
      </c>
      <c r="AU21" s="599" t="str">
        <f t="shared" si="2"/>
        <v>NF ABS. &amp; CONGES PAYES</v>
      </c>
      <c r="AV21" s="1030" t="str">
        <f>IFERROR(INDEX(V21:AG21,1,MATCH(Parametres!$B$3,V$1:AG$1,0)-1)*IF(OR(C21="L",C21="S",C21="I"),-1,1),"")</f>
        <v/>
      </c>
      <c r="AW21" s="1030">
        <f t="shared" si="3"/>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0"/>
        <v>NF CSST</v>
      </c>
      <c r="AL22" s="1030" t="str">
        <f>IFERROR(INDEX(G22:R22,1,MATCH(Parametres!$B$3,G$1:R$1,0)-1)*IF(OR(F22="L",F22="S",F22="I"),-1,1),"")</f>
        <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2"/>
        <v>H01224</v>
      </c>
      <c r="AU22" s="599" t="str">
        <f t="shared" si="2"/>
        <v>NF CSST</v>
      </c>
      <c r="AV22" s="1030" t="str">
        <f>IFERROR(INDEX(V22:AG22,1,MATCH(Parametres!$B$3,V$1:AG$1,0)-1)*IF(OR(C22="L",C22="S",C22="I"),-1,1),"")</f>
        <v/>
      </c>
      <c r="AW22" s="1030">
        <f t="shared" si="3"/>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0"/>
        <v>NF ASSURANCE CHOMAGE</v>
      </c>
      <c r="AL23" s="1030" t="str">
        <f>IFERROR(INDEX(G23:R23,1,MATCH(Parametres!$B$3,G$1:R$1,0)-1)*IF(OR(F23="L",F23="S",F23="I"),-1,1),"")</f>
        <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2"/>
        <v>H01225</v>
      </c>
      <c r="AU23" s="599" t="str">
        <f t="shared" si="2"/>
        <v>NF ASSURANCE CHOMAGE</v>
      </c>
      <c r="AV23" s="1030" t="str">
        <f>IFERROR(INDEX(V23:AG23,1,MATCH(Parametres!$B$3,V$1:AG$1,0)-1)*IF(OR(C23="L",C23="S",C23="I"),-1,1),"")</f>
        <v/>
      </c>
      <c r="AW23" s="1030">
        <f t="shared" si="3"/>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0"/>
        <v>NF ASSURANCE GROUPE</v>
      </c>
      <c r="AL24" s="1030" t="str">
        <f>IFERROR(INDEX(G24:R24,1,MATCH(Parametres!$B$3,G$1:R$1,0)-1)*IF(OR(F24="L",F24="S",F24="I"),-1,1),"")</f>
        <v/>
      </c>
      <c r="AM24" s="1030">
        <f t="shared" si="1"/>
        <v>1431.35</v>
      </c>
      <c r="AN24" s="1030">
        <f>INDEX(G24:R24,1,MATCH(Parametres!$B$3,G$1:R$1,0))*IF(OR(F24="L",F24="S",F24="I"),-1,1)</f>
        <v>1431.35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2"/>
        <v>H01226</v>
      </c>
      <c r="AU24" s="599" t="str">
        <f t="shared" si="2"/>
        <v>NF ASSURANCE GROUPE</v>
      </c>
      <c r="AV24" s="1030" t="str">
        <f>IFERROR(INDEX(V24:AG24,1,MATCH(Parametres!$B$3,V$1:AG$1,0)-1)*IF(OR(C24="L",C24="S",C24="I"),-1,1),"")</f>
        <v/>
      </c>
      <c r="AW24" s="1030">
        <f t="shared" si="3"/>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0"/>
        <v>NF AUTRES AV. SOCIAUX</v>
      </c>
      <c r="AL25" s="1030" t="str">
        <f>IFERROR(INDEX(G25:R25,1,MATCH(Parametres!$B$3,G$1:R$1,0)-1)*IF(OR(F25="L",F25="S",F25="I"),-1,1),"")</f>
        <v/>
      </c>
      <c r="AM25" s="1030">
        <f t="shared" si="1"/>
        <v>23183.05</v>
      </c>
      <c r="AN25" s="1030">
        <f>INDEX(G25:R25,1,MATCH(Parametres!$B$3,G$1:R$1,0))*IF(OR(F25="L",F25="S",F25="I"),-1,1)</f>
        <v>23183.05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2"/>
        <v>H01227</v>
      </c>
      <c r="AU25" s="599" t="str">
        <f t="shared" si="2"/>
        <v>NF AUTRES AV. SOCIAUX</v>
      </c>
      <c r="AV25" s="1030" t="str">
        <f>IFERROR(INDEX(V25:AG25,1,MATCH(Parametres!$B$3,V$1:AG$1,0)-1)*IF(OR(C25="L",C25="S",C25="I"),-1,1),"")</f>
        <v/>
      </c>
      <c r="AW25" s="1030">
        <f t="shared" si="3"/>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0"/>
        <v>NF FORMATION</v>
      </c>
      <c r="AL26" s="1030" t="str">
        <f>IFERROR(INDEX(G26:R26,1,MATCH(Parametres!$B$3,G$1:R$1,0)-1)*IF(OR(F26="L",F26="S",F26="I"),-1,1),"")</f>
        <v/>
      </c>
      <c r="AM26" s="1030">
        <f t="shared" si="1"/>
        <v>775</v>
      </c>
      <c r="AN26" s="1030">
        <f>INDEX(G26:R26,1,MATCH(Parametres!$B$3,G$1:R$1,0))*IF(OR(F26="L",F26="S",F26="I"),-1,1)</f>
        <v>775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2"/>
        <v>H01228</v>
      </c>
      <c r="AU26" s="599" t="str">
        <f t="shared" si="2"/>
        <v>NF FORMATION</v>
      </c>
      <c r="AV26" s="1030" t="str">
        <f>IFERROR(INDEX(V26:AG26,1,MATCH(Parametres!$B$3,V$1:AG$1,0)-1)*IF(OR(C26="L",C26="S",C26="I"),-1,1),"")</f>
        <v/>
      </c>
      <c r="AW26" s="1030">
        <f t="shared" si="3"/>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0"/>
        <v>NF PAPETRIE-FOUR. BUREAU</v>
      </c>
      <c r="AL27" s="1030" t="str">
        <f>IFERROR(INDEX(G27:R27,1,MATCH(Parametres!$B$3,G$1:R$1,0)-1)*IF(OR(F27="L",F27="S",F27="I"),-1,1),"")</f>
        <v/>
      </c>
      <c r="AM27" s="1030">
        <f t="shared" si="1"/>
        <v>873.95</v>
      </c>
      <c r="AN27" s="1030">
        <f>INDEX(G27:R27,1,MATCH(Parametres!$B$3,G$1:R$1,0))*IF(OR(F27="L",F27="S",F27="I"),-1,1)</f>
        <v>873.95</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2"/>
        <v>H01230</v>
      </c>
      <c r="AU27" s="599" t="str">
        <f t="shared" si="2"/>
        <v>NF PAPETRIE-FOUR. BUREAU</v>
      </c>
      <c r="AV27" s="1030" t="str">
        <f>IFERROR(INDEX(V27:AG27,1,MATCH(Parametres!$B$3,V$1:AG$1,0)-1)*IF(OR(C27="L",C27="S",C27="I"),-1,1),"")</f>
        <v/>
      </c>
      <c r="AW27" s="1030">
        <f t="shared" si="3"/>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0"/>
        <v>NF OUTILLAGE-FOUR. DIVERS</v>
      </c>
      <c r="AL28" s="1030" t="str">
        <f>IFERROR(INDEX(G28:R28,1,MATCH(Parametres!$B$3,G$1:R$1,0)-1)*IF(OR(F28="L",F28="S",F28="I"),-1,1),"")</f>
        <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2"/>
        <v>H01231</v>
      </c>
      <c r="AU28" s="599" t="str">
        <f t="shared" si="2"/>
        <v>NF OUTILLAGE-FOUR. DIVERS</v>
      </c>
      <c r="AV28" s="1030" t="str">
        <f>IFERROR(INDEX(V28:AG28,1,MATCH(Parametres!$B$3,V$1:AG$1,0)-1)*IF(OR(C28="L",C28="S",C28="I"),-1,1),"")</f>
        <v/>
      </c>
      <c r="AW28" s="1030">
        <f t="shared" si="3"/>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0"/>
        <v>NF UNIFORMES-SALOPETTES</v>
      </c>
      <c r="AL29" s="1030" t="str">
        <f>IFERROR(INDEX(G29:R29,1,MATCH(Parametres!$B$3,G$1:R$1,0)-1)*IF(OR(F29="L",F29="S",F29="I"),-1,1),"")</f>
        <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2"/>
        <v>H01234</v>
      </c>
      <c r="AU29" s="599" t="str">
        <f t="shared" si="2"/>
        <v>NF UNIFORMES-SALOPETTES</v>
      </c>
      <c r="AV29" s="1030" t="str">
        <f>IFERROR(INDEX(V29:AG29,1,MATCH(Parametres!$B$3,V$1:AG$1,0)-1)*IF(OR(C29="L",C29="S",C29="I"),-1,1),"")</f>
        <v/>
      </c>
      <c r="AW29" s="1030">
        <f t="shared" si="3"/>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0"/>
        <v>NF CONCIERGERIE-NETTOYAGE</v>
      </c>
      <c r="AL30" s="1030" t="str">
        <f>IFERROR(INDEX(G30:R30,1,MATCH(Parametres!$B$3,G$1:R$1,0)-1)*IF(OR(F30="L",F30="S",F30="I"),-1,1),"")</f>
        <v/>
      </c>
      <c r="AM30" s="1030">
        <f t="shared" si="1"/>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2"/>
        <v>H01235</v>
      </c>
      <c r="AU30" s="599" t="str">
        <f t="shared" si="2"/>
        <v>NF CONCIERGERIE-NETTOYAGE</v>
      </c>
      <c r="AV30" s="1030" t="str">
        <f>IFERROR(INDEX(V30:AG30,1,MATCH(Parametres!$B$3,V$1:AG$1,0)-1)*IF(OR(C30="L",C30="S",C30="I"),-1,1),"")</f>
        <v/>
      </c>
      <c r="AW30" s="1030">
        <f t="shared" si="3"/>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0"/>
        <v>NF ENT EQUIPMENT</v>
      </c>
      <c r="AL31" s="1030" t="str">
        <f>IFERROR(INDEX(G31:R31,1,MATCH(Parametres!$B$3,G$1:R$1,0)-1)*IF(OR(F31="L",F31="S",F31="I"),-1,1),"")</f>
        <v/>
      </c>
      <c r="AM31" s="1030">
        <f t="shared" si="1"/>
        <v>0</v>
      </c>
      <c r="AN31" s="1030">
        <f>INDEX(G31:R31,1,MATCH(Parametres!$B$3,G$1:R$1,0))*IF(OR(F31="L",F31="S",F31="I"),-1,1)</f>
        <v>0</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2"/>
        <v>H01240</v>
      </c>
      <c r="AU31" s="599" t="str">
        <f t="shared" si="2"/>
        <v>NF ENT EQUIPMENT</v>
      </c>
      <c r="AV31" s="1030" t="str">
        <f>IFERROR(INDEX(V31:AG31,1,MATCH(Parametres!$B$3,V$1:AG$1,0)-1)*IF(OR(C31="L",C31="S",C31="I"),-1,1),"")</f>
        <v/>
      </c>
      <c r="AW31" s="1030">
        <f t="shared" si="3"/>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0"/>
        <v>NF VEH DE SERVITUDES</v>
      </c>
      <c r="AL32" s="1030" t="str">
        <f>IFERROR(INDEX(G32:R32,1,MATCH(Parametres!$B$3,G$1:R$1,0)-1)*IF(OR(F32="L",F32="S",F32="I"),-1,1),"")</f>
        <v/>
      </c>
      <c r="AM32" s="1030">
        <f t="shared" si="1"/>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2"/>
        <v>H01241</v>
      </c>
      <c r="AU32" s="599" t="str">
        <f t="shared" si="2"/>
        <v>NF VEH DE SERVITUDES</v>
      </c>
      <c r="AV32" s="1030" t="str">
        <f>IFERROR(INDEX(V32:AG32,1,MATCH(Parametres!$B$3,V$1:AG$1,0)-1)*IF(OR(C32="L",C32="S",C32="I"),-1,1),"")</f>
        <v/>
      </c>
      <c r="AW32" s="1030">
        <f t="shared" si="3"/>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0"/>
        <v>NF LOCATION EQUIPEMENT</v>
      </c>
      <c r="AL33" s="1030" t="str">
        <f>IFERROR(INDEX(G33:R33,1,MATCH(Parametres!$B$3,G$1:R$1,0)-1)*IF(OR(F33="L",F33="S",F33="I"),-1,1),"")</f>
        <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2"/>
        <v>H01243</v>
      </c>
      <c r="AU33" s="599" t="str">
        <f t="shared" si="2"/>
        <v>NF LOCATION EQUIPEMENT</v>
      </c>
      <c r="AV33" s="1030" t="str">
        <f>IFERROR(INDEX(V33:AG33,1,MATCH(Parametres!$B$3,V$1:AG$1,0)-1)*IF(OR(C33="L",C33="S",C33="I"),-1,1),"")</f>
        <v/>
      </c>
      <c r="AW33" s="1030">
        <f t="shared" si="3"/>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0"/>
        <v>NF TRAITEMENT DES DONNEES</v>
      </c>
      <c r="AL34" s="1030" t="str">
        <f>IFERROR(INDEX(G34:R34,1,MATCH(Parametres!$B$3,G$1:R$1,0)-1)*IF(OR(F34="L",F34="S",F34="I"),-1,1),"")</f>
        <v/>
      </c>
      <c r="AM34" s="1030">
        <f t="shared" si="1"/>
        <v>1698.72</v>
      </c>
      <c r="AN34" s="1030">
        <f>INDEX(G34:R34,1,MATCH(Parametres!$B$3,G$1:R$1,0))*IF(OR(F34="L",F34="S",F34="I"),-1,1)</f>
        <v>1698.72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2"/>
        <v>H01244</v>
      </c>
      <c r="AU34" s="599" t="str">
        <f t="shared" si="2"/>
        <v>NF TRAITEMENT DES DONNEES</v>
      </c>
      <c r="AV34" s="1030" t="str">
        <f>IFERROR(INDEX(V34:AG34,1,MATCH(Parametres!$B$3,V$1:AG$1,0)-1)*IF(OR(C34="L",C34="S",C34="I"),-1,1),"")</f>
        <v/>
      </c>
      <c r="AW34" s="1030">
        <f t="shared" si="3"/>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0"/>
        <v>NF FRAIS REPRES/REPAS</v>
      </c>
      <c r="AL35" s="1030" t="str">
        <f>IFERROR(INDEX(G35:R35,1,MATCH(Parametres!$B$3,G$1:R$1,0)-1)*IF(OR(F35="L",F35="S",F35="I"),-1,1),"")</f>
        <v/>
      </c>
      <c r="AM35" s="1030">
        <f t="shared" si="1"/>
        <v>2099.63</v>
      </c>
      <c r="AN35" s="1030">
        <f>INDEX(G35:R35,1,MATCH(Parametres!$B$3,G$1:R$1,0))*IF(OR(F35="L",F35="S",F35="I"),-1,1)</f>
        <v>2099.63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2"/>
        <v>H01245</v>
      </c>
      <c r="AU35" s="599" t="str">
        <f t="shared" si="2"/>
        <v>NF FRAIS REPRES/REPAS</v>
      </c>
      <c r="AV35" s="1030" t="str">
        <f>IFERROR(INDEX(V35:AG35,1,MATCH(Parametres!$B$3,V$1:AG$1,0)-1)*IF(OR(C35="L",C35="S",C35="I"),-1,1),"")</f>
        <v/>
      </c>
      <c r="AW35" s="1030">
        <f t="shared" si="3"/>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0"/>
        <v>NF DEPLACEMENT-REPRESENT.</v>
      </c>
      <c r="AL36" s="1030" t="str">
        <f>IFERROR(INDEX(G36:R36,1,MATCH(Parametres!$B$3,G$1:R$1,0)-1)*IF(OR(F36="L",F36="S",F36="I"),-1,1),"")</f>
        <v/>
      </c>
      <c r="AM36" s="1030">
        <f t="shared" si="1"/>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2"/>
        <v>H01246</v>
      </c>
      <c r="AU36" s="599" t="str">
        <f t="shared" si="2"/>
        <v>NF DEPLACEMENT-REPRESENT.</v>
      </c>
      <c r="AV36" s="1030" t="str">
        <f>IFERROR(INDEX(V36:AG36,1,MATCH(Parametres!$B$3,V$1:AG$1,0)-1)*IF(OR(C36="L",C36="S",C36="I"),-1,1),"")</f>
        <v/>
      </c>
      <c r="AW36" s="1030">
        <f t="shared" si="3"/>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0"/>
        <v>NF TELEPHONE-TELEGRAMMES</v>
      </c>
      <c r="AL37" s="1030" t="str">
        <f>IFERROR(INDEX(G37:R37,1,MATCH(Parametres!$B$3,G$1:R$1,0)-1)*IF(OR(F37="L",F37="S",F37="I"),-1,1),"")</f>
        <v/>
      </c>
      <c r="AM37" s="1030">
        <f t="shared" si="1"/>
        <v>56.04</v>
      </c>
      <c r="AN37" s="1030">
        <f>INDEX(G37:R37,1,MATCH(Parametres!$B$3,G$1:R$1,0))*IF(OR(F37="L",F37="S",F37="I"),-1,1)</f>
        <v>56.04</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2"/>
        <v>H01247</v>
      </c>
      <c r="AU37" s="599" t="str">
        <f t="shared" si="2"/>
        <v>NF TELEPHONE-TELEGRAMMES</v>
      </c>
      <c r="AV37" s="1030" t="str">
        <f>IFERROR(INDEX(V37:AG37,1,MATCH(Parametres!$B$3,V$1:AG$1,0)-1)*IF(OR(C37="L",C37="S",C37="I"),-1,1),"")</f>
        <v/>
      </c>
      <c r="AW37" s="1030">
        <f t="shared" si="3"/>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0"/>
        <v>NF FRAIS POSTAUX</v>
      </c>
      <c r="AL38" s="1030" t="str">
        <f>IFERROR(INDEX(G38:R38,1,MATCH(Parametres!$B$3,G$1:R$1,0)-1)*IF(OR(F38="L",F38="S",F38="I"),-1,1),"")</f>
        <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2"/>
        <v>H01248</v>
      </c>
      <c r="AU38" s="599" t="str">
        <f t="shared" si="2"/>
        <v>NF FRAIS POSTAUX</v>
      </c>
      <c r="AV38" s="1030" t="str">
        <f>IFERROR(INDEX(V38:AG38,1,MATCH(Parametres!$B$3,V$1:AG$1,0)-1)*IF(OR(C38="L",C38="S",C38="I"),-1,1),"")</f>
        <v/>
      </c>
      <c r="AW38" s="1030">
        <f t="shared" si="3"/>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0"/>
        <v>NF FRET &amp; MESSAGERIE</v>
      </c>
      <c r="AL39" s="1030" t="str">
        <f>IFERROR(INDEX(G39:R39,1,MATCH(Parametres!$B$3,G$1:R$1,0)-1)*IF(OR(F39="L",F39="S",F39="I"),-1,1),"")</f>
        <v/>
      </c>
      <c r="AM39" s="1030">
        <f t="shared" si="1"/>
        <v>62.93</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2"/>
        <v>H01249</v>
      </c>
      <c r="AU39" s="599" t="str">
        <f t="shared" si="2"/>
        <v>NF FRET &amp; MESSAGERIE</v>
      </c>
      <c r="AV39" s="1030" t="str">
        <f>IFERROR(INDEX(V39:AG39,1,MATCH(Parametres!$B$3,V$1:AG$1,0)-1)*IF(OR(C39="L",C39="S",C39="I"),-1,1),"")</f>
        <v/>
      </c>
      <c r="AW39" s="1030">
        <f t="shared" si="3"/>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0"/>
        <v>NF FRAIS DIVERS</v>
      </c>
      <c r="AL40" s="1030" t="str">
        <f>IFERROR(INDEX(G40:R40,1,MATCH(Parametres!$B$3,G$1:R$1,0)-1)*IF(OR(F40="L",F40="S",F40="I"),-1,1),"")</f>
        <v/>
      </c>
      <c r="AM40" s="1030">
        <f t="shared" si="1"/>
        <v>62.5</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2"/>
        <v>H01252</v>
      </c>
      <c r="AU40" s="599" t="str">
        <f t="shared" si="2"/>
        <v>NF FRAIS DIVERS</v>
      </c>
      <c r="AV40" s="1030" t="str">
        <f>IFERROR(INDEX(V40:AG40,1,MATCH(Parametres!$B$3,V$1:AG$1,0)-1)*IF(OR(C40="L",C40="S",C40="I"),-1,1),"")</f>
        <v/>
      </c>
      <c r="AW40" s="1030">
        <f t="shared" si="3"/>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0"/>
        <v>NF RESERVE DOMMAGE</v>
      </c>
      <c r="AL41" s="1030" t="str">
        <f>IFERROR(INDEX(G41:R41,1,MATCH(Parametres!$B$3,G$1:R$1,0)-1)*IF(OR(F41="L",F41="S",F41="I"),-1,1),"")</f>
        <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2"/>
        <v>H01253</v>
      </c>
      <c r="AU41" s="599" t="str">
        <f t="shared" si="2"/>
        <v>NF RESERVE DOMMAGE</v>
      </c>
      <c r="AV41" s="1030" t="str">
        <f>IFERROR(INDEX(V41:AG41,1,MATCH(Parametres!$B$3,V$1:AG$1,0)-1)*IF(OR(C41="L",C41="S",C41="I"),-1,1),"")</f>
        <v/>
      </c>
      <c r="AW41" s="1030">
        <f t="shared" si="3"/>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0"/>
        <v>NF LOYER INT HYPOTH.</v>
      </c>
      <c r="AL42" s="1030" t="str">
        <f>IFERROR(INDEX(G42:R42,1,MATCH(Parametres!$B$3,G$1:R$1,0)-1)*IF(OR(F42="L",F42="S",F42="I"),-1,1),"")</f>
        <v/>
      </c>
      <c r="AM42" s="1030">
        <f t="shared" si="1"/>
        <v>32500</v>
      </c>
      <c r="AN42" s="1030">
        <f>INDEX(G42:R42,1,MATCH(Parametres!$B$3,G$1:R$1,0))*IF(OR(F42="L",F42="S",F42="I"),-1,1)</f>
        <v>32500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2"/>
        <v>H01260</v>
      </c>
      <c r="AU42" s="599" t="str">
        <f t="shared" si="2"/>
        <v>NF LOYER INT HYPOTH.</v>
      </c>
      <c r="AV42" s="1030" t="str">
        <f>IFERROR(INDEX(V42:AG42,1,MATCH(Parametres!$B$3,V$1:AG$1,0)-1)*IF(OR(C42="L",C42="S",C42="I"),-1,1),"")</f>
        <v/>
      </c>
      <c r="AW42" s="1030">
        <f t="shared" si="3"/>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0"/>
        <v>NF AMORT AMELIOR  LOC</v>
      </c>
      <c r="AL43" s="1030" t="str">
        <f>IFERROR(INDEX(G43:R43,1,MATCH(Parametres!$B$3,G$1:R$1,0)-1)*IF(OR(F43="L",F43="S",F43="I"),-1,1),"")</f>
        <v/>
      </c>
      <c r="AM43" s="1030">
        <f t="shared" si="1"/>
        <v>148.16</v>
      </c>
      <c r="AN43" s="1030">
        <f>INDEX(G43:R43,1,MATCH(Parametres!$B$3,G$1:R$1,0))*IF(OR(F43="L",F43="S",F43="I"),-1,1)</f>
        <v>148.16</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2"/>
        <v>H01261</v>
      </c>
      <c r="AU43" s="599" t="str">
        <f t="shared" si="2"/>
        <v>NF AMORT AMELIOR  LOC</v>
      </c>
      <c r="AV43" s="1030" t="str">
        <f>IFERROR(INDEX(V43:AG43,1,MATCH(Parametres!$B$3,V$1:AG$1,0)-1)*IF(OR(C43="L",C43="S",C43="I"),-1,1),"")</f>
        <v/>
      </c>
      <c r="AW43" s="1030">
        <f t="shared" si="3"/>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0"/>
        <v>NF ENTRERIEN PROPRIÉTÉ</v>
      </c>
      <c r="AL44" s="1030" t="str">
        <f>IFERROR(INDEX(G44:R44,1,MATCH(Parametres!$B$3,G$1:R$1,0)-1)*IF(OR(F44="L",F44="S",F44="I"),-1,1),"")</f>
        <v/>
      </c>
      <c r="AM44" s="1030">
        <f t="shared" si="1"/>
        <v>1759.27</v>
      </c>
      <c r="AN44" s="1030">
        <f>INDEX(G44:R44,1,MATCH(Parametres!$B$3,G$1:R$1,0))*IF(OR(F44="L",F44="S",F44="I"),-1,1)</f>
        <v>1759.27</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2"/>
        <v>H01262</v>
      </c>
      <c r="AU44" s="599" t="str">
        <f t="shared" si="2"/>
        <v>NF ENTRERIEN PROPRIÉTÉ</v>
      </c>
      <c r="AV44" s="1030" t="str">
        <f>IFERROR(INDEX(V44:AG44,1,MATCH(Parametres!$B$3,V$1:AG$1,0)-1)*IF(OR(C44="L",C44="S",C44="I"),-1,1),"")</f>
        <v/>
      </c>
      <c r="AW44" s="1030">
        <f t="shared" si="3"/>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0"/>
        <v>NF TAXES PROPRIÉTÉ</v>
      </c>
      <c r="AL45" s="1030" t="str">
        <f>IFERROR(INDEX(G45:R45,1,MATCH(Parametres!$B$3,G$1:R$1,0)-1)*IF(OR(F45="L",F45="S",F45="I"),-1,1),"")</f>
        <v/>
      </c>
      <c r="AM45" s="1030">
        <f t="shared" si="1"/>
        <v>13676.84</v>
      </c>
      <c r="AN45" s="1030">
        <f>INDEX(G45:R45,1,MATCH(Parametres!$B$3,G$1:R$1,0))*IF(OR(F45="L",F45="S",F45="I"),-1,1)</f>
        <v>13676.84</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2"/>
        <v>H01263</v>
      </c>
      <c r="AU45" s="599" t="str">
        <f t="shared" si="2"/>
        <v>NF TAXES PROPRIÉTÉ</v>
      </c>
      <c r="AV45" s="1030" t="str">
        <f>IFERROR(INDEX(V45:AG45,1,MATCH(Parametres!$B$3,V$1:AG$1,0)-1)*IF(OR(C45="L",C45="S",C45="I"),-1,1),"")</f>
        <v/>
      </c>
      <c r="AW45" s="1030">
        <f t="shared" si="3"/>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0"/>
        <v>NF ASSURANCE BATIMENT</v>
      </c>
      <c r="AL46" s="1030" t="str">
        <f>IFERROR(INDEX(G46:R46,1,MATCH(Parametres!$B$3,G$1:R$1,0)-1)*IF(OR(F46="L",F46="S",F46="I"),-1,1),"")</f>
        <v/>
      </c>
      <c r="AM46" s="1030">
        <f t="shared" si="1"/>
        <v>1184.5999999999999</v>
      </c>
      <c r="AN46" s="1030">
        <f>INDEX(G46:R46,1,MATCH(Parametres!$B$3,G$1:R$1,0))*IF(OR(F46="L",F46="S",F46="I"),-1,1)</f>
        <v>1184.5999999999999</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2"/>
        <v>H01264</v>
      </c>
      <c r="AU46" s="599" t="str">
        <f t="shared" si="2"/>
        <v>NF ASSURANCE BATIMENT</v>
      </c>
      <c r="AV46" s="1030" t="str">
        <f>IFERROR(INDEX(V46:AG46,1,MATCH(Parametres!$B$3,V$1:AG$1,0)-1)*IF(OR(C46="L",C46="S",C46="I"),-1,1),"")</f>
        <v/>
      </c>
      <c r="AW46" s="1030">
        <f t="shared" si="3"/>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0"/>
        <v>NF AMORT BATIMENT</v>
      </c>
      <c r="AL47" s="1030" t="str">
        <f>IFERROR(INDEX(G47:R47,1,MATCH(Parametres!$B$3,G$1:R$1,0)-1)*IF(OR(F47="L",F47="S",F47="I"),-1,1),"")</f>
        <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2"/>
        <v>H01265</v>
      </c>
      <c r="AU47" s="599" t="str">
        <f t="shared" si="2"/>
        <v>NF AMORT BATIMENT</v>
      </c>
      <c r="AV47" s="1030" t="str">
        <f>IFERROR(INDEX(V47:AG47,1,MATCH(Parametres!$B$3,V$1:AG$1,0)-1)*IF(OR(C47="L",C47="S",C47="I"),-1,1),"")</f>
        <v/>
      </c>
      <c r="AW47" s="1030">
        <f t="shared" si="3"/>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0"/>
        <v>NF TAXES AFFAIRES &amp;AUTRES</v>
      </c>
      <c r="AL48" s="1030" t="str">
        <f>IFERROR(INDEX(G48:R48,1,MATCH(Parametres!$B$3,G$1:R$1,0)-1)*IF(OR(F48="L",F48="S",F48="I"),-1,1),"")</f>
        <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2"/>
        <v>H01268</v>
      </c>
      <c r="AU48" s="599" t="str">
        <f t="shared" si="2"/>
        <v>NF TAXES AFFAIRES &amp;AUTRES</v>
      </c>
      <c r="AV48" s="1030" t="str">
        <f>IFERROR(INDEX(V48:AG48,1,MATCH(Parametres!$B$3,V$1:AG$1,0)-1)*IF(OR(C48="L",C48="S",C48="I"),-1,1),"")</f>
        <v/>
      </c>
      <c r="AW48" s="1030">
        <f t="shared" si="3"/>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0"/>
        <v>NF AMORT EQUIP &amp; INSTALL.</v>
      </c>
      <c r="AL49" s="1030" t="str">
        <f>IFERROR(INDEX(G49:R49,1,MATCH(Parametres!$B$3,G$1:R$1,0)-1)*IF(OR(F49="L",F49="S",F49="I"),-1,1),"")</f>
        <v/>
      </c>
      <c r="AM49" s="1030">
        <f t="shared" si="1"/>
        <v>876.71</v>
      </c>
      <c r="AN49" s="1030">
        <f>INDEX(G49:R49,1,MATCH(Parametres!$B$3,G$1:R$1,0))*IF(OR(F49="L",F49="S",F49="I"),-1,1)</f>
        <v>876.71</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2"/>
        <v>H01269</v>
      </c>
      <c r="AU49" s="599" t="str">
        <f t="shared" si="2"/>
        <v>NF AMORT EQUIP &amp; INSTALL.</v>
      </c>
      <c r="AV49" s="1030" t="str">
        <f>IFERROR(INDEX(V49:AG49,1,MATCH(Parametres!$B$3,V$1:AG$1,0)-1)*IF(OR(C49="L",C49="S",C49="I"),-1,1),"")</f>
        <v/>
      </c>
      <c r="AW49" s="1030">
        <f t="shared" si="3"/>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0"/>
        <v>NF ASSURANCE GENERALE</v>
      </c>
      <c r="AL50" s="1030" t="str">
        <f>IFERROR(INDEX(G50:R50,1,MATCH(Parametres!$B$3,G$1:R$1,0)-1)*IF(OR(F50="L",F50="S",F50="I"),-1,1),"")</f>
        <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2"/>
        <v>H01270</v>
      </c>
      <c r="AU50" s="599" t="str">
        <f t="shared" si="2"/>
        <v>NF ASSURANCE GENERALE</v>
      </c>
      <c r="AV50" s="1030" t="str">
        <f>IFERROR(INDEX(V50:AG50,1,MATCH(Parametres!$B$3,V$1:AG$1,0)-1)*IF(OR(C50="L",C50="S",C50="I"),-1,1),"")</f>
        <v/>
      </c>
      <c r="AW50" s="1030">
        <f t="shared" si="3"/>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0"/>
        <v>NF EAU/ELECT./CHAUFFAGE</v>
      </c>
      <c r="AL51" s="1030" t="str">
        <f>IFERROR(INDEX(G51:R51,1,MATCH(Parametres!$B$3,G$1:R$1,0)-1)*IF(OR(F51="L",F51="S",F51="I"),-1,1),"")</f>
        <v/>
      </c>
      <c r="AM51" s="1030">
        <f t="shared" si="1"/>
        <v>1906.36</v>
      </c>
      <c r="AN51" s="1030">
        <f>INDEX(G51:R51,1,MATCH(Parametres!$B$3,G$1:R$1,0))*IF(OR(F51="L",F51="S",F51="I"),-1,1)</f>
        <v>1906.36</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2"/>
        <v>H01274</v>
      </c>
      <c r="AU51" s="599" t="str">
        <f t="shared" si="2"/>
        <v>NF EAU/ELECT./CHAUFFAGE</v>
      </c>
      <c r="AV51" s="1030" t="str">
        <f>IFERROR(INDEX(V51:AG51,1,MATCH(Parametres!$B$3,V$1:AG$1,0)-1)*IF(OR(C51="L",C51="S",C51="I"),-1,1),"")</f>
        <v/>
      </c>
      <c r="AW51" s="1030">
        <f t="shared" si="3"/>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0"/>
        <v>NF VERIFICATION COMPTABLE</v>
      </c>
      <c r="AL52" s="1030" t="str">
        <f>IFERROR(INDEX(G52:R52,1,MATCH(Parametres!$B$3,G$1:R$1,0)-1)*IF(OR(F52="L",F52="S",F52="I"),-1,1),"")</f>
        <v/>
      </c>
      <c r="AM52" s="1030">
        <f t="shared" si="1"/>
        <v>1000</v>
      </c>
      <c r="AN52" s="1030">
        <f>INDEX(G52:R52,1,MATCH(Parametres!$B$3,G$1:R$1,0))*IF(OR(F52="L",F52="S",F52="I"),-1,1)</f>
        <v>1000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2"/>
        <v>H01276</v>
      </c>
      <c r="AU52" s="599" t="str">
        <f t="shared" si="2"/>
        <v>NF VERIFICATION COMPTABLE</v>
      </c>
      <c r="AV52" s="1030" t="str">
        <f>IFERROR(INDEX(V52:AG52,1,MATCH(Parametres!$B$3,V$1:AG$1,0)-1)*IF(OR(C52="L",C52="S",C52="I"),-1,1),"")</f>
        <v/>
      </c>
      <c r="AW52" s="1030">
        <f t="shared" si="3"/>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0"/>
        <v>NF COTISATIONS SOUSCRIP.</v>
      </c>
      <c r="AL53" s="1030" t="str">
        <f>IFERROR(INDEX(G53:R53,1,MATCH(Parametres!$B$3,G$1:R$1,0)-1)*IF(OR(F53="L",F53="S",F53="I"),-1,1),"")</f>
        <v/>
      </c>
      <c r="AM53" s="1030">
        <f t="shared" si="1"/>
        <v>486.86</v>
      </c>
      <c r="AN53" s="1030">
        <f>INDEX(G53:R53,1,MATCH(Parametres!$B$3,G$1:R$1,0))*IF(OR(F53="L",F53="S",F53="I"),-1,1)</f>
        <v>486.86</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2"/>
        <v>H01277</v>
      </c>
      <c r="AU53" s="599" t="str">
        <f t="shared" si="2"/>
        <v>NF COTISATIONS SOUSCRIP.</v>
      </c>
      <c r="AV53" s="1030" t="str">
        <f>IFERROR(INDEX(V53:AG53,1,MATCH(Parametres!$B$3,V$1:AG$1,0)-1)*IF(OR(C53="L",C53="S",C53="I"),-1,1),"")</f>
        <v/>
      </c>
      <c r="AW53" s="1030">
        <f t="shared" si="3"/>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0"/>
        <v>NF TAXES EN CAPITAL</v>
      </c>
      <c r="AL54" s="1030" t="str">
        <f>IFERROR(INDEX(G54:R54,1,MATCH(Parametres!$B$3,G$1:R$1,0)-1)*IF(OR(F54="L",F54="S",F54="I"),-1,1),"")</f>
        <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2"/>
        <v>H01278</v>
      </c>
      <c r="AU54" s="599" t="str">
        <f t="shared" si="2"/>
        <v>NF TAXES EN CAPITAL</v>
      </c>
      <c r="AV54" s="1030" t="str">
        <f>IFERROR(INDEX(V54:AG54,1,MATCH(Parametres!$B$3,V$1:AG$1,0)-1)*IF(OR(C54="L",C54="S",C54="I"),-1,1),"")</f>
        <v/>
      </c>
      <c r="AW54" s="1030">
        <f t="shared" si="3"/>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0"/>
        <v>NF DONATIONS</v>
      </c>
      <c r="AL55" s="1030" t="str">
        <f>IFERROR(INDEX(G55:R55,1,MATCH(Parametres!$B$3,G$1:R$1,0)-1)*IF(OR(F55="L",F55="S",F55="I"),-1,1),"")</f>
        <v/>
      </c>
      <c r="AM55" s="1030">
        <f t="shared" si="1"/>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2"/>
        <v>H01279</v>
      </c>
      <c r="AU55" s="599" t="str">
        <f t="shared" si="2"/>
        <v>NF DONATIONS</v>
      </c>
      <c r="AV55" s="1030" t="str">
        <f>IFERROR(INDEX(V55:AG55,1,MATCH(Parametres!$B$3,V$1:AG$1,0)-1)*IF(OR(C55="L",C55="S",C55="I"),-1,1),"")</f>
        <v/>
      </c>
      <c r="AW55" s="1030">
        <f t="shared" si="3"/>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0"/>
        <v>NF IMM &amp; PERMIS /CIE SEUL</v>
      </c>
      <c r="AL56" s="1030" t="str">
        <f>IFERROR(INDEX(G56:R56,1,MATCH(Parametres!$B$3,G$1:R$1,0)-1)*IF(OR(F56="L",F56="S",F56="I"),-1,1),"")</f>
        <v/>
      </c>
      <c r="AM56" s="1030">
        <f t="shared" si="1"/>
        <v>803.18</v>
      </c>
      <c r="AN56" s="1030">
        <f>INDEX(G56:R56,1,MATCH(Parametres!$B$3,G$1:R$1,0))*IF(OR(F56="L",F56="S",F56="I"),-1,1)</f>
        <v>803.18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2"/>
        <v>H01280</v>
      </c>
      <c r="AU56" s="599" t="str">
        <f t="shared" si="2"/>
        <v>NF IMM &amp; PERMIS /CIE SEUL</v>
      </c>
      <c r="AV56" s="1030" t="str">
        <f>IFERROR(INDEX(V56:AG56,1,MATCH(Parametres!$B$3,V$1:AG$1,0)-1)*IF(OR(C56="L",C56="S",C56="I"),-1,1),"")</f>
        <v/>
      </c>
      <c r="AW56" s="1030">
        <f t="shared" si="3"/>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0"/>
        <v>OCC SALAIRES-VENTE DIR</v>
      </c>
      <c r="AL57" s="1030" t="str">
        <f>IFERROR(INDEX(G57:R57,1,MATCH(Parametres!$B$3,G$1:R$1,0)-1)*IF(OR(F57="L",F57="S",F57="I"),-1,1),"")</f>
        <v/>
      </c>
      <c r="AM57" s="1030">
        <f t="shared" si="1"/>
        <v>14487.16</v>
      </c>
      <c r="AN57" s="1030">
        <f>INDEX(G57:R57,1,MATCH(Parametres!$B$3,G$1:R$1,0))*IF(OR(F57="L",F57="S",F57="I"),-1,1)</f>
        <v>14487.16</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2"/>
        <v>H01301</v>
      </c>
      <c r="AU57" s="599" t="str">
        <f t="shared" si="2"/>
        <v>OCC SALAIRES-VENTE DIR</v>
      </c>
      <c r="AV57" s="1030" t="str">
        <f>IFERROR(INDEX(V57:AG57,1,MATCH(Parametres!$B$3,V$1:AG$1,0)-1)*IF(OR(C57="L",C57="S",C57="I"),-1,1),"")</f>
        <v/>
      </c>
      <c r="AW57" s="1030">
        <f t="shared" si="3"/>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0"/>
        <v>OCC SALAIRES COMM-VENDEUR</v>
      </c>
      <c r="AL58" s="1030" t="str">
        <f>IFERROR(INDEX(G58:R58,1,MATCH(Parametres!$B$3,G$1:R$1,0)-1)*IF(OR(F58="L",F58="S",F58="I"),-1,1),"")</f>
        <v/>
      </c>
      <c r="AM58" s="1030">
        <f t="shared" si="1"/>
        <v>8743.67</v>
      </c>
      <c r="AN58" s="1030">
        <f>INDEX(G58:R58,1,MATCH(Parametres!$B$3,G$1:R$1,0))*IF(OR(F58="L",F58="S",F58="I"),-1,1)</f>
        <v>8743.67</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2"/>
        <v>H01302</v>
      </c>
      <c r="AU58" s="599" t="str">
        <f t="shared" si="2"/>
        <v>OCC SALAIRES COMM-VENDEUR</v>
      </c>
      <c r="AV58" s="1030" t="str">
        <f>IFERROR(INDEX(V58:AG58,1,MATCH(Parametres!$B$3,V$1:AG$1,0)-1)*IF(OR(C58="L",C58="S",C58="I"),-1,1),"")</f>
        <v/>
      </c>
      <c r="AW58" s="1030">
        <f t="shared" si="3"/>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0"/>
        <v>OCC SALAIRES &amp; COMM - F&amp;I</v>
      </c>
      <c r="AL59" s="1030" t="str">
        <f>IFERROR(INDEX(G59:R59,1,MATCH(Parametres!$B$3,G$1:R$1,0)-1)*IF(OR(F59="L",F59="S",F59="I"),-1,1),"")</f>
        <v/>
      </c>
      <c r="AM59" s="1030">
        <f t="shared" si="1"/>
        <v>4911.32</v>
      </c>
      <c r="AN59" s="1030">
        <f>INDEX(G59:R59,1,MATCH(Parametres!$B$3,G$1:R$1,0))*IF(OR(F59="L",F59="S",F59="I"),-1,1)</f>
        <v>4911.32</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2"/>
        <v>H01303</v>
      </c>
      <c r="AU59" s="599" t="str">
        <f t="shared" si="2"/>
        <v>OCC SALAIRES &amp; COMM - F&amp;I</v>
      </c>
      <c r="AV59" s="1030" t="str">
        <f>IFERROR(INDEX(V59:AG59,1,MATCH(Parametres!$B$3,V$1:AG$1,0)-1)*IF(OR(C59="L",C59="S",C59="I"),-1,1),"")</f>
        <v/>
      </c>
      <c r="AW59" s="1030">
        <f t="shared" si="3"/>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0"/>
        <v>OCC LIVRAISON</v>
      </c>
      <c r="AL60" s="1030" t="str">
        <f>IFERROR(INDEX(G60:R60,1,MATCH(Parametres!$B$3,G$1:R$1,0)-1)*IF(OR(F60="L",F60="S",F60="I"),-1,1),"")</f>
        <v/>
      </c>
      <c r="AM60" s="1030">
        <f t="shared" si="1"/>
        <v>0</v>
      </c>
      <c r="AN60" s="1030">
        <f>INDEX(G60:R60,1,MATCH(Parametres!$B$3,G$1:R$1,0))*IF(OR(F60="L",F60="S",F60="I"),-1,1)</f>
        <v>0</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2"/>
        <v>H01304</v>
      </c>
      <c r="AU60" s="599" t="str">
        <f t="shared" si="2"/>
        <v>OCC LIVRAISON</v>
      </c>
      <c r="AV60" s="1030" t="str">
        <f>IFERROR(INDEX(V60:AG60,1,MATCH(Parametres!$B$3,V$1:AG$1,0)-1)*IF(OR(C60="L",C60="S",C60="I"),-1,1),"")</f>
        <v/>
      </c>
      <c r="AW60" s="1030">
        <f t="shared" si="3"/>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0"/>
        <v>OCC PRATIQUE DE GARANTIE</v>
      </c>
      <c r="AL61" s="1030" t="str">
        <f>IFERROR(INDEX(G61:R61,1,MATCH(Parametres!$B$3,G$1:R$1,0)-1)*IF(OR(F61="L",F61="S",F61="I"),-1,1),"")</f>
        <v/>
      </c>
      <c r="AM61" s="1030">
        <f t="shared" si="1"/>
        <v>273.86</v>
      </c>
      <c r="AN61" s="1030">
        <f>INDEX(G61:R61,1,MATCH(Parametres!$B$3,G$1:R$1,0))*IF(OR(F61="L",F61="S",F61="I"),-1,1)</f>
        <v>273.86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2"/>
        <v>H01305</v>
      </c>
      <c r="AU61" s="599" t="str">
        <f t="shared" si="2"/>
        <v>OCC PRATIQUE DE GARANTIE</v>
      </c>
      <c r="AV61" s="1030" t="str">
        <f>IFERROR(INDEX(V61:AG61,1,MATCH(Parametres!$B$3,V$1:AG$1,0)-1)*IF(OR(C61="L",C61="S",C61="I"),-1,1),"")</f>
        <v/>
      </c>
      <c r="AW61" s="1030">
        <f t="shared" si="3"/>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0"/>
        <v>OCC TOT PUB &amp; PROMO VENTE</v>
      </c>
      <c r="AL62" s="1030" t="str">
        <f>IFERROR(INDEX(G62:R62,1,MATCH(Parametres!$B$3,G$1:R$1,0)-1)*IF(OR(F62="L",F62="S",F62="I"),-1,1),"")</f>
        <v/>
      </c>
      <c r="AM62" s="1030">
        <f t="shared" si="1"/>
        <v>392</v>
      </c>
      <c r="AN62" s="1030">
        <f>INDEX(G62:R62,1,MATCH(Parametres!$B$3,G$1:R$1,0))*IF(OR(F62="L",F62="S",F62="I"),-1,1)</f>
        <v>392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2"/>
        <v>H01306</v>
      </c>
      <c r="AU62" s="599" t="str">
        <f t="shared" si="2"/>
        <v>OCC TOT PUB &amp; PROMO VENTE</v>
      </c>
      <c r="AV62" s="1030" t="str">
        <f>IFERROR(INDEX(V62:AG62,1,MATCH(Parametres!$B$3,V$1:AG$1,0)-1)*IF(OR(C62="L",C62="S",C62="I"),-1,1),"")</f>
        <v/>
      </c>
      <c r="AW62" s="1030">
        <f t="shared" si="3"/>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0"/>
        <v>OCC COOP RABAIS HD PUB.</v>
      </c>
      <c r="AL63" s="1030" t="str">
        <f>IFERROR(INDEX(G63:R63,1,MATCH(Parametres!$B$3,G$1:R$1,0)-1)*IF(OR(F63="L",F63="S",F63="I"),-1,1),"")</f>
        <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2"/>
        <v>H01307</v>
      </c>
      <c r="AU63" s="599" t="str">
        <f t="shared" si="2"/>
        <v>OCC COOP RABAIS HD PUB.</v>
      </c>
      <c r="AV63" s="1030" t="str">
        <f>IFERROR(INDEX(V63:AG63,1,MATCH(Parametres!$B$3,V$1:AG$1,0)-1)*IF(OR(C63="L",C63="S",C63="I"),-1,1),"")</f>
        <v/>
      </c>
      <c r="AW63" s="1030">
        <f t="shared" si="3"/>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0"/>
        <v>OCC DEMONSTRATEURS</v>
      </c>
      <c r="AL64" s="1030" t="str">
        <f>IFERROR(INDEX(G64:R64,1,MATCH(Parametres!$B$3,G$1:R$1,0)-1)*IF(OR(F64="L",F64="S",F64="I"),-1,1),"")</f>
        <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2"/>
        <v>H01308</v>
      </c>
      <c r="AU64" s="599" t="str">
        <f t="shared" si="2"/>
        <v>OCC DEMONSTRATEURS</v>
      </c>
      <c r="AV64" s="1030" t="str">
        <f>IFERROR(INDEX(V64:AG64,1,MATCH(Parametres!$B$3,V$1:AG$1,0)-1)*IF(OR(C64="L",C64="S",C64="I"),-1,1),"")</f>
        <v/>
      </c>
      <c r="AW64" s="1030">
        <f t="shared" si="3"/>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0"/>
        <v>OCC ENT INVENTAIRE</v>
      </c>
      <c r="AL65" s="1030" t="str">
        <f>IFERROR(INDEX(G65:R65,1,MATCH(Parametres!$B$3,G$1:R$1,0)-1)*IF(OR(F65="L",F65="S",F65="I"),-1,1),"")</f>
        <v/>
      </c>
      <c r="AM65" s="1030">
        <f t="shared" si="1"/>
        <v>108.9</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2"/>
        <v>H01309</v>
      </c>
      <c r="AU65" s="599" t="str">
        <f t="shared" si="2"/>
        <v>OCC ENT INVENTAIRE</v>
      </c>
      <c r="AV65" s="1030" t="str">
        <f>IFERROR(INDEX(V65:AG65,1,MATCH(Parametres!$B$3,V$1:AG$1,0)-1)*IF(OR(C65="L",C65="S",C65="I"),-1,1),"")</f>
        <v/>
      </c>
      <c r="AW65" s="1030">
        <f t="shared" si="3"/>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0"/>
        <v>OCC FRAIS FINANCEMENT</v>
      </c>
      <c r="AL66" s="1030" t="str">
        <f>IFERROR(INDEX(G66:R66,1,MATCH(Parametres!$B$3,G$1:R$1,0)-1)*IF(OR(F66="L",F66="S",F66="I"),-1,1),"")</f>
        <v/>
      </c>
      <c r="AM66" s="1030">
        <f t="shared" si="1"/>
        <v>0</v>
      </c>
      <c r="AN66" s="1030">
        <f>INDEX(G66:R66,1,MATCH(Parametres!$B$3,G$1:R$1,0))*IF(OR(F66="L",F66="S",F66="I"),-1,1)</f>
        <v>0</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2"/>
        <v>H01310</v>
      </c>
      <c r="AU66" s="599" t="str">
        <f t="shared" si="2"/>
        <v>OCC FRAIS FINANCEMENT</v>
      </c>
      <c r="AV66" s="1030" t="str">
        <f>IFERROR(INDEX(V66:AG66,1,MATCH(Parametres!$B$3,V$1:AG$1,0)-1)*IF(OR(C66="L",C66="S",C66="I"),-1,1),"")</f>
        <v/>
      </c>
      <c r="AW66" s="1030">
        <f t="shared" si="3"/>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0"/>
        <v>OCC FRAIS DE FINANCE</v>
      </c>
      <c r="AL67" s="1030" t="str">
        <f>IFERROR(INDEX(G67:R67,1,MATCH(Parametres!$B$3,G$1:R$1,0)-1)*IF(OR(F67="L",F67="S",F67="I"),-1,1),"")</f>
        <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2"/>
        <v>H01312</v>
      </c>
      <c r="AU67" s="599" t="str">
        <f t="shared" si="2"/>
        <v>OCC FRAIS DE FINANCE</v>
      </c>
      <c r="AV67" s="1030" t="str">
        <f>IFERROR(INDEX(V67:AG67,1,MATCH(Parametres!$B$3,V$1:AG$1,0)-1)*IF(OR(C67="L",C67="S",C67="I"),-1,1),"")</f>
        <v/>
      </c>
      <c r="AW67" s="1030">
        <f t="shared" si="3"/>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K131" si="4">C68</f>
        <v>H01321</v>
      </c>
      <c r="AK68" s="1030" t="str">
        <f t="shared" si="4"/>
        <v>OCC SALAIRES-AUTRES</v>
      </c>
      <c r="AL68" s="1030" t="str">
        <f>IFERROR(INDEX(G68:R68,1,MATCH(Parametres!$B$3,G$1:R$1,0)-1)*IF(OR(F68="L",F68="S",F68="I"),-1,1),"")</f>
        <v/>
      </c>
      <c r="AM68" s="1030">
        <f t="shared" ref="AM68:AM131" si="5">AN68-N(AL68)</f>
        <v>11149.9</v>
      </c>
      <c r="AN68" s="1030">
        <f>INDEX(G68:R68,1,MATCH(Parametres!$B$3,G$1:R$1,0))*IF(OR(F68="L",F68="S",F68="I"),-1,1)</f>
        <v>11149.9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U131" si="6">C68</f>
        <v>H01321</v>
      </c>
      <c r="AU68" s="599" t="str">
        <f t="shared" si="6"/>
        <v>OCC SALAIRES-AUTRES</v>
      </c>
      <c r="AV68" s="1030" t="str">
        <f>IFERROR(INDEX(V68:AG68,1,MATCH(Parametres!$B$3,V$1:AG$1,0)-1)*IF(OR(C68="L",C68="S",C68="I"),-1,1),"")</f>
        <v/>
      </c>
      <c r="AW68" s="1030">
        <f t="shared" ref="AW68:AW131" si="7">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4"/>
        <v>H01323</v>
      </c>
      <c r="AK69" s="1030" t="str">
        <f t="shared" si="4"/>
        <v>OCC ABS. &amp; CONGES PAYES</v>
      </c>
      <c r="AL69" s="1030" t="str">
        <f>IFERROR(INDEX(G69:R69,1,MATCH(Parametres!$B$3,G$1:R$1,0)-1)*IF(OR(F69="L",F69="S",F69="I"),-1,1),"")</f>
        <v/>
      </c>
      <c r="AM69" s="1030">
        <f t="shared" si="5"/>
        <v>5068.7299999999996</v>
      </c>
      <c r="AN69" s="1030">
        <f>INDEX(G69:R69,1,MATCH(Parametres!$B$3,G$1:R$1,0))*IF(OR(F69="L",F69="S",F69="I"),-1,1)</f>
        <v>5068.7299999999996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6"/>
        <v>H01323</v>
      </c>
      <c r="AU69" s="599" t="str">
        <f t="shared" si="6"/>
        <v>OCC ABS. &amp; CONGES PAYES</v>
      </c>
      <c r="AV69" s="1030" t="str">
        <f>IFERROR(INDEX(V69:AG69,1,MATCH(Parametres!$B$3,V$1:AG$1,0)-1)*IF(OR(C69="L",C69="S",C69="I"),-1,1),"")</f>
        <v/>
      </c>
      <c r="AW69" s="1030">
        <f t="shared" si="7"/>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4"/>
        <v>H01324</v>
      </c>
      <c r="AK70" s="1030" t="str">
        <f t="shared" si="4"/>
        <v>OCC CSST</v>
      </c>
      <c r="AL70" s="1030" t="str">
        <f>IFERROR(INDEX(G70:R70,1,MATCH(Parametres!$B$3,G$1:R$1,0)-1)*IF(OR(F70="L",F70="S",F70="I"),-1,1),"")</f>
        <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6"/>
        <v>H01324</v>
      </c>
      <c r="AU70" s="599" t="str">
        <f t="shared" si="6"/>
        <v>OCC CSST</v>
      </c>
      <c r="AV70" s="1030" t="str">
        <f>IFERROR(INDEX(V70:AG70,1,MATCH(Parametres!$B$3,V$1:AG$1,0)-1)*IF(OR(C70="L",C70="S",C70="I"),-1,1),"")</f>
        <v/>
      </c>
      <c r="AW70" s="1030">
        <f t="shared" si="7"/>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4"/>
        <v>H01325</v>
      </c>
      <c r="AK71" s="1030" t="str">
        <f t="shared" si="4"/>
        <v>OCC ASSURANCE CHOMAGE</v>
      </c>
      <c r="AL71" s="1030" t="str">
        <f>IFERROR(INDEX(G71:R71,1,MATCH(Parametres!$B$3,G$1:R$1,0)-1)*IF(OR(F71="L",F71="S",F71="I"),-1,1),"")</f>
        <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6"/>
        <v>H01325</v>
      </c>
      <c r="AU71" s="599" t="str">
        <f t="shared" si="6"/>
        <v>OCC ASSURANCE CHOMAGE</v>
      </c>
      <c r="AV71" s="1030" t="str">
        <f>IFERROR(INDEX(V71:AG71,1,MATCH(Parametres!$B$3,V$1:AG$1,0)-1)*IF(OR(C71="L",C71="S",C71="I"),-1,1),"")</f>
        <v/>
      </c>
      <c r="AW71" s="1030">
        <f t="shared" si="7"/>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4"/>
        <v>H01326</v>
      </c>
      <c r="AK72" s="1030" t="str">
        <f t="shared" si="4"/>
        <v>OCC ASSURANCE GROUPE</v>
      </c>
      <c r="AL72" s="1030" t="str">
        <f>IFERROR(INDEX(G72:R72,1,MATCH(Parametres!$B$3,G$1:R$1,0)-1)*IF(OR(F72="L",F72="S",F72="I"),-1,1),"")</f>
        <v/>
      </c>
      <c r="AM72" s="1030">
        <f t="shared" si="5"/>
        <v>391.51</v>
      </c>
      <c r="AN72" s="1030">
        <f>INDEX(G72:R72,1,MATCH(Parametres!$B$3,G$1:R$1,0))*IF(OR(F72="L",F72="S",F72="I"),-1,1)</f>
        <v>391.51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6"/>
        <v>H01326</v>
      </c>
      <c r="AU72" s="599" t="str">
        <f t="shared" si="6"/>
        <v>OCC ASSURANCE GROUPE</v>
      </c>
      <c r="AV72" s="1030" t="str">
        <f>IFERROR(INDEX(V72:AG72,1,MATCH(Parametres!$B$3,V$1:AG$1,0)-1)*IF(OR(C72="L",C72="S",C72="I"),-1,1),"")</f>
        <v/>
      </c>
      <c r="AW72" s="1030">
        <f t="shared" si="7"/>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4"/>
        <v>H01327</v>
      </c>
      <c r="AK73" s="1030" t="str">
        <f t="shared" si="4"/>
        <v>OCC AUTRES AV. SOCIAUX</v>
      </c>
      <c r="AL73" s="1030" t="str">
        <f>IFERROR(INDEX(G73:R73,1,MATCH(Parametres!$B$3,G$1:R$1,0)-1)*IF(OR(F73="L",F73="S",F73="I"),-1,1),"")</f>
        <v/>
      </c>
      <c r="AM73" s="1030">
        <f t="shared" si="5"/>
        <v>5849.9</v>
      </c>
      <c r="AN73" s="1030">
        <f>INDEX(G73:R73,1,MATCH(Parametres!$B$3,G$1:R$1,0))*IF(OR(F73="L",F73="S",F73="I"),-1,1)</f>
        <v>5849.9</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6"/>
        <v>H01327</v>
      </c>
      <c r="AU73" s="599" t="str">
        <f t="shared" si="6"/>
        <v>OCC AUTRES AV. SOCIAUX</v>
      </c>
      <c r="AV73" s="1030" t="str">
        <f>IFERROR(INDEX(V73:AG73,1,MATCH(Parametres!$B$3,V$1:AG$1,0)-1)*IF(OR(C73="L",C73="S",C73="I"),-1,1),"")</f>
        <v/>
      </c>
      <c r="AW73" s="1030">
        <f t="shared" si="7"/>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4"/>
        <v>H01328</v>
      </c>
      <c r="AK74" s="1030" t="str">
        <f t="shared" si="4"/>
        <v>OCC FORMATION</v>
      </c>
      <c r="AL74" s="1030" t="str">
        <f>IFERROR(INDEX(G74:R74,1,MATCH(Parametres!$B$3,G$1:R$1,0)-1)*IF(OR(F74="L",F74="S",F74="I"),-1,1),"")</f>
        <v/>
      </c>
      <c r="AM74" s="1030">
        <f t="shared" si="5"/>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6"/>
        <v>H01328</v>
      </c>
      <c r="AU74" s="599" t="str">
        <f t="shared" si="6"/>
        <v>OCC FORMATION</v>
      </c>
      <c r="AV74" s="1030" t="str">
        <f>IFERROR(INDEX(V74:AG74,1,MATCH(Parametres!$B$3,V$1:AG$1,0)-1)*IF(OR(C74="L",C74="S",C74="I"),-1,1),"")</f>
        <v/>
      </c>
      <c r="AW74" s="1030">
        <f t="shared" si="7"/>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4"/>
        <v>H01330</v>
      </c>
      <c r="AK75" s="1030" t="str">
        <f t="shared" si="4"/>
        <v>OCC PAPETRIE-FOUR. BUREAU</v>
      </c>
      <c r="AL75" s="1030" t="str">
        <f>IFERROR(INDEX(G75:R75,1,MATCH(Parametres!$B$3,G$1:R$1,0)-1)*IF(OR(F75="L",F75="S",F75="I"),-1,1),"")</f>
        <v/>
      </c>
      <c r="AM75" s="1030">
        <f t="shared" si="5"/>
        <v>744.95</v>
      </c>
      <c r="AN75" s="1030">
        <f>INDEX(G75:R75,1,MATCH(Parametres!$B$3,G$1:R$1,0))*IF(OR(F75="L",F75="S",F75="I"),-1,1)</f>
        <v>744.95</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6"/>
        <v>H01330</v>
      </c>
      <c r="AU75" s="599" t="str">
        <f t="shared" si="6"/>
        <v>OCC PAPETRIE-FOUR. BUREAU</v>
      </c>
      <c r="AV75" s="1030" t="str">
        <f>IFERROR(INDEX(V75:AG75,1,MATCH(Parametres!$B$3,V$1:AG$1,0)-1)*IF(OR(C75="L",C75="S",C75="I"),-1,1),"")</f>
        <v/>
      </c>
      <c r="AW75" s="1030">
        <f t="shared" si="7"/>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4"/>
        <v>H01331</v>
      </c>
      <c r="AK76" s="1030" t="str">
        <f t="shared" si="4"/>
        <v>OCC OUTIL-FOUR. DIVERS</v>
      </c>
      <c r="AL76" s="1030" t="str">
        <f>IFERROR(INDEX(G76:R76,1,MATCH(Parametres!$B$3,G$1:R$1,0)-1)*IF(OR(F76="L",F76="S",F76="I"),-1,1),"")</f>
        <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6"/>
        <v>H01331</v>
      </c>
      <c r="AU76" s="599" t="str">
        <f t="shared" si="6"/>
        <v>OCC OUTIL-FOUR. DIVERS</v>
      </c>
      <c r="AV76" s="1030" t="str">
        <f>IFERROR(INDEX(V76:AG76,1,MATCH(Parametres!$B$3,V$1:AG$1,0)-1)*IF(OR(C76="L",C76="S",C76="I"),-1,1),"")</f>
        <v/>
      </c>
      <c r="AW76" s="1030">
        <f t="shared" si="7"/>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4"/>
        <v>H01334</v>
      </c>
      <c r="AK77" s="1030" t="str">
        <f t="shared" si="4"/>
        <v>OCC UNIFORMES-SALOPETTES</v>
      </c>
      <c r="AL77" s="1030" t="str">
        <f>IFERROR(INDEX(G77:R77,1,MATCH(Parametres!$B$3,G$1:R$1,0)-1)*IF(OR(F77="L",F77="S",F77="I"),-1,1),"")</f>
        <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6"/>
        <v>H01334</v>
      </c>
      <c r="AU77" s="599" t="str">
        <f t="shared" si="6"/>
        <v>OCC UNIFORMES-SALOPETTES</v>
      </c>
      <c r="AV77" s="1030" t="str">
        <f>IFERROR(INDEX(V77:AG77,1,MATCH(Parametres!$B$3,V$1:AG$1,0)-1)*IF(OR(C77="L",C77="S",C77="I"),-1,1),"")</f>
        <v/>
      </c>
      <c r="AW77" s="1030">
        <f t="shared" si="7"/>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4"/>
        <v>H01335</v>
      </c>
      <c r="AK78" s="1030" t="str">
        <f t="shared" si="4"/>
        <v>OCC CONCIERGE-NETTOYAGE</v>
      </c>
      <c r="AL78" s="1030" t="str">
        <f>IFERROR(INDEX(G78:R78,1,MATCH(Parametres!$B$3,G$1:R$1,0)-1)*IF(OR(F78="L",F78="S",F78="I"),-1,1),"")</f>
        <v/>
      </c>
      <c r="AM78" s="1030">
        <f t="shared" si="5"/>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6"/>
        <v>H01335</v>
      </c>
      <c r="AU78" s="599" t="str">
        <f t="shared" si="6"/>
        <v>OCC CONCIERGE-NETTOYAGE</v>
      </c>
      <c r="AV78" s="1030" t="str">
        <f>IFERROR(INDEX(V78:AG78,1,MATCH(Parametres!$B$3,V$1:AG$1,0)-1)*IF(OR(C78="L",C78="S",C78="I"),-1,1),"")</f>
        <v/>
      </c>
      <c r="AW78" s="1030">
        <f t="shared" si="7"/>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4"/>
        <v>H01340</v>
      </c>
      <c r="AK79" s="1030" t="str">
        <f t="shared" si="4"/>
        <v>OCC ENT EQUIPMENT</v>
      </c>
      <c r="AL79" s="1030" t="str">
        <f>IFERROR(INDEX(G79:R79,1,MATCH(Parametres!$B$3,G$1:R$1,0)-1)*IF(OR(F79="L",F79="S",F79="I"),-1,1),"")</f>
        <v/>
      </c>
      <c r="AM79" s="1030">
        <f t="shared" si="5"/>
        <v>0</v>
      </c>
      <c r="AN79" s="1030">
        <f>INDEX(G79:R79,1,MATCH(Parametres!$B$3,G$1:R$1,0))*IF(OR(F79="L",F79="S",F79="I"),-1,1)</f>
        <v>0</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6"/>
        <v>H01340</v>
      </c>
      <c r="AU79" s="599" t="str">
        <f t="shared" si="6"/>
        <v>OCC ENT EQUIPMENT</v>
      </c>
      <c r="AV79" s="1030" t="str">
        <f>IFERROR(INDEX(V79:AG79,1,MATCH(Parametres!$B$3,V$1:AG$1,0)-1)*IF(OR(C79="L",C79="S",C79="I"),-1,1),"")</f>
        <v/>
      </c>
      <c r="AW79" s="1030">
        <f t="shared" si="7"/>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4"/>
        <v>H01341</v>
      </c>
      <c r="AK80" s="1030" t="str">
        <f t="shared" si="4"/>
        <v>OCC VEH DE SERVITUDES</v>
      </c>
      <c r="AL80" s="1030" t="str">
        <f>IFERROR(INDEX(G80:R80,1,MATCH(Parametres!$B$3,G$1:R$1,0)-1)*IF(OR(F80="L",F80="S",F80="I"),-1,1),"")</f>
        <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6"/>
        <v>H01341</v>
      </c>
      <c r="AU80" s="599" t="str">
        <f t="shared" si="6"/>
        <v>OCC VEH DE SERVITUDES</v>
      </c>
      <c r="AV80" s="1030" t="str">
        <f>IFERROR(INDEX(V80:AG80,1,MATCH(Parametres!$B$3,V$1:AG$1,0)-1)*IF(OR(C80="L",C80="S",C80="I"),-1,1),"")</f>
        <v/>
      </c>
      <c r="AW80" s="1030">
        <f t="shared" si="7"/>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4"/>
        <v>H01343</v>
      </c>
      <c r="AK81" s="1030" t="str">
        <f t="shared" si="4"/>
        <v>OCC LOCATION EQUIPEMENT</v>
      </c>
      <c r="AL81" s="1030" t="str">
        <f>IFERROR(INDEX(G81:R81,1,MATCH(Parametres!$B$3,G$1:R$1,0)-1)*IF(OR(F81="L",F81="S",F81="I"),-1,1),"")</f>
        <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6"/>
        <v>H01343</v>
      </c>
      <c r="AU81" s="599" t="str">
        <f t="shared" si="6"/>
        <v>OCC LOCATION EQUIPEMENT</v>
      </c>
      <c r="AV81" s="1030" t="str">
        <f>IFERROR(INDEX(V81:AG81,1,MATCH(Parametres!$B$3,V$1:AG$1,0)-1)*IF(OR(C81="L",C81="S",C81="I"),-1,1),"")</f>
        <v/>
      </c>
      <c r="AW81" s="1030">
        <f t="shared" si="7"/>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4"/>
        <v>H01344</v>
      </c>
      <c r="AK82" s="1030" t="str">
        <f t="shared" si="4"/>
        <v>OCC TRAITEMENT DONNEES</v>
      </c>
      <c r="AL82" s="1030" t="str">
        <f>IFERROR(INDEX(G82:R82,1,MATCH(Parametres!$B$3,G$1:R$1,0)-1)*IF(OR(F82="L",F82="S",F82="I"),-1,1),"")</f>
        <v/>
      </c>
      <c r="AM82" s="1030">
        <f t="shared" si="5"/>
        <v>1698.72</v>
      </c>
      <c r="AN82" s="1030">
        <f>INDEX(G82:R82,1,MATCH(Parametres!$B$3,G$1:R$1,0))*IF(OR(F82="L",F82="S",F82="I"),-1,1)</f>
        <v>1698.72</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6"/>
        <v>H01344</v>
      </c>
      <c r="AU82" s="599" t="str">
        <f t="shared" si="6"/>
        <v>OCC TRAITEMENT DONNEES</v>
      </c>
      <c r="AV82" s="1030" t="str">
        <f>IFERROR(INDEX(V82:AG82,1,MATCH(Parametres!$B$3,V$1:AG$1,0)-1)*IF(OR(C82="L",C82="S",C82="I"),-1,1),"")</f>
        <v/>
      </c>
      <c r="AW82" s="1030">
        <f t="shared" si="7"/>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4"/>
        <v>H01345</v>
      </c>
      <c r="AK83" s="1030" t="str">
        <f t="shared" si="4"/>
        <v>OCC FRAIS REPRES/REPAS</v>
      </c>
      <c r="AL83" s="1030" t="str">
        <f>IFERROR(INDEX(G83:R83,1,MATCH(Parametres!$B$3,G$1:R$1,0)-1)*IF(OR(F83="L",F83="S",F83="I"),-1,1),"")</f>
        <v/>
      </c>
      <c r="AM83" s="1030">
        <f t="shared" si="5"/>
        <v>2099.63</v>
      </c>
      <c r="AN83" s="1030">
        <f>INDEX(G83:R83,1,MATCH(Parametres!$B$3,G$1:R$1,0))*IF(OR(F83="L",F83="S",F83="I"),-1,1)</f>
        <v>2099.63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6"/>
        <v>H01345</v>
      </c>
      <c r="AU83" s="599" t="str">
        <f t="shared" si="6"/>
        <v>OCC FRAIS REPRES/REPAS</v>
      </c>
      <c r="AV83" s="1030" t="str">
        <f>IFERROR(INDEX(V83:AG83,1,MATCH(Parametres!$B$3,V$1:AG$1,0)-1)*IF(OR(C83="L",C83="S",C83="I"),-1,1),"")</f>
        <v/>
      </c>
      <c r="AW83" s="1030">
        <f t="shared" si="7"/>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4"/>
        <v>H01346</v>
      </c>
      <c r="AK84" s="1030" t="str">
        <f t="shared" si="4"/>
        <v>OCC DEPLACEMENT-REPRESENT</v>
      </c>
      <c r="AL84" s="1030" t="str">
        <f>IFERROR(INDEX(G84:R84,1,MATCH(Parametres!$B$3,G$1:R$1,0)-1)*IF(OR(F84="L",F84="S",F84="I"),-1,1),"")</f>
        <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6"/>
        <v>H01346</v>
      </c>
      <c r="AU84" s="599" t="str">
        <f t="shared" si="6"/>
        <v>OCC DEPLACEMENT-REPRESENT</v>
      </c>
      <c r="AV84" s="1030" t="str">
        <f>IFERROR(INDEX(V84:AG84,1,MATCH(Parametres!$B$3,V$1:AG$1,0)-1)*IF(OR(C84="L",C84="S",C84="I"),-1,1),"")</f>
        <v/>
      </c>
      <c r="AW84" s="1030">
        <f t="shared" si="7"/>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4"/>
        <v>H01347</v>
      </c>
      <c r="AK85" s="1030" t="str">
        <f t="shared" si="4"/>
        <v>OCC TELEPHONE-TELEGRAMMES</v>
      </c>
      <c r="AL85" s="1030" t="str">
        <f>IFERROR(INDEX(G85:R85,1,MATCH(Parametres!$B$3,G$1:R$1,0)-1)*IF(OR(F85="L",F85="S",F85="I"),-1,1),"")</f>
        <v/>
      </c>
      <c r="AM85" s="1030">
        <f t="shared" si="5"/>
        <v>56.04</v>
      </c>
      <c r="AN85" s="1030">
        <f>INDEX(G85:R85,1,MATCH(Parametres!$B$3,G$1:R$1,0))*IF(OR(F85="L",F85="S",F85="I"),-1,1)</f>
        <v>56.04</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6"/>
        <v>H01347</v>
      </c>
      <c r="AU85" s="599" t="str">
        <f t="shared" si="6"/>
        <v>OCC TELEPHONE-TELEGRAMMES</v>
      </c>
      <c r="AV85" s="1030" t="str">
        <f>IFERROR(INDEX(V85:AG85,1,MATCH(Parametres!$B$3,V$1:AG$1,0)-1)*IF(OR(C85="L",C85="S",C85="I"),-1,1),"")</f>
        <v/>
      </c>
      <c r="AW85" s="1030">
        <f t="shared" si="7"/>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4"/>
        <v>H01348</v>
      </c>
      <c r="AK86" s="1030" t="str">
        <f t="shared" si="4"/>
        <v>OCC FRAIS POSTAUX</v>
      </c>
      <c r="AL86" s="1030" t="str">
        <f>IFERROR(INDEX(G86:R86,1,MATCH(Parametres!$B$3,G$1:R$1,0)-1)*IF(OR(F86="L",F86="S",F86="I"),-1,1),"")</f>
        <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6"/>
        <v>H01348</v>
      </c>
      <c r="AU86" s="599" t="str">
        <f t="shared" si="6"/>
        <v>OCC FRAIS POSTAUX</v>
      </c>
      <c r="AV86" s="1030" t="str">
        <f>IFERROR(INDEX(V86:AG86,1,MATCH(Parametres!$B$3,V$1:AG$1,0)-1)*IF(OR(C86="L",C86="S",C86="I"),-1,1),"")</f>
        <v/>
      </c>
      <c r="AW86" s="1030">
        <f t="shared" si="7"/>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4"/>
        <v>H01349</v>
      </c>
      <c r="AK87" s="1030" t="str">
        <f t="shared" si="4"/>
        <v>OCC FRET &amp; MESSAGERIE</v>
      </c>
      <c r="AL87" s="1030" t="str">
        <f>IFERROR(INDEX(G87:R87,1,MATCH(Parametres!$B$3,G$1:R$1,0)-1)*IF(OR(F87="L",F87="S",F87="I"),-1,1),"")</f>
        <v/>
      </c>
      <c r="AM87" s="1030">
        <f t="shared" si="5"/>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6"/>
        <v>H01349</v>
      </c>
      <c r="AU87" s="599" t="str">
        <f t="shared" si="6"/>
        <v>OCC FRET &amp; MESSAGERIE</v>
      </c>
      <c r="AV87" s="1030" t="str">
        <f>IFERROR(INDEX(V87:AG87,1,MATCH(Parametres!$B$3,V$1:AG$1,0)-1)*IF(OR(C87="L",C87="S",C87="I"),-1,1),"")</f>
        <v/>
      </c>
      <c r="AW87" s="1030">
        <f t="shared" si="7"/>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4"/>
        <v>H01352</v>
      </c>
      <c r="AK88" s="1030" t="str">
        <f t="shared" si="4"/>
        <v>OCC FRAIS DIVERS</v>
      </c>
      <c r="AL88" s="1030" t="str">
        <f>IFERROR(INDEX(G88:R88,1,MATCH(Parametres!$B$3,G$1:R$1,0)-1)*IF(OR(F88="L",F88="S",F88="I"),-1,1),"")</f>
        <v/>
      </c>
      <c r="AM88" s="1030">
        <f t="shared" si="5"/>
        <v>62.5</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6"/>
        <v>H01352</v>
      </c>
      <c r="AU88" s="599" t="str">
        <f t="shared" si="6"/>
        <v>OCC FRAIS DIVERS</v>
      </c>
      <c r="AV88" s="1030" t="str">
        <f>IFERROR(INDEX(V88:AG88,1,MATCH(Parametres!$B$3,V$1:AG$1,0)-1)*IF(OR(C88="L",C88="S",C88="I"),-1,1),"")</f>
        <v/>
      </c>
      <c r="AW88" s="1030">
        <f t="shared" si="7"/>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4"/>
        <v>H01360</v>
      </c>
      <c r="AK89" s="1030" t="str">
        <f t="shared" si="4"/>
        <v>OCC LOYER INT HYPOTH.</v>
      </c>
      <c r="AL89" s="1030" t="str">
        <f>IFERROR(INDEX(G89:R89,1,MATCH(Parametres!$B$3,G$1:R$1,0)-1)*IF(OR(F89="L",F89="S",F89="I"),-1,1),"")</f>
        <v/>
      </c>
      <c r="AM89" s="1030">
        <f t="shared" si="5"/>
        <v>32500</v>
      </c>
      <c r="AN89" s="1030">
        <f>INDEX(G89:R89,1,MATCH(Parametres!$B$3,G$1:R$1,0))*IF(OR(F89="L",F89="S",F89="I"),-1,1)</f>
        <v>32500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6"/>
        <v>H01360</v>
      </c>
      <c r="AU89" s="599" t="str">
        <f t="shared" si="6"/>
        <v>OCC LOYER INT HYPOTH.</v>
      </c>
      <c r="AV89" s="1030" t="str">
        <f>IFERROR(INDEX(V89:AG89,1,MATCH(Parametres!$B$3,V$1:AG$1,0)-1)*IF(OR(C89="L",C89="S",C89="I"),-1,1),"")</f>
        <v/>
      </c>
      <c r="AW89" s="1030">
        <f t="shared" si="7"/>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4"/>
        <v>H01361</v>
      </c>
      <c r="AK90" s="1030" t="str">
        <f t="shared" si="4"/>
        <v>OCC AMORT AMELIOR  LOC</v>
      </c>
      <c r="AL90" s="1030" t="str">
        <f>IFERROR(INDEX(G90:R90,1,MATCH(Parametres!$B$3,G$1:R$1,0)-1)*IF(OR(F90="L",F90="S",F90="I"),-1,1),"")</f>
        <v/>
      </c>
      <c r="AM90" s="1030">
        <f t="shared" si="5"/>
        <v>148.16</v>
      </c>
      <c r="AN90" s="1030">
        <f>INDEX(G90:R90,1,MATCH(Parametres!$B$3,G$1:R$1,0))*IF(OR(F90="L",F90="S",F90="I"),-1,1)</f>
        <v>148.16</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6"/>
        <v>H01361</v>
      </c>
      <c r="AU90" s="599" t="str">
        <f t="shared" si="6"/>
        <v>OCC AMORT AMELIOR  LOC</v>
      </c>
      <c r="AV90" s="1030" t="str">
        <f>IFERROR(INDEX(V90:AG90,1,MATCH(Parametres!$B$3,V$1:AG$1,0)-1)*IF(OR(C90="L",C90="S",C90="I"),-1,1),"")</f>
        <v/>
      </c>
      <c r="AW90" s="1030">
        <f t="shared" si="7"/>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4"/>
        <v>H01362</v>
      </c>
      <c r="AK91" s="1030" t="str">
        <f t="shared" si="4"/>
        <v>OCC ENTRERIEN PROPRIÉTÉ</v>
      </c>
      <c r="AL91" s="1030" t="str">
        <f>IFERROR(INDEX(G91:R91,1,MATCH(Parametres!$B$3,G$1:R$1,0)-1)*IF(OR(F91="L",F91="S",F91="I"),-1,1),"")</f>
        <v/>
      </c>
      <c r="AM91" s="1030">
        <f t="shared" si="5"/>
        <v>1759.27</v>
      </c>
      <c r="AN91" s="1030">
        <f>INDEX(G91:R91,1,MATCH(Parametres!$B$3,G$1:R$1,0))*IF(OR(F91="L",F91="S",F91="I"),-1,1)</f>
        <v>1759.27</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6"/>
        <v>H01362</v>
      </c>
      <c r="AU91" s="599" t="str">
        <f t="shared" si="6"/>
        <v>OCC ENTRERIEN PROPRIÉTÉ</v>
      </c>
      <c r="AV91" s="1030" t="str">
        <f>IFERROR(INDEX(V91:AG91,1,MATCH(Parametres!$B$3,V$1:AG$1,0)-1)*IF(OR(C91="L",C91="S",C91="I"),-1,1),"")</f>
        <v/>
      </c>
      <c r="AW91" s="1030">
        <f t="shared" si="7"/>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4"/>
        <v>H01363</v>
      </c>
      <c r="AK92" s="1030" t="str">
        <f t="shared" si="4"/>
        <v>OCC TAXES PROPRIÉTÉ</v>
      </c>
      <c r="AL92" s="1030" t="str">
        <f>IFERROR(INDEX(G92:R92,1,MATCH(Parametres!$B$3,G$1:R$1,0)-1)*IF(OR(F92="L",F92="S",F92="I"),-1,1),"")</f>
        <v/>
      </c>
      <c r="AM92" s="1030">
        <f t="shared" si="5"/>
        <v>13676.84</v>
      </c>
      <c r="AN92" s="1030">
        <f>INDEX(G92:R92,1,MATCH(Parametres!$B$3,G$1:R$1,0))*IF(OR(F92="L",F92="S",F92="I"),-1,1)</f>
        <v>13676.84</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6"/>
        <v>H01363</v>
      </c>
      <c r="AU92" s="599" t="str">
        <f t="shared" si="6"/>
        <v>OCC TAXES PROPRIÉTÉ</v>
      </c>
      <c r="AV92" s="1030" t="str">
        <f>IFERROR(INDEX(V92:AG92,1,MATCH(Parametres!$B$3,V$1:AG$1,0)-1)*IF(OR(C92="L",C92="S",C92="I"),-1,1),"")</f>
        <v/>
      </c>
      <c r="AW92" s="1030">
        <f t="shared" si="7"/>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4"/>
        <v>H01364</v>
      </c>
      <c r="AK93" s="1030" t="str">
        <f t="shared" si="4"/>
        <v>OCC ASSURANCE BATIMENT</v>
      </c>
      <c r="AL93" s="1030" t="str">
        <f>IFERROR(INDEX(G93:R93,1,MATCH(Parametres!$B$3,G$1:R$1,0)-1)*IF(OR(F93="L",F93="S",F93="I"),-1,1),"")</f>
        <v/>
      </c>
      <c r="AM93" s="1030">
        <f t="shared" si="5"/>
        <v>1184.5999999999999</v>
      </c>
      <c r="AN93" s="1030">
        <f>INDEX(G93:R93,1,MATCH(Parametres!$B$3,G$1:R$1,0))*IF(OR(F93="L",F93="S",F93="I"),-1,1)</f>
        <v>1184.5999999999999</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6"/>
        <v>H01364</v>
      </c>
      <c r="AU93" s="599" t="str">
        <f t="shared" si="6"/>
        <v>OCC ASSURANCE BATIMENT</v>
      </c>
      <c r="AV93" s="1030" t="str">
        <f>IFERROR(INDEX(V93:AG93,1,MATCH(Parametres!$B$3,V$1:AG$1,0)-1)*IF(OR(C93="L",C93="S",C93="I"),-1,1),"")</f>
        <v/>
      </c>
      <c r="AW93" s="1030">
        <f t="shared" si="7"/>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4"/>
        <v>H01365</v>
      </c>
      <c r="AK94" s="1030" t="str">
        <f t="shared" si="4"/>
        <v>OCC AMORT BATIMENT</v>
      </c>
      <c r="AL94" s="1030" t="str">
        <f>IFERROR(INDEX(G94:R94,1,MATCH(Parametres!$B$3,G$1:R$1,0)-1)*IF(OR(F94="L",F94="S",F94="I"),-1,1),"")</f>
        <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6"/>
        <v>H01365</v>
      </c>
      <c r="AU94" s="599" t="str">
        <f t="shared" si="6"/>
        <v>OCC AMORT BATIMENT</v>
      </c>
      <c r="AV94" s="1030" t="str">
        <f>IFERROR(INDEX(V94:AG94,1,MATCH(Parametres!$B$3,V$1:AG$1,0)-1)*IF(OR(C94="L",C94="S",C94="I"),-1,1),"")</f>
        <v/>
      </c>
      <c r="AW94" s="1030">
        <f t="shared" si="7"/>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4"/>
        <v>H01368</v>
      </c>
      <c r="AK95" s="1030" t="str">
        <f t="shared" si="4"/>
        <v>OCC TAXES AFFAIRES&amp;AUTRES</v>
      </c>
      <c r="AL95" s="1030" t="str">
        <f>IFERROR(INDEX(G95:R95,1,MATCH(Parametres!$B$3,G$1:R$1,0)-1)*IF(OR(F95="L",F95="S",F95="I"),-1,1),"")</f>
        <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6"/>
        <v>H01368</v>
      </c>
      <c r="AU95" s="599" t="str">
        <f t="shared" si="6"/>
        <v>OCC TAXES AFFAIRES&amp;AUTRES</v>
      </c>
      <c r="AV95" s="1030" t="str">
        <f>IFERROR(INDEX(V95:AG95,1,MATCH(Parametres!$B$3,V$1:AG$1,0)-1)*IF(OR(C95="L",C95="S",C95="I"),-1,1),"")</f>
        <v/>
      </c>
      <c r="AW95" s="1030">
        <f t="shared" si="7"/>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4"/>
        <v>H01369</v>
      </c>
      <c r="AK96" s="1030" t="str">
        <f t="shared" si="4"/>
        <v>OCC AMORT EQUIP &amp; INSTALL</v>
      </c>
      <c r="AL96" s="1030" t="str">
        <f>IFERROR(INDEX(G96:R96,1,MATCH(Parametres!$B$3,G$1:R$1,0)-1)*IF(OR(F96="L",F96="S",F96="I"),-1,1),"")</f>
        <v/>
      </c>
      <c r="AM96" s="1030">
        <f t="shared" si="5"/>
        <v>876.71</v>
      </c>
      <c r="AN96" s="1030">
        <f>INDEX(G96:R96,1,MATCH(Parametres!$B$3,G$1:R$1,0))*IF(OR(F96="L",F96="S",F96="I"),-1,1)</f>
        <v>876.71</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6"/>
        <v>H01369</v>
      </c>
      <c r="AU96" s="599" t="str">
        <f t="shared" si="6"/>
        <v>OCC AMORT EQUIP &amp; INSTALL</v>
      </c>
      <c r="AV96" s="1030" t="str">
        <f>IFERROR(INDEX(V96:AG96,1,MATCH(Parametres!$B$3,V$1:AG$1,0)-1)*IF(OR(C96="L",C96="S",C96="I"),-1,1),"")</f>
        <v/>
      </c>
      <c r="AW96" s="1030">
        <f t="shared" si="7"/>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4"/>
        <v>H01370</v>
      </c>
      <c r="AK97" s="1030" t="str">
        <f t="shared" si="4"/>
        <v>OCC ASSURANCE GENERALE</v>
      </c>
      <c r="AL97" s="1030" t="str">
        <f>IFERROR(INDEX(G97:R97,1,MATCH(Parametres!$B$3,G$1:R$1,0)-1)*IF(OR(F97="L",F97="S",F97="I"),-1,1),"")</f>
        <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6"/>
        <v>H01370</v>
      </c>
      <c r="AU97" s="599" t="str">
        <f t="shared" si="6"/>
        <v>OCC ASSURANCE GENERALE</v>
      </c>
      <c r="AV97" s="1030" t="str">
        <f>IFERROR(INDEX(V97:AG97,1,MATCH(Parametres!$B$3,V$1:AG$1,0)-1)*IF(OR(C97="L",C97="S",C97="I"),-1,1),"")</f>
        <v/>
      </c>
      <c r="AW97" s="1030">
        <f t="shared" si="7"/>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4"/>
        <v>H01374</v>
      </c>
      <c r="AK98" s="1030" t="str">
        <f t="shared" si="4"/>
        <v>OCC EAU/ELECT/CHAUFFAGE</v>
      </c>
      <c r="AL98" s="1030" t="str">
        <f>IFERROR(INDEX(G98:R98,1,MATCH(Parametres!$B$3,G$1:R$1,0)-1)*IF(OR(F98="L",F98="S",F98="I"),-1,1),"")</f>
        <v/>
      </c>
      <c r="AM98" s="1030">
        <f t="shared" si="5"/>
        <v>1906.36</v>
      </c>
      <c r="AN98" s="1030">
        <f>INDEX(G98:R98,1,MATCH(Parametres!$B$3,G$1:R$1,0))*IF(OR(F98="L",F98="S",F98="I"),-1,1)</f>
        <v>1906.36</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6"/>
        <v>H01374</v>
      </c>
      <c r="AU98" s="599" t="str">
        <f t="shared" si="6"/>
        <v>OCC EAU/ELECT/CHAUFFAGE</v>
      </c>
      <c r="AV98" s="1030" t="str">
        <f>IFERROR(INDEX(V98:AG98,1,MATCH(Parametres!$B$3,V$1:AG$1,0)-1)*IF(OR(C98="L",C98="S",C98="I"),-1,1),"")</f>
        <v/>
      </c>
      <c r="AW98" s="1030">
        <f t="shared" si="7"/>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4"/>
        <v>H01376</v>
      </c>
      <c r="AK99" s="1030" t="str">
        <f t="shared" si="4"/>
        <v>OCC VERIF. COMPTABLE</v>
      </c>
      <c r="AL99" s="1030" t="str">
        <f>IFERROR(INDEX(G99:R99,1,MATCH(Parametres!$B$3,G$1:R$1,0)-1)*IF(OR(F99="L",F99="S",F99="I"),-1,1),"")</f>
        <v/>
      </c>
      <c r="AM99" s="1030">
        <f t="shared" si="5"/>
        <v>1000</v>
      </c>
      <c r="AN99" s="1030">
        <f>INDEX(G99:R99,1,MATCH(Parametres!$B$3,G$1:R$1,0))*IF(OR(F99="L",F99="S",F99="I"),-1,1)</f>
        <v>1000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6"/>
        <v>H01376</v>
      </c>
      <c r="AU99" s="599" t="str">
        <f t="shared" si="6"/>
        <v>OCC VERIF. COMPTABLE</v>
      </c>
      <c r="AV99" s="1030" t="str">
        <f>IFERROR(INDEX(V99:AG99,1,MATCH(Parametres!$B$3,V$1:AG$1,0)-1)*IF(OR(C99="L",C99="S",C99="I"),-1,1),"")</f>
        <v/>
      </c>
      <c r="AW99" s="1030">
        <f t="shared" si="7"/>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4"/>
        <v>H01377</v>
      </c>
      <c r="AK100" s="1030" t="str">
        <f t="shared" si="4"/>
        <v>OCC COTISATIONS SOUSCRIP.</v>
      </c>
      <c r="AL100" s="1030" t="str">
        <f>IFERROR(INDEX(G100:R100,1,MATCH(Parametres!$B$3,G$1:R$1,0)-1)*IF(OR(F100="L",F100="S",F100="I"),-1,1),"")</f>
        <v/>
      </c>
      <c r="AM100" s="1030">
        <f t="shared" si="5"/>
        <v>486.86</v>
      </c>
      <c r="AN100" s="1030">
        <f>INDEX(G100:R100,1,MATCH(Parametres!$B$3,G$1:R$1,0))*IF(OR(F100="L",F100="S",F100="I"),-1,1)</f>
        <v>486.86</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6"/>
        <v>H01377</v>
      </c>
      <c r="AU100" s="599" t="str">
        <f t="shared" si="6"/>
        <v>OCC COTISATIONS SOUSCRIP.</v>
      </c>
      <c r="AV100" s="1030" t="str">
        <f>IFERROR(INDEX(V100:AG100,1,MATCH(Parametres!$B$3,V$1:AG$1,0)-1)*IF(OR(C100="L",C100="S",C100="I"),-1,1),"")</f>
        <v/>
      </c>
      <c r="AW100" s="1030">
        <f t="shared" si="7"/>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4"/>
        <v>H01379</v>
      </c>
      <c r="AK101" s="1030" t="str">
        <f t="shared" si="4"/>
        <v>OCC DONATIONS</v>
      </c>
      <c r="AL101" s="1030" t="str">
        <f>IFERROR(INDEX(G101:R101,1,MATCH(Parametres!$B$3,G$1:R$1,0)-1)*IF(OR(F101="L",F101="S",F101="I"),-1,1),"")</f>
        <v/>
      </c>
      <c r="AM101" s="1030">
        <f t="shared" si="5"/>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6"/>
        <v>H01379</v>
      </c>
      <c r="AU101" s="599" t="str">
        <f t="shared" si="6"/>
        <v>OCC DONATIONS</v>
      </c>
      <c r="AV101" s="1030" t="str">
        <f>IFERROR(INDEX(V101:AG101,1,MATCH(Parametres!$B$3,V$1:AG$1,0)-1)*IF(OR(C101="L",C101="S",C101="I"),-1,1),"")</f>
        <v/>
      </c>
      <c r="AW101" s="1030">
        <f t="shared" si="7"/>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4"/>
        <v>H01380</v>
      </c>
      <c r="AK102" s="1030" t="str">
        <f t="shared" si="4"/>
        <v>OCC IMM &amp; PERMIS/CIE SEUL</v>
      </c>
      <c r="AL102" s="1030" t="str">
        <f>IFERROR(INDEX(G102:R102,1,MATCH(Parametres!$B$3,G$1:R$1,0)-1)*IF(OR(F102="L",F102="S",F102="I"),-1,1),"")</f>
        <v/>
      </c>
      <c r="AM102" s="1030">
        <f t="shared" si="5"/>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6"/>
        <v>H01380</v>
      </c>
      <c r="AU102" s="599" t="str">
        <f t="shared" si="6"/>
        <v>OCC IMM &amp; PERMIS/CIE SEUL</v>
      </c>
      <c r="AV102" s="1030" t="str">
        <f>IFERROR(INDEX(V102:AG102,1,MATCH(Parametres!$B$3,V$1:AG$1,0)-1)*IF(OR(C102="L",C102="S",C102="I"),-1,1),"")</f>
        <v/>
      </c>
      <c r="AW102" s="1030">
        <f t="shared" si="7"/>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4"/>
        <v>H01420</v>
      </c>
      <c r="AK103" s="1030" t="str">
        <f t="shared" si="4"/>
        <v>PCE SALAIRES-DIR-DEPT</v>
      </c>
      <c r="AL103" s="1030" t="str">
        <f>IFERROR(INDEX(G103:R103,1,MATCH(Parametres!$B$3,G$1:R$1,0)-1)*IF(OR(F103="L",F103="S",F103="I"),-1,1),"")</f>
        <v/>
      </c>
      <c r="AM103" s="1030">
        <f t="shared" si="5"/>
        <v>7654.25</v>
      </c>
      <c r="AN103" s="1030">
        <f>INDEX(G103:R103,1,MATCH(Parametres!$B$3,G$1:R$1,0))*IF(OR(F103="L",F103="S",F103="I"),-1,1)</f>
        <v>7654.25</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6"/>
        <v>H01420</v>
      </c>
      <c r="AU103" s="599" t="str">
        <f t="shared" si="6"/>
        <v>PCE SALAIRES-DIR-DEPT</v>
      </c>
      <c r="AV103" s="1030" t="str">
        <f>IFERROR(INDEX(V103:AG103,1,MATCH(Parametres!$B$3,V$1:AG$1,0)-1)*IF(OR(C103="L",C103="S",C103="I"),-1,1),"")</f>
        <v/>
      </c>
      <c r="AW103" s="1030">
        <f t="shared" si="7"/>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4"/>
        <v>H01421</v>
      </c>
      <c r="AK104" s="1030" t="str">
        <f t="shared" si="4"/>
        <v>PCE SALAIRES -AUTRES</v>
      </c>
      <c r="AL104" s="1030" t="str">
        <f>IFERROR(INDEX(G104:R104,1,MATCH(Parametres!$B$3,G$1:R$1,0)-1)*IF(OR(F104="L",F104="S",F104="I"),-1,1),"")</f>
        <v/>
      </c>
      <c r="AM104" s="1030">
        <f t="shared" si="5"/>
        <v>19589.32</v>
      </c>
      <c r="AN104" s="1030">
        <f>INDEX(G104:R104,1,MATCH(Parametres!$B$3,G$1:R$1,0))*IF(OR(F104="L",F104="S",F104="I"),-1,1)</f>
        <v>19589.32</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6"/>
        <v>H01421</v>
      </c>
      <c r="AU104" s="599" t="str">
        <f t="shared" si="6"/>
        <v>PCE SALAIRES -AUTRES</v>
      </c>
      <c r="AV104" s="1030" t="str">
        <f>IFERROR(INDEX(V104:AG104,1,MATCH(Parametres!$B$3,V$1:AG$1,0)-1)*IF(OR(C104="L",C104="S",C104="I"),-1,1),"")</f>
        <v/>
      </c>
      <c r="AW104" s="1030">
        <f t="shared" si="7"/>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4"/>
        <v>H01423</v>
      </c>
      <c r="AK105" s="1030" t="str">
        <f t="shared" si="4"/>
        <v>PCE ABSENCES&amp;CONGES PAYES</v>
      </c>
      <c r="AL105" s="1030" t="str">
        <f>IFERROR(INDEX(G105:R105,1,MATCH(Parametres!$B$3,G$1:R$1,0)-1)*IF(OR(F105="L",F105="S",F105="I"),-1,1),"")</f>
        <v/>
      </c>
      <c r="AM105" s="1030">
        <f t="shared" si="5"/>
        <v>4242.37</v>
      </c>
      <c r="AN105" s="1030">
        <f>INDEX(G105:R105,1,MATCH(Parametres!$B$3,G$1:R$1,0))*IF(OR(F105="L",F105="S",F105="I"),-1,1)</f>
        <v>4242.37</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6"/>
        <v>H01423</v>
      </c>
      <c r="AU105" s="599" t="str">
        <f t="shared" si="6"/>
        <v>PCE ABSENCES&amp;CONGES PAYES</v>
      </c>
      <c r="AV105" s="1030" t="str">
        <f>IFERROR(INDEX(V105:AG105,1,MATCH(Parametres!$B$3,V$1:AG$1,0)-1)*IF(OR(C105="L",C105="S",C105="I"),-1,1),"")</f>
        <v/>
      </c>
      <c r="AW105" s="1030">
        <f t="shared" si="7"/>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4"/>
        <v>H01424</v>
      </c>
      <c r="AK106" s="1030" t="str">
        <f t="shared" si="4"/>
        <v>PCE CSST</v>
      </c>
      <c r="AL106" s="1030" t="str">
        <f>IFERROR(INDEX(G106:R106,1,MATCH(Parametres!$B$3,G$1:R$1,0)-1)*IF(OR(F106="L",F106="S",F106="I"),-1,1),"")</f>
        <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6"/>
        <v>H01424</v>
      </c>
      <c r="AU106" s="599" t="str">
        <f t="shared" si="6"/>
        <v>PCE CSST</v>
      </c>
      <c r="AV106" s="1030" t="str">
        <f>IFERROR(INDEX(V106:AG106,1,MATCH(Parametres!$B$3,V$1:AG$1,0)-1)*IF(OR(C106="L",C106="S",C106="I"),-1,1),"")</f>
        <v/>
      </c>
      <c r="AW106" s="1030">
        <f t="shared" si="7"/>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4"/>
        <v>H01425</v>
      </c>
      <c r="AK107" s="1030" t="str">
        <f t="shared" si="4"/>
        <v>PCE ASSURANCE CHOMAGE</v>
      </c>
      <c r="AL107" s="1030" t="str">
        <f>IFERROR(INDEX(G107:R107,1,MATCH(Parametres!$B$3,G$1:R$1,0)-1)*IF(OR(F107="L",F107="S",F107="I"),-1,1),"")</f>
        <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6"/>
        <v>H01425</v>
      </c>
      <c r="AU107" s="599" t="str">
        <f t="shared" si="6"/>
        <v>PCE ASSURANCE CHOMAGE</v>
      </c>
      <c r="AV107" s="1030" t="str">
        <f>IFERROR(INDEX(V107:AG107,1,MATCH(Parametres!$B$3,V$1:AG$1,0)-1)*IF(OR(C107="L",C107="S",C107="I"),-1,1),"")</f>
        <v/>
      </c>
      <c r="AW107" s="1030">
        <f t="shared" si="7"/>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4"/>
        <v>H01426</v>
      </c>
      <c r="AK108" s="1030" t="str">
        <f t="shared" si="4"/>
        <v>PCE ASSURANCE GROUPE</v>
      </c>
      <c r="AL108" s="1030" t="str">
        <f>IFERROR(INDEX(G108:R108,1,MATCH(Parametres!$B$3,G$1:R$1,0)-1)*IF(OR(F108="L",F108="S",F108="I"),-1,1),"")</f>
        <v/>
      </c>
      <c r="AM108" s="1030">
        <f t="shared" si="5"/>
        <v>254.45</v>
      </c>
      <c r="AN108" s="1030">
        <f>INDEX(G108:R108,1,MATCH(Parametres!$B$3,G$1:R$1,0))*IF(OR(F108="L",F108="S",F108="I"),-1,1)</f>
        <v>254.45</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6"/>
        <v>H01426</v>
      </c>
      <c r="AU108" s="599" t="str">
        <f t="shared" si="6"/>
        <v>PCE ASSURANCE GROUPE</v>
      </c>
      <c r="AV108" s="1030" t="str">
        <f>IFERROR(INDEX(V108:AG108,1,MATCH(Parametres!$B$3,V$1:AG$1,0)-1)*IF(OR(C108="L",C108="S",C108="I"),-1,1),"")</f>
        <v/>
      </c>
      <c r="AW108" s="1030">
        <f t="shared" si="7"/>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4"/>
        <v>H01427</v>
      </c>
      <c r="AK109" s="1030" t="str">
        <f t="shared" si="4"/>
        <v>PCE AUTRES AV. SOCIAUX</v>
      </c>
      <c r="AL109" s="1030" t="str">
        <f>IFERROR(INDEX(G109:R109,1,MATCH(Parametres!$B$3,G$1:R$1,0)-1)*IF(OR(F109="L",F109="S",F109="I"),-1,1),"")</f>
        <v/>
      </c>
      <c r="AM109" s="1030">
        <f t="shared" si="5"/>
        <v>4437.24</v>
      </c>
      <c r="AN109" s="1030">
        <f>INDEX(G109:R109,1,MATCH(Parametres!$B$3,G$1:R$1,0))*IF(OR(F109="L",F109="S",F109="I"),-1,1)</f>
        <v>4437.24</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6"/>
        <v>H01427</v>
      </c>
      <c r="AU109" s="599" t="str">
        <f t="shared" si="6"/>
        <v>PCE AUTRES AV. SOCIAUX</v>
      </c>
      <c r="AV109" s="1030" t="str">
        <f>IFERROR(INDEX(V109:AG109,1,MATCH(Parametres!$B$3,V$1:AG$1,0)-1)*IF(OR(C109="L",C109="S",C109="I"),-1,1),"")</f>
        <v/>
      </c>
      <c r="AW109" s="1030">
        <f t="shared" si="7"/>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4"/>
        <v>H01428</v>
      </c>
      <c r="AK110" s="1030" t="str">
        <f t="shared" si="4"/>
        <v>PCE FORMATION</v>
      </c>
      <c r="AL110" s="1030" t="str">
        <f>IFERROR(INDEX(G110:R110,1,MATCH(Parametres!$B$3,G$1:R$1,0)-1)*IF(OR(F110="L",F110="S",F110="I"),-1,1),"")</f>
        <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6"/>
        <v>H01428</v>
      </c>
      <c r="AU110" s="599" t="str">
        <f t="shared" si="6"/>
        <v>PCE FORMATION</v>
      </c>
      <c r="AV110" s="1030" t="str">
        <f>IFERROR(INDEX(V110:AG110,1,MATCH(Parametres!$B$3,V$1:AG$1,0)-1)*IF(OR(C110="L",C110="S",C110="I"),-1,1),"")</f>
        <v/>
      </c>
      <c r="AW110" s="1030">
        <f t="shared" si="7"/>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4"/>
        <v>H01430</v>
      </c>
      <c r="AK111" s="1030" t="str">
        <f t="shared" si="4"/>
        <v>PCE PAPETRIE-FOUR. BUREAU</v>
      </c>
      <c r="AL111" s="1030" t="str">
        <f>IFERROR(INDEX(G111:R111,1,MATCH(Parametres!$B$3,G$1:R$1,0)-1)*IF(OR(F111="L",F111="S",F111="I"),-1,1),"")</f>
        <v/>
      </c>
      <c r="AM111" s="1030">
        <f t="shared" si="5"/>
        <v>744.95</v>
      </c>
      <c r="AN111" s="1030">
        <f>INDEX(G111:R111,1,MATCH(Parametres!$B$3,G$1:R$1,0))*IF(OR(F111="L",F111="S",F111="I"),-1,1)</f>
        <v>744.95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6"/>
        <v>H01430</v>
      </c>
      <c r="AU111" s="599" t="str">
        <f t="shared" si="6"/>
        <v>PCE PAPETRIE-FOUR. BUREAU</v>
      </c>
      <c r="AV111" s="1030" t="str">
        <f>IFERROR(INDEX(V111:AG111,1,MATCH(Parametres!$B$3,V$1:AG$1,0)-1)*IF(OR(C111="L",C111="S",C111="I"),-1,1),"")</f>
        <v/>
      </c>
      <c r="AW111" s="1030">
        <f t="shared" si="7"/>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4"/>
        <v>H01431</v>
      </c>
      <c r="AK112" s="1030" t="str">
        <f t="shared" si="4"/>
        <v>PCE OUTIL-FOUR. DIVERS</v>
      </c>
      <c r="AL112" s="1030" t="str">
        <f>IFERROR(INDEX(G112:R112,1,MATCH(Parametres!$B$3,G$1:R$1,0)-1)*IF(OR(F112="L",F112="S",F112="I"),-1,1),"")</f>
        <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6"/>
        <v>H01431</v>
      </c>
      <c r="AU112" s="599" t="str">
        <f t="shared" si="6"/>
        <v>PCE OUTIL-FOUR. DIVERS</v>
      </c>
      <c r="AV112" s="1030" t="str">
        <f>IFERROR(INDEX(V112:AG112,1,MATCH(Parametres!$B$3,V$1:AG$1,0)-1)*IF(OR(C112="L",C112="S",C112="I"),-1,1),"")</f>
        <v/>
      </c>
      <c r="AW112" s="1030">
        <f t="shared" si="7"/>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4"/>
        <v>H01434</v>
      </c>
      <c r="AK113" s="1030" t="str">
        <f t="shared" si="4"/>
        <v>PCE UNIFORMES-SALOPETTES</v>
      </c>
      <c r="AL113" s="1030" t="str">
        <f>IFERROR(INDEX(G113:R113,1,MATCH(Parametres!$B$3,G$1:R$1,0)-1)*IF(OR(F113="L",F113="S",F113="I"),-1,1),"")</f>
        <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6"/>
        <v>H01434</v>
      </c>
      <c r="AU113" s="599" t="str">
        <f t="shared" si="6"/>
        <v>PCE UNIFORMES-SALOPETTES</v>
      </c>
      <c r="AV113" s="1030" t="str">
        <f>IFERROR(INDEX(V113:AG113,1,MATCH(Parametres!$B$3,V$1:AG$1,0)-1)*IF(OR(C113="L",C113="S",C113="I"),-1,1),"")</f>
        <v/>
      </c>
      <c r="AW113" s="1030">
        <f t="shared" si="7"/>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4"/>
        <v>H01435</v>
      </c>
      <c r="AK114" s="1030" t="str">
        <f t="shared" si="4"/>
        <v>PCE CONCIERGE-NETTOYAGE</v>
      </c>
      <c r="AL114" s="1030" t="str">
        <f>IFERROR(INDEX(G114:R114,1,MATCH(Parametres!$B$3,G$1:R$1,0)-1)*IF(OR(F114="L",F114="S",F114="I"),-1,1),"")</f>
        <v/>
      </c>
      <c r="AM114" s="1030">
        <f t="shared" si="5"/>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6"/>
        <v>H01435</v>
      </c>
      <c r="AU114" s="599" t="str">
        <f t="shared" si="6"/>
        <v>PCE CONCIERGE-NETTOYAGE</v>
      </c>
      <c r="AV114" s="1030" t="str">
        <f>IFERROR(INDEX(V114:AG114,1,MATCH(Parametres!$B$3,V$1:AG$1,0)-1)*IF(OR(C114="L",C114="S",C114="I"),-1,1),"")</f>
        <v/>
      </c>
      <c r="AW114" s="1030">
        <f t="shared" si="7"/>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4"/>
        <v>H01437</v>
      </c>
      <c r="AK115" s="1030" t="str">
        <f t="shared" si="4"/>
        <v>PCE PRATIQUES COURTOISIE</v>
      </c>
      <c r="AL115" s="1030" t="str">
        <f>IFERROR(INDEX(G115:R115,1,MATCH(Parametres!$B$3,G$1:R$1,0)-1)*IF(OR(F115="L",F115="S",F115="I"),-1,1),"")</f>
        <v/>
      </c>
      <c r="AM115" s="1030">
        <f t="shared" si="5"/>
        <v>640.55999999999995</v>
      </c>
      <c r="AN115" s="1030">
        <f>INDEX(G115:R115,1,MATCH(Parametres!$B$3,G$1:R$1,0))*IF(OR(F115="L",F115="S",F115="I"),-1,1)</f>
        <v>640.55999999999995</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6"/>
        <v>H01437</v>
      </c>
      <c r="AU115" s="599" t="str">
        <f t="shared" si="6"/>
        <v>PCE PRATIQUES COURTOISIE</v>
      </c>
      <c r="AV115" s="1030" t="str">
        <f>IFERROR(INDEX(V115:AG115,1,MATCH(Parametres!$B$3,V$1:AG$1,0)-1)*IF(OR(C115="L",C115="S",C115="I"),-1,1),"")</f>
        <v/>
      </c>
      <c r="AW115" s="1030">
        <f t="shared" si="7"/>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4"/>
        <v>H01438</v>
      </c>
      <c r="AK116" s="1030" t="str">
        <f t="shared" si="4"/>
        <v>PCE PUB-PROMOTION PCE</v>
      </c>
      <c r="AL116" s="1030" t="str">
        <f>IFERROR(INDEX(G116:R116,1,MATCH(Parametres!$B$3,G$1:R$1,0)-1)*IF(OR(F116="L",F116="S",F116="I"),-1,1),"")</f>
        <v/>
      </c>
      <c r="AM116" s="1030">
        <f t="shared" si="5"/>
        <v>7094.24</v>
      </c>
      <c r="AN116" s="1030">
        <f>INDEX(G116:R116,1,MATCH(Parametres!$B$3,G$1:R$1,0))*IF(OR(F116="L",F116="S",F116="I"),-1,1)</f>
        <v>7094.24</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6"/>
        <v>H01438</v>
      </c>
      <c r="AU116" s="599" t="str">
        <f t="shared" si="6"/>
        <v>PCE PUB-PROMOTION PCE</v>
      </c>
      <c r="AV116" s="1030" t="str">
        <f>IFERROR(INDEX(V116:AG116,1,MATCH(Parametres!$B$3,V$1:AG$1,0)-1)*IF(OR(C116="L",C116="S",C116="I"),-1,1),"")</f>
        <v/>
      </c>
      <c r="AW116" s="1030">
        <f t="shared" si="7"/>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4"/>
        <v>H01440</v>
      </c>
      <c r="AK117" s="1030" t="str">
        <f t="shared" si="4"/>
        <v>PCE ENT EQUIPEMENT</v>
      </c>
      <c r="AL117" s="1030" t="str">
        <f>IFERROR(INDEX(G117:R117,1,MATCH(Parametres!$B$3,G$1:R$1,0)-1)*IF(OR(F117="L",F117="S",F117="I"),-1,1),"")</f>
        <v/>
      </c>
      <c r="AM117" s="1030">
        <f t="shared" si="5"/>
        <v>0</v>
      </c>
      <c r="AN117" s="1030">
        <f>INDEX(G117:R117,1,MATCH(Parametres!$B$3,G$1:R$1,0))*IF(OR(F117="L",F117="S",F117="I"),-1,1)</f>
        <v>0</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6"/>
        <v>H01440</v>
      </c>
      <c r="AU117" s="599" t="str">
        <f t="shared" si="6"/>
        <v>PCE ENT EQUIPEMENT</v>
      </c>
      <c r="AV117" s="1030" t="str">
        <f>IFERROR(INDEX(V117:AG117,1,MATCH(Parametres!$B$3,V$1:AG$1,0)-1)*IF(OR(C117="L",C117="S",C117="I"),-1,1),"")</f>
        <v/>
      </c>
      <c r="AW117" s="1030">
        <f t="shared" si="7"/>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4"/>
        <v>H01441</v>
      </c>
      <c r="AK118" s="1030" t="str">
        <f t="shared" si="4"/>
        <v>PCE VEH. DE SERVITUDES</v>
      </c>
      <c r="AL118" s="1030" t="str">
        <f>IFERROR(INDEX(G118:R118,1,MATCH(Parametres!$B$3,G$1:R$1,0)-1)*IF(OR(F118="L",F118="S",F118="I"),-1,1),"")</f>
        <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6"/>
        <v>H01441</v>
      </c>
      <c r="AU118" s="599" t="str">
        <f t="shared" si="6"/>
        <v>PCE VEH. DE SERVITUDES</v>
      </c>
      <c r="AV118" s="1030" t="str">
        <f>IFERROR(INDEX(V118:AG118,1,MATCH(Parametres!$B$3,V$1:AG$1,0)-1)*IF(OR(C118="L",C118="S",C118="I"),-1,1),"")</f>
        <v/>
      </c>
      <c r="AW118" s="1030">
        <f t="shared" si="7"/>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4"/>
        <v>H01442</v>
      </c>
      <c r="AK119" s="1030" t="str">
        <f t="shared" si="4"/>
        <v>PCE ENT EQUIP</v>
      </c>
      <c r="AL119" s="1030" t="str">
        <f>IFERROR(INDEX(G119:R119,1,MATCH(Parametres!$B$3,G$1:R$1,0)-1)*IF(OR(F119="L",F119="S",F119="I"),-1,1),"")</f>
        <v/>
      </c>
      <c r="AM119" s="1030">
        <f t="shared" si="5"/>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6"/>
        <v>H01442</v>
      </c>
      <c r="AU119" s="599" t="str">
        <f t="shared" si="6"/>
        <v>PCE ENT EQUIP</v>
      </c>
      <c r="AV119" s="1030" t="str">
        <f>IFERROR(INDEX(V119:AG119,1,MATCH(Parametres!$B$3,V$1:AG$1,0)-1)*IF(OR(C119="L",C119="S",C119="I"),-1,1),"")</f>
        <v/>
      </c>
      <c r="AW119" s="1030">
        <f t="shared" si="7"/>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4"/>
        <v>H01443</v>
      </c>
      <c r="AK120" s="1030" t="str">
        <f t="shared" si="4"/>
        <v>PCE LOCATION EQUIPEMENT</v>
      </c>
      <c r="AL120" s="1030" t="str">
        <f>IFERROR(INDEX(G120:R120,1,MATCH(Parametres!$B$3,G$1:R$1,0)-1)*IF(OR(F120="L",F120="S",F120="I"),-1,1),"")</f>
        <v/>
      </c>
      <c r="AM120" s="1030">
        <f t="shared" si="5"/>
        <v>500</v>
      </c>
      <c r="AN120" s="1030">
        <f>INDEX(G120:R120,1,MATCH(Parametres!$B$3,G$1:R$1,0))*IF(OR(F120="L",F120="S",F120="I"),-1,1)</f>
        <v>500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6"/>
        <v>H01443</v>
      </c>
      <c r="AU120" s="599" t="str">
        <f t="shared" si="6"/>
        <v>PCE LOCATION EQUIPEMENT</v>
      </c>
      <c r="AV120" s="1030" t="str">
        <f>IFERROR(INDEX(V120:AG120,1,MATCH(Parametres!$B$3,V$1:AG$1,0)-1)*IF(OR(C120="L",C120="S",C120="I"),-1,1),"")</f>
        <v/>
      </c>
      <c r="AW120" s="1030">
        <f t="shared" si="7"/>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4"/>
        <v>H01444</v>
      </c>
      <c r="AK121" s="1030" t="str">
        <f t="shared" si="4"/>
        <v>PCE TRAITEMENT DONNEES</v>
      </c>
      <c r="AL121" s="1030" t="str">
        <f>IFERROR(INDEX(G121:R121,1,MATCH(Parametres!$B$3,G$1:R$1,0)-1)*IF(OR(F121="L",F121="S",F121="I"),-1,1),"")</f>
        <v/>
      </c>
      <c r="AM121" s="1030">
        <f t="shared" si="5"/>
        <v>2166.16</v>
      </c>
      <c r="AN121" s="1030">
        <f>INDEX(G121:R121,1,MATCH(Parametres!$B$3,G$1:R$1,0))*IF(OR(F121="L",F121="S",F121="I"),-1,1)</f>
        <v>2166.16</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6"/>
        <v>H01444</v>
      </c>
      <c r="AU121" s="599" t="str">
        <f t="shared" si="6"/>
        <v>PCE TRAITEMENT DONNEES</v>
      </c>
      <c r="AV121" s="1030" t="str">
        <f>IFERROR(INDEX(V121:AG121,1,MATCH(Parametres!$B$3,V$1:AG$1,0)-1)*IF(OR(C121="L",C121="S",C121="I"),-1,1),"")</f>
        <v/>
      </c>
      <c r="AW121" s="1030">
        <f t="shared" si="7"/>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4"/>
        <v>H01445</v>
      </c>
      <c r="AK122" s="1030" t="str">
        <f t="shared" si="4"/>
        <v>PCE FRAIS REP/REPAS(80%)</v>
      </c>
      <c r="AL122" s="1030" t="str">
        <f>IFERROR(INDEX(G122:R122,1,MATCH(Parametres!$B$3,G$1:R$1,0)-1)*IF(OR(F122="L",F122="S",F122="I"),-1,1),"")</f>
        <v/>
      </c>
      <c r="AM122" s="1030">
        <f t="shared" si="5"/>
        <v>2099.63</v>
      </c>
      <c r="AN122" s="1030">
        <f>INDEX(G122:R122,1,MATCH(Parametres!$B$3,G$1:R$1,0))*IF(OR(F122="L",F122="S",F122="I"),-1,1)</f>
        <v>2099.63</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6"/>
        <v>H01445</v>
      </c>
      <c r="AU122" s="599" t="str">
        <f t="shared" si="6"/>
        <v>PCE FRAIS REP/REPAS(80%)</v>
      </c>
      <c r="AV122" s="1030" t="str">
        <f>IFERROR(INDEX(V122:AG122,1,MATCH(Parametres!$B$3,V$1:AG$1,0)-1)*IF(OR(C122="L",C122="S",C122="I"),-1,1),"")</f>
        <v/>
      </c>
      <c r="AW122" s="1030">
        <f t="shared" si="7"/>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4"/>
        <v>H01446</v>
      </c>
      <c r="AK123" s="1030" t="str">
        <f t="shared" si="4"/>
        <v>PCE DEPLACEMENT-REPRESENT</v>
      </c>
      <c r="AL123" s="1030" t="str">
        <f>IFERROR(INDEX(G123:R123,1,MATCH(Parametres!$B$3,G$1:R$1,0)-1)*IF(OR(F123="L",F123="S",F123="I"),-1,1),"")</f>
        <v/>
      </c>
      <c r="AM123" s="1030">
        <f t="shared" si="5"/>
        <v>65</v>
      </c>
      <c r="AN123" s="1030">
        <f>INDEX(G123:R123,1,MATCH(Parametres!$B$3,G$1:R$1,0))*IF(OR(F123="L",F123="S",F123="I"),-1,1)</f>
        <v>65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6"/>
        <v>H01446</v>
      </c>
      <c r="AU123" s="599" t="str">
        <f t="shared" si="6"/>
        <v>PCE DEPLACEMENT-REPRESENT</v>
      </c>
      <c r="AV123" s="1030" t="str">
        <f>IFERROR(INDEX(V123:AG123,1,MATCH(Parametres!$B$3,V$1:AG$1,0)-1)*IF(OR(C123="L",C123="S",C123="I"),-1,1),"")</f>
        <v/>
      </c>
      <c r="AW123" s="1030">
        <f t="shared" si="7"/>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4"/>
        <v>H01447</v>
      </c>
      <c r="AK124" s="1030" t="str">
        <f t="shared" si="4"/>
        <v>PCE TELEPHONE-TELEGRAMMES</v>
      </c>
      <c r="AL124" s="1030" t="str">
        <f>IFERROR(INDEX(G124:R124,1,MATCH(Parametres!$B$3,G$1:R$1,0)-1)*IF(OR(F124="L",F124="S",F124="I"),-1,1),"")</f>
        <v/>
      </c>
      <c r="AM124" s="1030">
        <f t="shared" si="5"/>
        <v>56.04</v>
      </c>
      <c r="AN124" s="1030">
        <f>INDEX(G124:R124,1,MATCH(Parametres!$B$3,G$1:R$1,0))*IF(OR(F124="L",F124="S",F124="I"),-1,1)</f>
        <v>56.04</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6"/>
        <v>H01447</v>
      </c>
      <c r="AU124" s="599" t="str">
        <f t="shared" si="6"/>
        <v>PCE TELEPHONE-TELEGRAMMES</v>
      </c>
      <c r="AV124" s="1030" t="str">
        <f>IFERROR(INDEX(V124:AG124,1,MATCH(Parametres!$B$3,V$1:AG$1,0)-1)*IF(OR(C124="L",C124="S",C124="I"),-1,1),"")</f>
        <v/>
      </c>
      <c r="AW124" s="1030">
        <f t="shared" si="7"/>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4"/>
        <v>H01448</v>
      </c>
      <c r="AK125" s="1030" t="str">
        <f t="shared" si="4"/>
        <v>PCE FRAIS POSTAUX</v>
      </c>
      <c r="AL125" s="1030" t="str">
        <f>IFERROR(INDEX(G125:R125,1,MATCH(Parametres!$B$3,G$1:R$1,0)-1)*IF(OR(F125="L",F125="S",F125="I"),-1,1),"")</f>
        <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6"/>
        <v>H01448</v>
      </c>
      <c r="AU125" s="599" t="str">
        <f t="shared" si="6"/>
        <v>PCE FRAIS POSTAUX</v>
      </c>
      <c r="AV125" s="1030" t="str">
        <f>IFERROR(INDEX(V125:AG125,1,MATCH(Parametres!$B$3,V$1:AG$1,0)-1)*IF(OR(C125="L",C125="S",C125="I"),-1,1),"")</f>
        <v/>
      </c>
      <c r="AW125" s="1030">
        <f t="shared" si="7"/>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4"/>
        <v>H01449</v>
      </c>
      <c r="AK126" s="1030" t="str">
        <f t="shared" si="4"/>
        <v>PCE FRET &amp; MESSAGERIE</v>
      </c>
      <c r="AL126" s="1030" t="str">
        <f>IFERROR(INDEX(G126:R126,1,MATCH(Parametres!$B$3,G$1:R$1,0)-1)*IF(OR(F126="L",F126="S",F126="I"),-1,1),"")</f>
        <v/>
      </c>
      <c r="AM126" s="1030">
        <f t="shared" si="5"/>
        <v>15876.92</v>
      </c>
      <c r="AN126" s="1030">
        <f>INDEX(G126:R126,1,MATCH(Parametres!$B$3,G$1:R$1,0))*IF(OR(F126="L",F126="S",F126="I"),-1,1)</f>
        <v>15876.92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6"/>
        <v>H01449</v>
      </c>
      <c r="AU126" s="599" t="str">
        <f t="shared" si="6"/>
        <v>PCE FRET &amp; MESSAGERIE</v>
      </c>
      <c r="AV126" s="1030" t="str">
        <f>IFERROR(INDEX(V126:AG126,1,MATCH(Parametres!$B$3,V$1:AG$1,0)-1)*IF(OR(C126="L",C126="S",C126="I"),-1,1),"")</f>
        <v/>
      </c>
      <c r="AW126" s="1030">
        <f t="shared" si="7"/>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4"/>
        <v>H01452</v>
      </c>
      <c r="AK127" s="1030" t="str">
        <f t="shared" si="4"/>
        <v>PCE FRAIS DIVERS</v>
      </c>
      <c r="AL127" s="1030" t="str">
        <f>IFERROR(INDEX(G127:R127,1,MATCH(Parametres!$B$3,G$1:R$1,0)-1)*IF(OR(F127="L",F127="S",F127="I"),-1,1),"")</f>
        <v/>
      </c>
      <c r="AM127" s="1030">
        <f t="shared" si="5"/>
        <v>74.760000000000005</v>
      </c>
      <c r="AN127" s="1030">
        <f>INDEX(G127:R127,1,MATCH(Parametres!$B$3,G$1:R$1,0))*IF(OR(F127="L",F127="S",F127="I"),-1,1)</f>
        <v>74.760000000000005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6"/>
        <v>H01452</v>
      </c>
      <c r="AU127" s="599" t="str">
        <f t="shared" si="6"/>
        <v>PCE FRAIS DIVERS</v>
      </c>
      <c r="AV127" s="1030" t="str">
        <f>IFERROR(INDEX(V127:AG127,1,MATCH(Parametres!$B$3,V$1:AG$1,0)-1)*IF(OR(C127="L",C127="S",C127="I"),-1,1),"")</f>
        <v/>
      </c>
      <c r="AW127" s="1030">
        <f t="shared" si="7"/>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4"/>
        <v>H01460</v>
      </c>
      <c r="AK128" s="1030" t="str">
        <f t="shared" si="4"/>
        <v>PCE LOYER INT HYPOTH.</v>
      </c>
      <c r="AL128" s="1030" t="str">
        <f>IFERROR(INDEX(G128:R128,1,MATCH(Parametres!$B$3,G$1:R$1,0)-1)*IF(OR(F128="L",F128="S",F128="I"),-1,1),"")</f>
        <v/>
      </c>
      <c r="AM128" s="1030">
        <f t="shared" si="5"/>
        <v>32500</v>
      </c>
      <c r="AN128" s="1030">
        <f>INDEX(G128:R128,1,MATCH(Parametres!$B$3,G$1:R$1,0))*IF(OR(F128="L",F128="S",F128="I"),-1,1)</f>
        <v>32500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6"/>
        <v>H01460</v>
      </c>
      <c r="AU128" s="599" t="str">
        <f t="shared" si="6"/>
        <v>PCE LOYER INT HYPOTH.</v>
      </c>
      <c r="AV128" s="1030" t="str">
        <f>IFERROR(INDEX(V128:AG128,1,MATCH(Parametres!$B$3,V$1:AG$1,0)-1)*IF(OR(C128="L",C128="S",C128="I"),-1,1),"")</f>
        <v/>
      </c>
      <c r="AW128" s="1030">
        <f t="shared" si="7"/>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4"/>
        <v>H01461</v>
      </c>
      <c r="AK129" s="1030" t="str">
        <f t="shared" si="4"/>
        <v>PCE AMORT AMELIOR  LOC</v>
      </c>
      <c r="AL129" s="1030" t="str">
        <f>IFERROR(INDEX(G129:R129,1,MATCH(Parametres!$B$3,G$1:R$1,0)-1)*IF(OR(F129="L",F129="S",F129="I"),-1,1),"")</f>
        <v/>
      </c>
      <c r="AM129" s="1030">
        <f t="shared" si="5"/>
        <v>148.16</v>
      </c>
      <c r="AN129" s="1030">
        <f>INDEX(G129:R129,1,MATCH(Parametres!$B$3,G$1:R$1,0))*IF(OR(F129="L",F129="S",F129="I"),-1,1)</f>
        <v>148.16</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6"/>
        <v>H01461</v>
      </c>
      <c r="AU129" s="599" t="str">
        <f t="shared" si="6"/>
        <v>PCE AMORT AMELIOR  LOC</v>
      </c>
      <c r="AV129" s="1030" t="str">
        <f>IFERROR(INDEX(V129:AG129,1,MATCH(Parametres!$B$3,V$1:AG$1,0)-1)*IF(OR(C129="L",C129="S",C129="I"),-1,1),"")</f>
        <v/>
      </c>
      <c r="AW129" s="1030">
        <f t="shared" si="7"/>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4"/>
        <v>H01462</v>
      </c>
      <c r="AK130" s="1030" t="str">
        <f t="shared" si="4"/>
        <v>PCE ENTRERIEN PROPRIÉTÉ</v>
      </c>
      <c r="AL130" s="1030" t="str">
        <f>IFERROR(INDEX(G130:R130,1,MATCH(Parametres!$B$3,G$1:R$1,0)-1)*IF(OR(F130="L",F130="S",F130="I"),-1,1),"")</f>
        <v/>
      </c>
      <c r="AM130" s="1030">
        <f t="shared" si="5"/>
        <v>1459.27</v>
      </c>
      <c r="AN130" s="1030">
        <f>INDEX(G130:R130,1,MATCH(Parametres!$B$3,G$1:R$1,0))*IF(OR(F130="L",F130="S",F130="I"),-1,1)</f>
        <v>1459.27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6"/>
        <v>H01462</v>
      </c>
      <c r="AU130" s="599" t="str">
        <f t="shared" si="6"/>
        <v>PCE ENTRERIEN PROPRIÉTÉ</v>
      </c>
      <c r="AV130" s="1030" t="str">
        <f>IFERROR(INDEX(V130:AG130,1,MATCH(Parametres!$B$3,V$1:AG$1,0)-1)*IF(OR(C130="L",C130="S",C130="I"),-1,1),"")</f>
        <v/>
      </c>
      <c r="AW130" s="1030">
        <f t="shared" si="7"/>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4"/>
        <v>H01463</v>
      </c>
      <c r="AK131" s="1030" t="str">
        <f t="shared" si="4"/>
        <v>PCE TAXES PROPRIÉTÉ</v>
      </c>
      <c r="AL131" s="1030" t="str">
        <f>IFERROR(INDEX(G131:R131,1,MATCH(Parametres!$B$3,G$1:R$1,0)-1)*IF(OR(F131="L",F131="S",F131="I"),-1,1),"")</f>
        <v/>
      </c>
      <c r="AM131" s="1030">
        <f t="shared" si="5"/>
        <v>8402.6</v>
      </c>
      <c r="AN131" s="1030">
        <f>INDEX(G131:R131,1,MATCH(Parametres!$B$3,G$1:R$1,0))*IF(OR(F131="L",F131="S",F131="I"),-1,1)</f>
        <v>8402.6</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6"/>
        <v>H01463</v>
      </c>
      <c r="AU131" s="599" t="str">
        <f t="shared" si="6"/>
        <v>PCE TAXES PROPRIÉTÉ</v>
      </c>
      <c r="AV131" s="1030" t="str">
        <f>IFERROR(INDEX(V131:AG131,1,MATCH(Parametres!$B$3,V$1:AG$1,0)-1)*IF(OR(C131="L",C131="S",C131="I"),-1,1),"")</f>
        <v/>
      </c>
      <c r="AW131" s="1030">
        <f t="shared" si="7"/>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K195" si="8">C132</f>
        <v>H01464</v>
      </c>
      <c r="AK132" s="1030" t="str">
        <f t="shared" si="8"/>
        <v>PCE ASSURANCE BATIMENT</v>
      </c>
      <c r="AL132" s="1030" t="str">
        <f>IFERROR(INDEX(G132:R132,1,MATCH(Parametres!$B$3,G$1:R$1,0)-1)*IF(OR(F132="L",F132="S",F132="I"),-1,1),"")</f>
        <v/>
      </c>
      <c r="AM132" s="1030">
        <f t="shared" ref="AM132:AM195" si="9">AN132-N(AL132)</f>
        <v>1184.5999999999999</v>
      </c>
      <c r="AN132" s="1030">
        <f>INDEX(G132:R132,1,MATCH(Parametres!$B$3,G$1:R$1,0))*IF(OR(F132="L",F132="S",F132="I"),-1,1)</f>
        <v>1184.5999999999999</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U195" si="10">C132</f>
        <v>H01464</v>
      </c>
      <c r="AU132" s="599" t="str">
        <f t="shared" si="10"/>
        <v>PCE ASSURANCE BATIMENT</v>
      </c>
      <c r="AV132" s="1030" t="str">
        <f>IFERROR(INDEX(V132:AG132,1,MATCH(Parametres!$B$3,V$1:AG$1,0)-1)*IF(OR(C132="L",C132="S",C132="I"),-1,1),"")</f>
        <v/>
      </c>
      <c r="AW132" s="1030">
        <f t="shared" ref="AW132:AW195" si="11">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8"/>
        <v>H01465</v>
      </c>
      <c r="AK133" s="1030" t="str">
        <f t="shared" si="8"/>
        <v>PCE AMORT BATIMENT</v>
      </c>
      <c r="AL133" s="1030" t="str">
        <f>IFERROR(INDEX(G133:R133,1,MATCH(Parametres!$B$3,G$1:R$1,0)-1)*IF(OR(F133="L",F133="S",F133="I"),-1,1),"")</f>
        <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0"/>
        <v>H01465</v>
      </c>
      <c r="AU133" s="599" t="str">
        <f t="shared" si="10"/>
        <v>PCE AMORT BATIMENT</v>
      </c>
      <c r="AV133" s="1030" t="str">
        <f>IFERROR(INDEX(V133:AG133,1,MATCH(Parametres!$B$3,V$1:AG$1,0)-1)*IF(OR(C133="L",C133="S",C133="I"),-1,1),"")</f>
        <v/>
      </c>
      <c r="AW133" s="1030">
        <f t="shared" si="11"/>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8"/>
        <v>H01468</v>
      </c>
      <c r="AK134" s="1030" t="str">
        <f t="shared" si="8"/>
        <v>PCE TAXES AFFAIRES&amp;AUTRES</v>
      </c>
      <c r="AL134" s="1030" t="str">
        <f>IFERROR(INDEX(G134:R134,1,MATCH(Parametres!$B$3,G$1:R$1,0)-1)*IF(OR(F134="L",F134="S",F134="I"),-1,1),"")</f>
        <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0"/>
        <v>H01468</v>
      </c>
      <c r="AU134" s="599" t="str">
        <f t="shared" si="10"/>
        <v>PCE TAXES AFFAIRES&amp;AUTRES</v>
      </c>
      <c r="AV134" s="1030" t="str">
        <f>IFERROR(INDEX(V134:AG134,1,MATCH(Parametres!$B$3,V$1:AG$1,0)-1)*IF(OR(C134="L",C134="S",C134="I"),-1,1),"")</f>
        <v/>
      </c>
      <c r="AW134" s="1030">
        <f t="shared" si="11"/>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8"/>
        <v>H01469</v>
      </c>
      <c r="AK135" s="1030" t="str">
        <f t="shared" si="8"/>
        <v>PCE AMORT EQUIP &amp; INSTALL</v>
      </c>
      <c r="AL135" s="1030" t="str">
        <f>IFERROR(INDEX(G135:R135,1,MATCH(Parametres!$B$3,G$1:R$1,0)-1)*IF(OR(F135="L",F135="S",F135="I"),-1,1),"")</f>
        <v/>
      </c>
      <c r="AM135" s="1030">
        <f t="shared" si="9"/>
        <v>876.71</v>
      </c>
      <c r="AN135" s="1030">
        <f>INDEX(G135:R135,1,MATCH(Parametres!$B$3,G$1:R$1,0))*IF(OR(F135="L",F135="S",F135="I"),-1,1)</f>
        <v>876.71</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0"/>
        <v>H01469</v>
      </c>
      <c r="AU135" s="599" t="str">
        <f t="shared" si="10"/>
        <v>PCE AMORT EQUIP &amp; INSTALL</v>
      </c>
      <c r="AV135" s="1030" t="str">
        <f>IFERROR(INDEX(V135:AG135,1,MATCH(Parametres!$B$3,V$1:AG$1,0)-1)*IF(OR(C135="L",C135="S",C135="I"),-1,1),"")</f>
        <v/>
      </c>
      <c r="AW135" s="1030">
        <f t="shared" si="11"/>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8"/>
        <v>H01470</v>
      </c>
      <c r="AK136" s="1030" t="str">
        <f t="shared" si="8"/>
        <v>PCE ASSURANCE GENERALE</v>
      </c>
      <c r="AL136" s="1030" t="str">
        <f>IFERROR(INDEX(G136:R136,1,MATCH(Parametres!$B$3,G$1:R$1,0)-1)*IF(OR(F136="L",F136="S",F136="I"),-1,1),"")</f>
        <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0"/>
        <v>H01470</v>
      </c>
      <c r="AU136" s="599" t="str">
        <f t="shared" si="10"/>
        <v>PCE ASSURANCE GENERALE</v>
      </c>
      <c r="AV136" s="1030" t="str">
        <f>IFERROR(INDEX(V136:AG136,1,MATCH(Parametres!$B$3,V$1:AG$1,0)-1)*IF(OR(C136="L",C136="S",C136="I"),-1,1),"")</f>
        <v/>
      </c>
      <c r="AW136" s="1030">
        <f t="shared" si="11"/>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8"/>
        <v>H01474</v>
      </c>
      <c r="AK137" s="1030" t="str">
        <f t="shared" si="8"/>
        <v>PCE EAU/ELECT/CHAUFFAGE</v>
      </c>
      <c r="AL137" s="1030" t="str">
        <f>IFERROR(INDEX(G137:R137,1,MATCH(Parametres!$B$3,G$1:R$1,0)-1)*IF(OR(F137="L",F137="S",F137="I"),-1,1),"")</f>
        <v/>
      </c>
      <c r="AM137" s="1030">
        <f t="shared" si="9"/>
        <v>1906.36</v>
      </c>
      <c r="AN137" s="1030">
        <f>INDEX(G137:R137,1,MATCH(Parametres!$B$3,G$1:R$1,0))*IF(OR(F137="L",F137="S",F137="I"),-1,1)</f>
        <v>1906.36</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0"/>
        <v>H01474</v>
      </c>
      <c r="AU137" s="599" t="str">
        <f t="shared" si="10"/>
        <v>PCE EAU/ELECT/CHAUFFAGE</v>
      </c>
      <c r="AV137" s="1030" t="str">
        <f>IFERROR(INDEX(V137:AG137,1,MATCH(Parametres!$B$3,V$1:AG$1,0)-1)*IF(OR(C137="L",C137="S",C137="I"),-1,1),"")</f>
        <v/>
      </c>
      <c r="AW137" s="1030">
        <f t="shared" si="11"/>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8"/>
        <v>H01476</v>
      </c>
      <c r="AK138" s="1030" t="str">
        <f t="shared" si="8"/>
        <v>PCE VERIF. COMPTABLE</v>
      </c>
      <c r="AL138" s="1030" t="str">
        <f>IFERROR(INDEX(G138:R138,1,MATCH(Parametres!$B$3,G$1:R$1,0)-1)*IF(OR(F138="L",F138="S",F138="I"),-1,1),"")</f>
        <v/>
      </c>
      <c r="AM138" s="1030">
        <f t="shared" si="9"/>
        <v>1000</v>
      </c>
      <c r="AN138" s="1030">
        <f>INDEX(G138:R138,1,MATCH(Parametres!$B$3,G$1:R$1,0))*IF(OR(F138="L",F138="S",F138="I"),-1,1)</f>
        <v>1000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0"/>
        <v>H01476</v>
      </c>
      <c r="AU138" s="599" t="str">
        <f t="shared" si="10"/>
        <v>PCE VERIF. COMPTABLE</v>
      </c>
      <c r="AV138" s="1030" t="str">
        <f>IFERROR(INDEX(V138:AG138,1,MATCH(Parametres!$B$3,V$1:AG$1,0)-1)*IF(OR(C138="L",C138="S",C138="I"),-1,1),"")</f>
        <v/>
      </c>
      <c r="AW138" s="1030">
        <f t="shared" si="11"/>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8"/>
        <v>H01477</v>
      </c>
      <c r="AK139" s="1030" t="str">
        <f t="shared" si="8"/>
        <v>PCE COTISATIONS SOUSCRIP.</v>
      </c>
      <c r="AL139" s="1030" t="str">
        <f>IFERROR(INDEX(G139:R139,1,MATCH(Parametres!$B$3,G$1:R$1,0)-1)*IF(OR(F139="L",F139="S",F139="I"),-1,1),"")</f>
        <v/>
      </c>
      <c r="AM139" s="1030">
        <f t="shared" si="9"/>
        <v>486.86</v>
      </c>
      <c r="AN139" s="1030">
        <f>INDEX(G139:R139,1,MATCH(Parametres!$B$3,G$1:R$1,0))*IF(OR(F139="L",F139="S",F139="I"),-1,1)</f>
        <v>486.86</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0"/>
        <v>H01477</v>
      </c>
      <c r="AU139" s="599" t="str">
        <f t="shared" si="10"/>
        <v>PCE COTISATIONS SOUSCRIP.</v>
      </c>
      <c r="AV139" s="1030" t="str">
        <f>IFERROR(INDEX(V139:AG139,1,MATCH(Parametres!$B$3,V$1:AG$1,0)-1)*IF(OR(C139="L",C139="S",C139="I"),-1,1),"")</f>
        <v/>
      </c>
      <c r="AW139" s="1030">
        <f t="shared" si="11"/>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8"/>
        <v>H01479</v>
      </c>
      <c r="AK140" s="1030" t="str">
        <f t="shared" si="8"/>
        <v>PCE DONATIONS</v>
      </c>
      <c r="AL140" s="1030" t="str">
        <f>IFERROR(INDEX(G140:R140,1,MATCH(Parametres!$B$3,G$1:R$1,0)-1)*IF(OR(F140="L",F140="S",F140="I"),-1,1),"")</f>
        <v/>
      </c>
      <c r="AM140" s="1030">
        <f t="shared" si="9"/>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0"/>
        <v>H01479</v>
      </c>
      <c r="AU140" s="599" t="str">
        <f t="shared" si="10"/>
        <v>PCE DONATIONS</v>
      </c>
      <c r="AV140" s="1030" t="str">
        <f>IFERROR(INDEX(V140:AG140,1,MATCH(Parametres!$B$3,V$1:AG$1,0)-1)*IF(OR(C140="L",C140="S",C140="I"),-1,1),"")</f>
        <v/>
      </c>
      <c r="AW140" s="1030">
        <f t="shared" si="11"/>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8"/>
        <v>H01480</v>
      </c>
      <c r="AK141" s="1030" t="str">
        <f t="shared" si="8"/>
        <v>PCE IMMATRIC &amp; PERMIS</v>
      </c>
      <c r="AL141" s="1030" t="str">
        <f>IFERROR(INDEX(G141:R141,1,MATCH(Parametres!$B$3,G$1:R$1,0)-1)*IF(OR(F141="L",F141="S",F141="I"),-1,1),"")</f>
        <v/>
      </c>
      <c r="AM141" s="1030">
        <f t="shared" si="9"/>
        <v>0</v>
      </c>
      <c r="AN141" s="1030">
        <f>INDEX(G141:R141,1,MATCH(Parametres!$B$3,G$1:R$1,0))*IF(OR(F141="L",F141="S",F141="I"),-1,1)</f>
        <v>0</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0"/>
        <v>H01480</v>
      </c>
      <c r="AU141" s="599" t="str">
        <f t="shared" si="10"/>
        <v>PCE IMMATRIC &amp; PERMIS</v>
      </c>
      <c r="AV141" s="1030" t="str">
        <f>IFERROR(INDEX(V141:AG141,1,MATCH(Parametres!$B$3,V$1:AG$1,0)-1)*IF(OR(C141="L",C141="S",C141="I"),-1,1),"")</f>
        <v/>
      </c>
      <c r="AW141" s="1030">
        <f t="shared" si="11"/>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8"/>
        <v>H01520</v>
      </c>
      <c r="AK142" s="1030" t="str">
        <f t="shared" si="8"/>
        <v>SVC SALAIRES-DIR-DEPT</v>
      </c>
      <c r="AL142" s="1030" t="str">
        <f>IFERROR(INDEX(G142:R142,1,MATCH(Parametres!$B$3,G$1:R$1,0)-1)*IF(OR(F142="L",F142="S",F142="I"),-1,1),"")</f>
        <v/>
      </c>
      <c r="AM142" s="1030">
        <f t="shared" si="9"/>
        <v>3395.06</v>
      </c>
      <c r="AN142" s="1030">
        <f>INDEX(G142:R142,1,MATCH(Parametres!$B$3,G$1:R$1,0))*IF(OR(F142="L",F142="S",F142="I"),-1,1)</f>
        <v>3395.06</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0"/>
        <v>H01520</v>
      </c>
      <c r="AU142" s="599" t="str">
        <f t="shared" si="10"/>
        <v>SVC SALAIRES-DIR-DEPT</v>
      </c>
      <c r="AV142" s="1030" t="str">
        <f>IFERROR(INDEX(V142:AG142,1,MATCH(Parametres!$B$3,V$1:AG$1,0)-1)*IF(OR(C142="L",C142="S",C142="I"),-1,1),"")</f>
        <v/>
      </c>
      <c r="AW142" s="1030">
        <f t="shared" si="11"/>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8"/>
        <v>H01521</v>
      </c>
      <c r="AK143" s="1030" t="str">
        <f t="shared" si="8"/>
        <v>SVC SALAIRES -AUTRES</v>
      </c>
      <c r="AL143" s="1030" t="str">
        <f>IFERROR(INDEX(G143:R143,1,MATCH(Parametres!$B$3,G$1:R$1,0)-1)*IF(OR(F143="L",F143="S",F143="I"),-1,1),"")</f>
        <v/>
      </c>
      <c r="AM143" s="1030">
        <f t="shared" si="9"/>
        <v>39272.980000000003</v>
      </c>
      <c r="AN143" s="1030">
        <f>INDEX(G143:R143,1,MATCH(Parametres!$B$3,G$1:R$1,0))*IF(OR(F143="L",F143="S",F143="I"),-1,1)</f>
        <v>39272.980000000003</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0"/>
        <v>H01521</v>
      </c>
      <c r="AU143" s="599" t="str">
        <f t="shared" si="10"/>
        <v>SVC SALAIRES -AUTRES</v>
      </c>
      <c r="AV143" s="1030" t="str">
        <f>IFERROR(INDEX(V143:AG143,1,MATCH(Parametres!$B$3,V$1:AG$1,0)-1)*IF(OR(C143="L",C143="S",C143="I"),-1,1),"")</f>
        <v/>
      </c>
      <c r="AW143" s="1030">
        <f t="shared" si="11"/>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8"/>
        <v>H01523</v>
      </c>
      <c r="AK144" s="1030" t="str">
        <f t="shared" si="8"/>
        <v>SVC ABSENCES&amp;CONGES PAYES</v>
      </c>
      <c r="AL144" s="1030" t="str">
        <f>IFERROR(INDEX(G144:R144,1,MATCH(Parametres!$B$3,G$1:R$1,0)-1)*IF(OR(F144="L",F144="S",F144="I"),-1,1),"")</f>
        <v/>
      </c>
      <c r="AM144" s="1030">
        <f t="shared" si="9"/>
        <v>19265.509999999998</v>
      </c>
      <c r="AN144" s="1030">
        <f>INDEX(G144:R144,1,MATCH(Parametres!$B$3,G$1:R$1,0))*IF(OR(F144="L",F144="S",F144="I"),-1,1)</f>
        <v>19265.509999999998</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0"/>
        <v>H01523</v>
      </c>
      <c r="AU144" s="599" t="str">
        <f t="shared" si="10"/>
        <v>SVC ABSENCES&amp;CONGES PAYES</v>
      </c>
      <c r="AV144" s="1030" t="str">
        <f>IFERROR(INDEX(V144:AG144,1,MATCH(Parametres!$B$3,V$1:AG$1,0)-1)*IF(OR(C144="L",C144="S",C144="I"),-1,1),"")</f>
        <v/>
      </c>
      <c r="AW144" s="1030">
        <f t="shared" si="11"/>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8"/>
        <v>H01524</v>
      </c>
      <c r="AK145" s="1030" t="str">
        <f t="shared" si="8"/>
        <v>SVC CSST</v>
      </c>
      <c r="AL145" s="1030" t="str">
        <f>IFERROR(INDEX(G145:R145,1,MATCH(Parametres!$B$3,G$1:R$1,0)-1)*IF(OR(F145="L",F145="S",F145="I"),-1,1),"")</f>
        <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0"/>
        <v>H01524</v>
      </c>
      <c r="AU145" s="599" t="str">
        <f t="shared" si="10"/>
        <v>SVC CSST</v>
      </c>
      <c r="AV145" s="1030" t="str">
        <f>IFERROR(INDEX(V145:AG145,1,MATCH(Parametres!$B$3,V$1:AG$1,0)-1)*IF(OR(C145="L",C145="S",C145="I"),-1,1),"")</f>
        <v/>
      </c>
      <c r="AW145" s="1030">
        <f t="shared" si="11"/>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8"/>
        <v>H01525</v>
      </c>
      <c r="AK146" s="1030" t="str">
        <f t="shared" si="8"/>
        <v>SVC ASSURANCE-CHOMAGE</v>
      </c>
      <c r="AL146" s="1030" t="str">
        <f>IFERROR(INDEX(G146:R146,1,MATCH(Parametres!$B$3,G$1:R$1,0)-1)*IF(OR(F146="L",F146="S",F146="I"),-1,1),"")</f>
        <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0"/>
        <v>H01525</v>
      </c>
      <c r="AU146" s="599" t="str">
        <f t="shared" si="10"/>
        <v>SVC ASSURANCE-CHOMAGE</v>
      </c>
      <c r="AV146" s="1030" t="str">
        <f>IFERROR(INDEX(V146:AG146,1,MATCH(Parametres!$B$3,V$1:AG$1,0)-1)*IF(OR(C146="L",C146="S",C146="I"),-1,1),"")</f>
        <v/>
      </c>
      <c r="AW146" s="1030">
        <f t="shared" si="11"/>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8"/>
        <v>H01526</v>
      </c>
      <c r="AK147" s="1030" t="str">
        <f t="shared" si="8"/>
        <v>SVC ASSURANCE GROUPE</v>
      </c>
      <c r="AL147" s="1030" t="str">
        <f>IFERROR(INDEX(G147:R147,1,MATCH(Parametres!$B$3,G$1:R$1,0)-1)*IF(OR(F147="L",F147="S",F147="I"),-1,1),"")</f>
        <v/>
      </c>
      <c r="AM147" s="1030">
        <f t="shared" si="9"/>
        <v>1258.29</v>
      </c>
      <c r="AN147" s="1030">
        <f>INDEX(G147:R147,1,MATCH(Parametres!$B$3,G$1:R$1,0))*IF(OR(F147="L",F147="S",F147="I"),-1,1)</f>
        <v>1258.29</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0"/>
        <v>H01526</v>
      </c>
      <c r="AU147" s="599" t="str">
        <f t="shared" si="10"/>
        <v>SVC ASSURANCE GROUPE</v>
      </c>
      <c r="AV147" s="1030" t="str">
        <f>IFERROR(INDEX(V147:AG147,1,MATCH(Parametres!$B$3,V$1:AG$1,0)-1)*IF(OR(C147="L",C147="S",C147="I"),-1,1),"")</f>
        <v/>
      </c>
      <c r="AW147" s="1030">
        <f t="shared" si="11"/>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8"/>
        <v>H01527</v>
      </c>
      <c r="AK148" s="1030" t="str">
        <f t="shared" si="8"/>
        <v>SVC AUTRES AV. SOCIAUX</v>
      </c>
      <c r="AL148" s="1030" t="str">
        <f>IFERROR(INDEX(G148:R148,1,MATCH(Parametres!$B$3,G$1:R$1,0)-1)*IF(OR(F148="L",F148="S",F148="I"),-1,1),"")</f>
        <v/>
      </c>
      <c r="AM148" s="1030">
        <f t="shared" si="9"/>
        <v>16273.09</v>
      </c>
      <c r="AN148" s="1030">
        <f>INDEX(G148:R148,1,MATCH(Parametres!$B$3,G$1:R$1,0))*IF(OR(F148="L",F148="S",F148="I"),-1,1)</f>
        <v>16273.09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0"/>
        <v>H01527</v>
      </c>
      <c r="AU148" s="599" t="str">
        <f t="shared" si="10"/>
        <v>SVC AUTRES AV. SOCIAUX</v>
      </c>
      <c r="AV148" s="1030" t="str">
        <f>IFERROR(INDEX(V148:AG148,1,MATCH(Parametres!$B$3,V$1:AG$1,0)-1)*IF(OR(C148="L",C148="S",C148="I"),-1,1),"")</f>
        <v/>
      </c>
      <c r="AW148" s="1030">
        <f t="shared" si="11"/>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8"/>
        <v>H01528</v>
      </c>
      <c r="AK149" s="1030" t="str">
        <f t="shared" si="8"/>
        <v>SVC FORMATION</v>
      </c>
      <c r="AL149" s="1030" t="str">
        <f>IFERROR(INDEX(G149:R149,1,MATCH(Parametres!$B$3,G$1:R$1,0)-1)*IF(OR(F149="L",F149="S",F149="I"),-1,1),"")</f>
        <v/>
      </c>
      <c r="AM149" s="1030">
        <f t="shared" si="9"/>
        <v>775</v>
      </c>
      <c r="AN149" s="1030">
        <f>INDEX(G149:R149,1,MATCH(Parametres!$B$3,G$1:R$1,0))*IF(OR(F149="L",F149="S",F149="I"),-1,1)</f>
        <v>775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0"/>
        <v>H01528</v>
      </c>
      <c r="AU149" s="599" t="str">
        <f t="shared" si="10"/>
        <v>SVC FORMATION</v>
      </c>
      <c r="AV149" s="1030" t="str">
        <f>IFERROR(INDEX(V149:AG149,1,MATCH(Parametres!$B$3,V$1:AG$1,0)-1)*IF(OR(C149="L",C149="S",C149="I"),-1,1),"")</f>
        <v/>
      </c>
      <c r="AW149" s="1030">
        <f t="shared" si="11"/>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8"/>
        <v>H01530</v>
      </c>
      <c r="AK150" s="1030" t="str">
        <f t="shared" si="8"/>
        <v>SVC PAPETRIE-FOUR. BUREAU</v>
      </c>
      <c r="AL150" s="1030" t="str">
        <f>IFERROR(INDEX(G150:R150,1,MATCH(Parametres!$B$3,G$1:R$1,0)-1)*IF(OR(F150="L",F150="S",F150="I"),-1,1),"")</f>
        <v/>
      </c>
      <c r="AM150" s="1030">
        <f t="shared" si="9"/>
        <v>1335.26</v>
      </c>
      <c r="AN150" s="1030">
        <f>INDEX(G150:R150,1,MATCH(Parametres!$B$3,G$1:R$1,0))*IF(OR(F150="L",F150="S",F150="I"),-1,1)</f>
        <v>1335.26</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0"/>
        <v>H01530</v>
      </c>
      <c r="AU150" s="599" t="str">
        <f t="shared" si="10"/>
        <v>SVC PAPETRIE-FOUR. BUREAU</v>
      </c>
      <c r="AV150" s="1030" t="str">
        <f>IFERROR(INDEX(V150:AG150,1,MATCH(Parametres!$B$3,V$1:AG$1,0)-1)*IF(OR(C150="L",C150="S",C150="I"),-1,1),"")</f>
        <v/>
      </c>
      <c r="AW150" s="1030">
        <f t="shared" si="11"/>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8"/>
        <v>H01531</v>
      </c>
      <c r="AK151" s="1030" t="str">
        <f t="shared" si="8"/>
        <v>SVC OUTIL-FOUR.DIVERS</v>
      </c>
      <c r="AL151" s="1030" t="str">
        <f>IFERROR(INDEX(G151:R151,1,MATCH(Parametres!$B$3,G$1:R$1,0)-1)*IF(OR(F151="L",F151="S",F151="I"),-1,1),"")</f>
        <v/>
      </c>
      <c r="AM151" s="1030">
        <f t="shared" si="9"/>
        <v>5444.81</v>
      </c>
      <c r="AN151" s="1030">
        <f>INDEX(G151:R151,1,MATCH(Parametres!$B$3,G$1:R$1,0))*IF(OR(F151="L",F151="S",F151="I"),-1,1)</f>
        <v>5444.81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0"/>
        <v>H01531</v>
      </c>
      <c r="AU151" s="599" t="str">
        <f t="shared" si="10"/>
        <v>SVC OUTIL-FOUR.DIVERS</v>
      </c>
      <c r="AV151" s="1030" t="str">
        <f>IFERROR(INDEX(V151:AG151,1,MATCH(Parametres!$B$3,V$1:AG$1,0)-1)*IF(OR(C151="L",C151="S",C151="I"),-1,1),"")</f>
        <v/>
      </c>
      <c r="AW151" s="1030">
        <f t="shared" si="11"/>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8"/>
        <v>H01534</v>
      </c>
      <c r="AK152" s="1030" t="str">
        <f t="shared" si="8"/>
        <v>SVC UNIFORMES-SALOPETTES</v>
      </c>
      <c r="AL152" s="1030" t="str">
        <f>IFERROR(INDEX(G152:R152,1,MATCH(Parametres!$B$3,G$1:R$1,0)-1)*IF(OR(F152="L",F152="S",F152="I"),-1,1),"")</f>
        <v/>
      </c>
      <c r="AM152" s="1030">
        <f t="shared" si="9"/>
        <v>1632.83</v>
      </c>
      <c r="AN152" s="1030">
        <f>INDEX(G152:R152,1,MATCH(Parametres!$B$3,G$1:R$1,0))*IF(OR(F152="L",F152="S",F152="I"),-1,1)</f>
        <v>1632.83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0"/>
        <v>H01534</v>
      </c>
      <c r="AU152" s="599" t="str">
        <f t="shared" si="10"/>
        <v>SVC UNIFORMES-SALOPETTES</v>
      </c>
      <c r="AV152" s="1030" t="str">
        <f>IFERROR(INDEX(V152:AG152,1,MATCH(Parametres!$B$3,V$1:AG$1,0)-1)*IF(OR(C152="L",C152="S",C152="I"),-1,1),"")</f>
        <v/>
      </c>
      <c r="AW152" s="1030">
        <f t="shared" si="11"/>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8"/>
        <v>H01535</v>
      </c>
      <c r="AK153" s="1030" t="str">
        <f t="shared" si="8"/>
        <v>SVC CONCIERGE-NETTOYAGE</v>
      </c>
      <c r="AL153" s="1030" t="str">
        <f>IFERROR(INDEX(G153:R153,1,MATCH(Parametres!$B$3,G$1:R$1,0)-1)*IF(OR(F153="L",F153="S",F153="I"),-1,1),"")</f>
        <v/>
      </c>
      <c r="AM153" s="1030">
        <f t="shared" si="9"/>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0"/>
        <v>H01535</v>
      </c>
      <c r="AU153" s="599" t="str">
        <f t="shared" si="10"/>
        <v>SVC CONCIERGE-NETTOYAGE</v>
      </c>
      <c r="AV153" s="1030" t="str">
        <f>IFERROR(INDEX(V153:AG153,1,MATCH(Parametres!$B$3,V$1:AG$1,0)-1)*IF(OR(C153="L",C153="S",C153="I"),-1,1),"")</f>
        <v/>
      </c>
      <c r="AW153" s="1030">
        <f t="shared" si="11"/>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8"/>
        <v>H01537</v>
      </c>
      <c r="AK154" s="1030" t="str">
        <f t="shared" si="8"/>
        <v>SVC PRATIQUES COURTOISIE</v>
      </c>
      <c r="AL154" s="1030" t="str">
        <f>IFERROR(INDEX(G154:R154,1,MATCH(Parametres!$B$3,G$1:R$1,0)-1)*IF(OR(F154="L",F154="S",F154="I"),-1,1),"")</f>
        <v/>
      </c>
      <c r="AM154" s="1030">
        <f t="shared" si="9"/>
        <v>3284.61</v>
      </c>
      <c r="AN154" s="1030">
        <f>INDEX(G154:R154,1,MATCH(Parametres!$B$3,G$1:R$1,0))*IF(OR(F154="L",F154="S",F154="I"),-1,1)</f>
        <v>3284.61</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0"/>
        <v>H01537</v>
      </c>
      <c r="AU154" s="599" t="str">
        <f t="shared" si="10"/>
        <v>SVC PRATIQUES COURTOISIE</v>
      </c>
      <c r="AV154" s="1030" t="str">
        <f>IFERROR(INDEX(V154:AG154,1,MATCH(Parametres!$B$3,V$1:AG$1,0)-1)*IF(OR(C154="L",C154="S",C154="I"),-1,1),"")</f>
        <v/>
      </c>
      <c r="AW154" s="1030">
        <f t="shared" si="11"/>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8"/>
        <v>H01538</v>
      </c>
      <c r="AK155" s="1030" t="str">
        <f t="shared" si="8"/>
        <v>SVC PUB-PROMOTION-SVC</v>
      </c>
      <c r="AL155" s="1030" t="str">
        <f>IFERROR(INDEX(G155:R155,1,MATCH(Parametres!$B$3,G$1:R$1,0)-1)*IF(OR(F155="L",F155="S",F155="I"),-1,1),"")</f>
        <v/>
      </c>
      <c r="AM155" s="1030">
        <f t="shared" si="9"/>
        <v>0</v>
      </c>
      <c r="AN155" s="1030">
        <f>INDEX(G155:R155,1,MATCH(Parametres!$B$3,G$1:R$1,0))*IF(OR(F155="L",F155="S",F155="I"),-1,1)</f>
        <v>0</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0"/>
        <v>H01538</v>
      </c>
      <c r="AU155" s="599" t="str">
        <f t="shared" si="10"/>
        <v>SVC PUB-PROMOTION-SVC</v>
      </c>
      <c r="AV155" s="1030" t="str">
        <f>IFERROR(INDEX(V155:AG155,1,MATCH(Parametres!$B$3,V$1:AG$1,0)-1)*IF(OR(C155="L",C155="S",C155="I"),-1,1),"")</f>
        <v/>
      </c>
      <c r="AW155" s="1030">
        <f t="shared" si="11"/>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8"/>
        <v>H01539</v>
      </c>
      <c r="AK156" s="1030" t="str">
        <f t="shared" si="8"/>
        <v>SVC DEDUCTIBLE</v>
      </c>
      <c r="AL156" s="1030" t="str">
        <f>IFERROR(INDEX(G156:R156,1,MATCH(Parametres!$B$3,G$1:R$1,0)-1)*IF(OR(F156="L",F156="S",F156="I"),-1,1),"")</f>
        <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0"/>
        <v>H01539</v>
      </c>
      <c r="AU156" s="599" t="str">
        <f t="shared" si="10"/>
        <v>SVC DEDUCTIBLE</v>
      </c>
      <c r="AV156" s="1030" t="str">
        <f>IFERROR(INDEX(V156:AG156,1,MATCH(Parametres!$B$3,V$1:AG$1,0)-1)*IF(OR(C156="L",C156="S",C156="I"),-1,1),"")</f>
        <v/>
      </c>
      <c r="AW156" s="1030">
        <f t="shared" si="11"/>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8"/>
        <v>H01540</v>
      </c>
      <c r="AK157" s="1030" t="str">
        <f t="shared" si="8"/>
        <v>SVC ENT EQUIPEMENT</v>
      </c>
      <c r="AL157" s="1030" t="str">
        <f>IFERROR(INDEX(G157:R157,1,MATCH(Parametres!$B$3,G$1:R$1,0)-1)*IF(OR(F157="L",F157="S",F157="I"),-1,1),"")</f>
        <v/>
      </c>
      <c r="AM157" s="1030">
        <f t="shared" si="9"/>
        <v>0</v>
      </c>
      <c r="AN157" s="1030">
        <f>INDEX(G157:R157,1,MATCH(Parametres!$B$3,G$1:R$1,0))*IF(OR(F157="L",F157="S",F157="I"),-1,1)</f>
        <v>0</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0"/>
        <v>H01540</v>
      </c>
      <c r="AU157" s="599" t="str">
        <f t="shared" si="10"/>
        <v>SVC ENT EQUIPEMENT</v>
      </c>
      <c r="AV157" s="1030" t="str">
        <f>IFERROR(INDEX(V157:AG157,1,MATCH(Parametres!$B$3,V$1:AG$1,0)-1)*IF(OR(C157="L",C157="S",C157="I"),-1,1),"")</f>
        <v/>
      </c>
      <c r="AW157" s="1030">
        <f t="shared" si="11"/>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8"/>
        <v>H01541</v>
      </c>
      <c r="AK158" s="1030" t="str">
        <f t="shared" si="8"/>
        <v>SVC VEH DE LOC SERVITUDE</v>
      </c>
      <c r="AL158" s="1030" t="str">
        <f>IFERROR(INDEX(G158:R158,1,MATCH(Parametres!$B$3,G$1:R$1,0)-1)*IF(OR(F158="L",F158="S",F158="I"),-1,1),"")</f>
        <v/>
      </c>
      <c r="AM158" s="1030">
        <f t="shared" si="9"/>
        <v>-8160.32</v>
      </c>
      <c r="AN158" s="1030">
        <f>INDEX(G158:R158,1,MATCH(Parametres!$B$3,G$1:R$1,0))*IF(OR(F158="L",F158="S",F158="I"),-1,1)</f>
        <v>-8160.32</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0"/>
        <v>H01541</v>
      </c>
      <c r="AU158" s="599" t="str">
        <f t="shared" si="10"/>
        <v>SVC VEH DE LOC SERVITUDE</v>
      </c>
      <c r="AV158" s="1030" t="str">
        <f>IFERROR(INDEX(V158:AG158,1,MATCH(Parametres!$B$3,V$1:AG$1,0)-1)*IF(OR(C158="L",C158="S",C158="I"),-1,1),"")</f>
        <v/>
      </c>
      <c r="AW158" s="1030">
        <f t="shared" si="11"/>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8"/>
        <v>H01542</v>
      </c>
      <c r="AK159" s="1030" t="str">
        <f t="shared" si="8"/>
        <v>SVC ENT EQUIPMENT</v>
      </c>
      <c r="AL159" s="1030" t="str">
        <f>IFERROR(INDEX(G159:R159,1,MATCH(Parametres!$B$3,G$1:R$1,0)-1)*IF(OR(F159="L",F159="S",F159="I"),-1,1),"")</f>
        <v/>
      </c>
      <c r="AM159" s="1030">
        <f t="shared" si="9"/>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0"/>
        <v>H01542</v>
      </c>
      <c r="AU159" s="599" t="str">
        <f t="shared" si="10"/>
        <v>SVC ENT EQUIPMENT</v>
      </c>
      <c r="AV159" s="1030" t="str">
        <f>IFERROR(INDEX(V159:AG159,1,MATCH(Parametres!$B$3,V$1:AG$1,0)-1)*IF(OR(C159="L",C159="S",C159="I"),-1,1),"")</f>
        <v/>
      </c>
      <c r="AW159" s="1030">
        <f t="shared" si="11"/>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8"/>
        <v>H01543</v>
      </c>
      <c r="AK160" s="1030" t="str">
        <f t="shared" si="8"/>
        <v>SVC LOCATION EQUIPEMENT</v>
      </c>
      <c r="AL160" s="1030" t="str">
        <f>IFERROR(INDEX(G160:R160,1,MATCH(Parametres!$B$3,G$1:R$1,0)-1)*IF(OR(F160="L",F160="S",F160="I"),-1,1),"")</f>
        <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0"/>
        <v>H01543</v>
      </c>
      <c r="AU160" s="599" t="str">
        <f t="shared" si="10"/>
        <v>SVC LOCATION EQUIPEMENT</v>
      </c>
      <c r="AV160" s="1030" t="str">
        <f>IFERROR(INDEX(V160:AG160,1,MATCH(Parametres!$B$3,V$1:AG$1,0)-1)*IF(OR(C160="L",C160="S",C160="I"),-1,1),"")</f>
        <v/>
      </c>
      <c r="AW160" s="1030">
        <f t="shared" si="11"/>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8"/>
        <v>H01544</v>
      </c>
      <c r="AK161" s="1030" t="str">
        <f t="shared" si="8"/>
        <v>SVC TRAITEMENT DES DONNEE</v>
      </c>
      <c r="AL161" s="1030" t="str">
        <f>IFERROR(INDEX(G161:R161,1,MATCH(Parametres!$B$3,G$1:R$1,0)-1)*IF(OR(F161="L",F161="S",F161="I"),-1,1),"")</f>
        <v/>
      </c>
      <c r="AM161" s="1030">
        <f t="shared" si="9"/>
        <v>1698.71</v>
      </c>
      <c r="AN161" s="1030">
        <f>INDEX(G161:R161,1,MATCH(Parametres!$B$3,G$1:R$1,0))*IF(OR(F161="L",F161="S",F161="I"),-1,1)</f>
        <v>1698.71</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0"/>
        <v>H01544</v>
      </c>
      <c r="AU161" s="599" t="str">
        <f t="shared" si="10"/>
        <v>SVC TRAITEMENT DES DONNEE</v>
      </c>
      <c r="AV161" s="1030" t="str">
        <f>IFERROR(INDEX(V161:AG161,1,MATCH(Parametres!$B$3,V$1:AG$1,0)-1)*IF(OR(C161="L",C161="S",C161="I"),-1,1),"")</f>
        <v/>
      </c>
      <c r="AW161" s="1030">
        <f t="shared" si="11"/>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8"/>
        <v>H01545</v>
      </c>
      <c r="AK162" s="1030" t="str">
        <f t="shared" si="8"/>
        <v>SVC FRAIS REP/REPAS (80%)</v>
      </c>
      <c r="AL162" s="1030" t="str">
        <f>IFERROR(INDEX(G162:R162,1,MATCH(Parametres!$B$3,G$1:R$1,0)-1)*IF(OR(F162="L",F162="S",F162="I"),-1,1),"")</f>
        <v/>
      </c>
      <c r="AM162" s="1030">
        <f t="shared" si="9"/>
        <v>2099.63</v>
      </c>
      <c r="AN162" s="1030">
        <f>INDEX(G162:R162,1,MATCH(Parametres!$B$3,G$1:R$1,0))*IF(OR(F162="L",F162="S",F162="I"),-1,1)</f>
        <v>2099.63</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0"/>
        <v>H01545</v>
      </c>
      <c r="AU162" s="599" t="str">
        <f t="shared" si="10"/>
        <v>SVC FRAIS REP/REPAS (80%)</v>
      </c>
      <c r="AV162" s="1030" t="str">
        <f>IFERROR(INDEX(V162:AG162,1,MATCH(Parametres!$B$3,V$1:AG$1,0)-1)*IF(OR(C162="L",C162="S",C162="I"),-1,1),"")</f>
        <v/>
      </c>
      <c r="AW162" s="1030">
        <f t="shared" si="11"/>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8"/>
        <v>H01546</v>
      </c>
      <c r="AK163" s="1030" t="str">
        <f t="shared" si="8"/>
        <v>SVC DEPLACEMENT-REPRESENT</v>
      </c>
      <c r="AL163" s="1030" t="str">
        <f>IFERROR(INDEX(G163:R163,1,MATCH(Parametres!$B$3,G$1:R$1,0)-1)*IF(OR(F163="L",F163="S",F163="I"),-1,1),"")</f>
        <v/>
      </c>
      <c r="AM163" s="1030">
        <f t="shared" si="9"/>
        <v>0</v>
      </c>
      <c r="AN163" s="1030">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0"/>
        <v>H01546</v>
      </c>
      <c r="AU163" s="599" t="str">
        <f t="shared" si="10"/>
        <v>SVC DEPLACEMENT-REPRESENT</v>
      </c>
      <c r="AV163" s="1030" t="str">
        <f>IFERROR(INDEX(V163:AG163,1,MATCH(Parametres!$B$3,V$1:AG$1,0)-1)*IF(OR(C163="L",C163="S",C163="I"),-1,1),"")</f>
        <v/>
      </c>
      <c r="AW163" s="1030">
        <f t="shared" si="11"/>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8"/>
        <v>H01547</v>
      </c>
      <c r="AK164" s="1030" t="str">
        <f t="shared" si="8"/>
        <v>SVC TELEPHONE-TELEGRAMMES</v>
      </c>
      <c r="AL164" s="1030" t="str">
        <f>IFERROR(INDEX(G164:R164,1,MATCH(Parametres!$B$3,G$1:R$1,0)-1)*IF(OR(F164="L",F164="S",F164="I"),-1,1),"")</f>
        <v/>
      </c>
      <c r="AM164" s="1030">
        <f t="shared" si="9"/>
        <v>56.05</v>
      </c>
      <c r="AN164" s="1030">
        <f>INDEX(G164:R164,1,MATCH(Parametres!$B$3,G$1:R$1,0))*IF(OR(F164="L",F164="S",F164="I"),-1,1)</f>
        <v>56.05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0"/>
        <v>H01547</v>
      </c>
      <c r="AU164" s="599" t="str">
        <f t="shared" si="10"/>
        <v>SVC TELEPHONE-TELEGRAMMES</v>
      </c>
      <c r="AV164" s="1030" t="str">
        <f>IFERROR(INDEX(V164:AG164,1,MATCH(Parametres!$B$3,V$1:AG$1,0)-1)*IF(OR(C164="L",C164="S",C164="I"),-1,1),"")</f>
        <v/>
      </c>
      <c r="AW164" s="1030">
        <f t="shared" si="11"/>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8"/>
        <v>H01548</v>
      </c>
      <c r="AK165" s="1030" t="str">
        <f t="shared" si="8"/>
        <v>SVC FRAIS POSTAUX</v>
      </c>
      <c r="AL165" s="1030" t="str">
        <f>IFERROR(INDEX(G165:R165,1,MATCH(Parametres!$B$3,G$1:R$1,0)-1)*IF(OR(F165="L",F165="S",F165="I"),-1,1),"")</f>
        <v/>
      </c>
      <c r="AM165" s="1030">
        <f t="shared" si="9"/>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0"/>
        <v>H01548</v>
      </c>
      <c r="AU165" s="599" t="str">
        <f t="shared" si="10"/>
        <v>SVC FRAIS POSTAUX</v>
      </c>
      <c r="AV165" s="1030" t="str">
        <f>IFERROR(INDEX(V165:AG165,1,MATCH(Parametres!$B$3,V$1:AG$1,0)-1)*IF(OR(C165="L",C165="S",C165="I"),-1,1),"")</f>
        <v/>
      </c>
      <c r="AW165" s="1030">
        <f t="shared" si="11"/>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8"/>
        <v>H01549</v>
      </c>
      <c r="AK166" s="1030" t="str">
        <f t="shared" si="8"/>
        <v>SVC FRET &amp; MESSAGERIE</v>
      </c>
      <c r="AL166" s="1030" t="str">
        <f>IFERROR(INDEX(G166:R166,1,MATCH(Parametres!$B$3,G$1:R$1,0)-1)*IF(OR(F166="L",F166="S",F166="I"),-1,1),"")</f>
        <v/>
      </c>
      <c r="AM166" s="1030">
        <f t="shared" si="9"/>
        <v>0</v>
      </c>
      <c r="AN166" s="1030">
        <f>INDEX(G166:R166,1,MATCH(Parametres!$B$3,G$1:R$1,0))*IF(OR(F166="L",F166="S",F166="I"),-1,1)</f>
        <v>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0"/>
        <v>H01549</v>
      </c>
      <c r="AU166" s="599" t="str">
        <f t="shared" si="10"/>
        <v>SVC FRET &amp; MESSAGERIE</v>
      </c>
      <c r="AV166" s="1030" t="str">
        <f>IFERROR(INDEX(V166:AG166,1,MATCH(Parametres!$B$3,V$1:AG$1,0)-1)*IF(OR(C166="L",C166="S",C166="I"),-1,1),"")</f>
        <v/>
      </c>
      <c r="AW166" s="1030">
        <f t="shared" si="11"/>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8"/>
        <v>H01552</v>
      </c>
      <c r="AK167" s="1030" t="str">
        <f t="shared" si="8"/>
        <v>SVC FRAIS DIVERS</v>
      </c>
      <c r="AL167" s="1030" t="str">
        <f>IFERROR(INDEX(G167:R167,1,MATCH(Parametres!$B$3,G$1:R$1,0)-1)*IF(OR(F167="L",F167="S",F167="I"),-1,1),"")</f>
        <v/>
      </c>
      <c r="AM167" s="1030">
        <f t="shared" si="9"/>
        <v>62.5</v>
      </c>
      <c r="AN167" s="1030">
        <f>INDEX(G167:R167,1,MATCH(Parametres!$B$3,G$1:R$1,0))*IF(OR(F167="L",F167="S",F167="I"),-1,1)</f>
        <v>62.5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0"/>
        <v>H01552</v>
      </c>
      <c r="AU167" s="599" t="str">
        <f t="shared" si="10"/>
        <v>SVC FRAIS DIVERS</v>
      </c>
      <c r="AV167" s="1030" t="str">
        <f>IFERROR(INDEX(V167:AG167,1,MATCH(Parametres!$B$3,V$1:AG$1,0)-1)*IF(OR(C167="L",C167="S",C167="I"),-1,1),"")</f>
        <v/>
      </c>
      <c r="AW167" s="1030">
        <f t="shared" si="11"/>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8"/>
        <v>H01553</v>
      </c>
      <c r="AK168" s="1030" t="str">
        <f t="shared" si="8"/>
        <v>SRC RESERVE DOMMAGE</v>
      </c>
      <c r="AL168" s="1030" t="str">
        <f>IFERROR(INDEX(G168:R168,1,MATCH(Parametres!$B$3,G$1:R$1,0)-1)*IF(OR(F168="L",F168="S",F168="I"),-1,1),"")</f>
        <v/>
      </c>
      <c r="AM168" s="1030">
        <f t="shared" si="9"/>
        <v>0</v>
      </c>
      <c r="AN168" s="1030">
        <f>INDEX(G168:R168,1,MATCH(Parametres!$B$3,G$1:R$1,0))*IF(OR(F168="L",F168="S",F168="I"),-1,1)</f>
        <v>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0"/>
        <v>H01553</v>
      </c>
      <c r="AU168" s="599" t="str">
        <f t="shared" si="10"/>
        <v>SRC RESERVE DOMMAGE</v>
      </c>
      <c r="AV168" s="1030" t="str">
        <f>IFERROR(INDEX(V168:AG168,1,MATCH(Parametres!$B$3,V$1:AG$1,0)-1)*IF(OR(C168="L",C168="S",C168="I"),-1,1),"")</f>
        <v/>
      </c>
      <c r="AW168" s="1030">
        <f t="shared" si="11"/>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8"/>
        <v>H01560</v>
      </c>
      <c r="AK169" s="1030" t="str">
        <f t="shared" si="8"/>
        <v>SVC LOYER INT HYPOTH.</v>
      </c>
      <c r="AL169" s="1030" t="str">
        <f>IFERROR(INDEX(G169:R169,1,MATCH(Parametres!$B$3,G$1:R$1,0)-1)*IF(OR(F169="L",F169="S",F169="I"),-1,1),"")</f>
        <v/>
      </c>
      <c r="AM169" s="1030">
        <f t="shared" si="9"/>
        <v>32500</v>
      </c>
      <c r="AN169" s="1030">
        <f>INDEX(G169:R169,1,MATCH(Parametres!$B$3,G$1:R$1,0))*IF(OR(F169="L",F169="S",F169="I"),-1,1)</f>
        <v>32500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0"/>
        <v>H01560</v>
      </c>
      <c r="AU169" s="599" t="str">
        <f t="shared" si="10"/>
        <v>SVC LOYER INT HYPOTH.</v>
      </c>
      <c r="AV169" s="1030" t="str">
        <f>IFERROR(INDEX(V169:AG169,1,MATCH(Parametres!$B$3,V$1:AG$1,0)-1)*IF(OR(C169="L",C169="S",C169="I"),-1,1),"")</f>
        <v/>
      </c>
      <c r="AW169" s="1030">
        <f t="shared" si="11"/>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8"/>
        <v>H01561</v>
      </c>
      <c r="AK170" s="1030" t="str">
        <f t="shared" si="8"/>
        <v>SVC AMORT AMELIOR  LOC</v>
      </c>
      <c r="AL170" s="1030" t="str">
        <f>IFERROR(INDEX(G170:R170,1,MATCH(Parametres!$B$3,G$1:R$1,0)-1)*IF(OR(F170="L",F170="S",F170="I"),-1,1),"")</f>
        <v/>
      </c>
      <c r="AM170" s="1030">
        <f t="shared" si="9"/>
        <v>148.16</v>
      </c>
      <c r="AN170" s="1030">
        <f>INDEX(G170:R170,1,MATCH(Parametres!$B$3,G$1:R$1,0))*IF(OR(F170="L",F170="S",F170="I"),-1,1)</f>
        <v>148.16</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0"/>
        <v>H01561</v>
      </c>
      <c r="AU170" s="599" t="str">
        <f t="shared" si="10"/>
        <v>SVC AMORT AMELIOR  LOC</v>
      </c>
      <c r="AV170" s="1030" t="str">
        <f>IFERROR(INDEX(V170:AG170,1,MATCH(Parametres!$B$3,V$1:AG$1,0)-1)*IF(OR(C170="L",C170="S",C170="I"),-1,1),"")</f>
        <v/>
      </c>
      <c r="AW170" s="1030">
        <f t="shared" si="11"/>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8"/>
        <v>H01562</v>
      </c>
      <c r="AK171" s="1030" t="str">
        <f t="shared" si="8"/>
        <v>SVC ENTRERIEN PROPRIÉTÉ</v>
      </c>
      <c r="AL171" s="1030" t="str">
        <f>IFERROR(INDEX(G171:R171,1,MATCH(Parametres!$B$3,G$1:R$1,0)-1)*IF(OR(F171="L",F171="S",F171="I"),-1,1),"")</f>
        <v/>
      </c>
      <c r="AM171" s="1030">
        <f t="shared" si="9"/>
        <v>3589.89</v>
      </c>
      <c r="AN171" s="1030">
        <f>INDEX(G171:R171,1,MATCH(Parametres!$B$3,G$1:R$1,0))*IF(OR(F171="L",F171="S",F171="I"),-1,1)</f>
        <v>3589.89</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0"/>
        <v>H01562</v>
      </c>
      <c r="AU171" s="599" t="str">
        <f t="shared" si="10"/>
        <v>SVC ENTRERIEN PROPRIÉTÉ</v>
      </c>
      <c r="AV171" s="1030" t="str">
        <f>IFERROR(INDEX(V171:AG171,1,MATCH(Parametres!$B$3,V$1:AG$1,0)-1)*IF(OR(C171="L",C171="S",C171="I"),-1,1),"")</f>
        <v/>
      </c>
      <c r="AW171" s="1030">
        <f t="shared" si="11"/>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8"/>
        <v>H01563</v>
      </c>
      <c r="AK172" s="1030" t="str">
        <f t="shared" si="8"/>
        <v>SVC TAXES PROPRIÉTÉ</v>
      </c>
      <c r="AL172" s="1030" t="str">
        <f>IFERROR(INDEX(G172:R172,1,MATCH(Parametres!$B$3,G$1:R$1,0)-1)*IF(OR(F172="L",F172="S",F172="I"),-1,1),"")</f>
        <v/>
      </c>
      <c r="AM172" s="1030">
        <f t="shared" si="9"/>
        <v>8402.5499999999993</v>
      </c>
      <c r="AN172" s="1030">
        <f>INDEX(G172:R172,1,MATCH(Parametres!$B$3,G$1:R$1,0))*IF(OR(F172="L",F172="S",F172="I"),-1,1)</f>
        <v>8402.5499999999993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0"/>
        <v>H01563</v>
      </c>
      <c r="AU172" s="599" t="str">
        <f t="shared" si="10"/>
        <v>SVC TAXES PROPRIÉTÉ</v>
      </c>
      <c r="AV172" s="1030" t="str">
        <f>IFERROR(INDEX(V172:AG172,1,MATCH(Parametres!$B$3,V$1:AG$1,0)-1)*IF(OR(C172="L",C172="S",C172="I"),-1,1),"")</f>
        <v/>
      </c>
      <c r="AW172" s="1030">
        <f t="shared" si="11"/>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8"/>
        <v>H01564</v>
      </c>
      <c r="AK173" s="1030" t="str">
        <f t="shared" si="8"/>
        <v>SVC ASSURANCE BATIMENT</v>
      </c>
      <c r="AL173" s="1030" t="str">
        <f>IFERROR(INDEX(G173:R173,1,MATCH(Parametres!$B$3,G$1:R$1,0)-1)*IF(OR(F173="L",F173="S",F173="I"),-1,1),"")</f>
        <v/>
      </c>
      <c r="AM173" s="1030">
        <f t="shared" si="9"/>
        <v>1184.5899999999999</v>
      </c>
      <c r="AN173" s="1030">
        <f>INDEX(G173:R173,1,MATCH(Parametres!$B$3,G$1:R$1,0))*IF(OR(F173="L",F173="S",F173="I"),-1,1)</f>
        <v>1184.5899999999999</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0"/>
        <v>H01564</v>
      </c>
      <c r="AU173" s="599" t="str">
        <f t="shared" si="10"/>
        <v>SVC ASSURANCE BATIMENT</v>
      </c>
      <c r="AV173" s="1030" t="str">
        <f>IFERROR(INDEX(V173:AG173,1,MATCH(Parametres!$B$3,V$1:AG$1,0)-1)*IF(OR(C173="L",C173="S",C173="I"),-1,1),"")</f>
        <v/>
      </c>
      <c r="AW173" s="1030">
        <f t="shared" si="11"/>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8"/>
        <v>H01565</v>
      </c>
      <c r="AK174" s="1030" t="str">
        <f t="shared" si="8"/>
        <v>SVC AMORT BATIMENT</v>
      </c>
      <c r="AL174" s="1030" t="str">
        <f>IFERROR(INDEX(G174:R174,1,MATCH(Parametres!$B$3,G$1:R$1,0)-1)*IF(OR(F174="L",F174="S",F174="I"),-1,1),"")</f>
        <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0"/>
        <v>H01565</v>
      </c>
      <c r="AU174" s="599" t="str">
        <f t="shared" si="10"/>
        <v>SVC AMORT BATIMENT</v>
      </c>
      <c r="AV174" s="1030" t="str">
        <f>IFERROR(INDEX(V174:AG174,1,MATCH(Parametres!$B$3,V$1:AG$1,0)-1)*IF(OR(C174="L",C174="S",C174="I"),-1,1),"")</f>
        <v/>
      </c>
      <c r="AW174" s="1030">
        <f t="shared" si="11"/>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8"/>
        <v>H01568</v>
      </c>
      <c r="AK175" s="1030" t="str">
        <f t="shared" si="8"/>
        <v>SVC TAXES AFFAIRES&amp;AUTRES</v>
      </c>
      <c r="AL175" s="1030" t="str">
        <f>IFERROR(INDEX(G175:R175,1,MATCH(Parametres!$B$3,G$1:R$1,0)-1)*IF(OR(F175="L",F175="S",F175="I"),-1,1),"")</f>
        <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0"/>
        <v>H01568</v>
      </c>
      <c r="AU175" s="599" t="str">
        <f t="shared" si="10"/>
        <v>SVC TAXES AFFAIRES&amp;AUTRES</v>
      </c>
      <c r="AV175" s="1030" t="str">
        <f>IFERROR(INDEX(V175:AG175,1,MATCH(Parametres!$B$3,V$1:AG$1,0)-1)*IF(OR(C175="L",C175="S",C175="I"),-1,1),"")</f>
        <v/>
      </c>
      <c r="AW175" s="1030">
        <f t="shared" si="11"/>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8"/>
        <v>H01569</v>
      </c>
      <c r="AK176" s="1030" t="str">
        <f t="shared" si="8"/>
        <v>SVC AMORT EQUIP &amp; INSTALL</v>
      </c>
      <c r="AL176" s="1030" t="str">
        <f>IFERROR(INDEX(G176:R176,1,MATCH(Parametres!$B$3,G$1:R$1,0)-1)*IF(OR(F176="L",F176="S",F176="I"),-1,1),"")</f>
        <v/>
      </c>
      <c r="AM176" s="1030">
        <f t="shared" si="9"/>
        <v>876.7</v>
      </c>
      <c r="AN176" s="1030">
        <f>INDEX(G176:R176,1,MATCH(Parametres!$B$3,G$1:R$1,0))*IF(OR(F176="L",F176="S",F176="I"),-1,1)</f>
        <v>876.7</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0"/>
        <v>H01569</v>
      </c>
      <c r="AU176" s="599" t="str">
        <f t="shared" si="10"/>
        <v>SVC AMORT EQUIP &amp; INSTALL</v>
      </c>
      <c r="AV176" s="1030" t="str">
        <f>IFERROR(INDEX(V176:AG176,1,MATCH(Parametres!$B$3,V$1:AG$1,0)-1)*IF(OR(C176="L",C176="S",C176="I"),-1,1),"")</f>
        <v/>
      </c>
      <c r="AW176" s="1030">
        <f t="shared" si="11"/>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8"/>
        <v>H01570</v>
      </c>
      <c r="AK177" s="1030" t="str">
        <f t="shared" si="8"/>
        <v>SVC ASSURANCE GENERALE</v>
      </c>
      <c r="AL177" s="1030" t="str">
        <f>IFERROR(INDEX(G177:R177,1,MATCH(Parametres!$B$3,G$1:R$1,0)-1)*IF(OR(F177="L",F177="S",F177="I"),-1,1),"")</f>
        <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0"/>
        <v>H01570</v>
      </c>
      <c r="AU177" s="599" t="str">
        <f t="shared" si="10"/>
        <v>SVC ASSURANCE GENERALE</v>
      </c>
      <c r="AV177" s="1030" t="str">
        <f>IFERROR(INDEX(V177:AG177,1,MATCH(Parametres!$B$3,V$1:AG$1,0)-1)*IF(OR(C177="L",C177="S",C177="I"),-1,1),"")</f>
        <v/>
      </c>
      <c r="AW177" s="1030">
        <f t="shared" si="11"/>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8"/>
        <v>H01574</v>
      </c>
      <c r="AK178" s="1030" t="str">
        <f t="shared" si="8"/>
        <v>SVC EAU/ELECT/CHAUFFAGE</v>
      </c>
      <c r="AL178" s="1030" t="str">
        <f>IFERROR(INDEX(G178:R178,1,MATCH(Parametres!$B$3,G$1:R$1,0)-1)*IF(OR(F178="L",F178="S",F178="I"),-1,1),"")</f>
        <v/>
      </c>
      <c r="AM178" s="1030">
        <f t="shared" si="9"/>
        <v>1906.34</v>
      </c>
      <c r="AN178" s="1030">
        <f>INDEX(G178:R178,1,MATCH(Parametres!$B$3,G$1:R$1,0))*IF(OR(F178="L",F178="S",F178="I"),-1,1)</f>
        <v>1906.34</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0"/>
        <v>H01574</v>
      </c>
      <c r="AU178" s="599" t="str">
        <f t="shared" si="10"/>
        <v>SVC EAU/ELECT/CHAUFFAGE</v>
      </c>
      <c r="AV178" s="1030" t="str">
        <f>IFERROR(INDEX(V178:AG178,1,MATCH(Parametres!$B$3,V$1:AG$1,0)-1)*IF(OR(C178="L",C178="S",C178="I"),-1,1),"")</f>
        <v/>
      </c>
      <c r="AW178" s="1030">
        <f t="shared" si="11"/>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8"/>
        <v>H01576</v>
      </c>
      <c r="AK179" s="1030" t="str">
        <f t="shared" si="8"/>
        <v>SVC VERIFICATION COMPTABL</v>
      </c>
      <c r="AL179" s="1030" t="str">
        <f>IFERROR(INDEX(G179:R179,1,MATCH(Parametres!$B$3,G$1:R$1,0)-1)*IF(OR(F179="L",F179="S",F179="I"),-1,1),"")</f>
        <v/>
      </c>
      <c r="AM179" s="1030">
        <f t="shared" si="9"/>
        <v>1000</v>
      </c>
      <c r="AN179" s="1030">
        <f>INDEX(G179:R179,1,MATCH(Parametres!$B$3,G$1:R$1,0))*IF(OR(F179="L",F179="S",F179="I"),-1,1)</f>
        <v>1000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0"/>
        <v>H01576</v>
      </c>
      <c r="AU179" s="599" t="str">
        <f t="shared" si="10"/>
        <v>SVC VERIFICATION COMPTABL</v>
      </c>
      <c r="AV179" s="1030" t="str">
        <f>IFERROR(INDEX(V179:AG179,1,MATCH(Parametres!$B$3,V$1:AG$1,0)-1)*IF(OR(C179="L",C179="S",C179="I"),-1,1),"")</f>
        <v/>
      </c>
      <c r="AW179" s="1030">
        <f t="shared" si="11"/>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8"/>
        <v>H01577</v>
      </c>
      <c r="AK180" s="1030" t="str">
        <f t="shared" si="8"/>
        <v>SVC COTISATIONS SOUSCRIP.</v>
      </c>
      <c r="AL180" s="1030" t="str">
        <f>IFERROR(INDEX(G180:R180,1,MATCH(Parametres!$B$3,G$1:R$1,0)-1)*IF(OR(F180="L",F180="S",F180="I"),-1,1),"")</f>
        <v/>
      </c>
      <c r="AM180" s="1030">
        <f t="shared" si="9"/>
        <v>486.84</v>
      </c>
      <c r="AN180" s="1030">
        <f>INDEX(G180:R180,1,MATCH(Parametres!$B$3,G$1:R$1,0))*IF(OR(F180="L",F180="S",F180="I"),-1,1)</f>
        <v>486.84</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0"/>
        <v>H01577</v>
      </c>
      <c r="AU180" s="599" t="str">
        <f t="shared" si="10"/>
        <v>SVC COTISATIONS SOUSCRIP.</v>
      </c>
      <c r="AV180" s="1030" t="str">
        <f>IFERROR(INDEX(V180:AG180,1,MATCH(Parametres!$B$3,V$1:AG$1,0)-1)*IF(OR(C180="L",C180="S",C180="I"),-1,1),"")</f>
        <v/>
      </c>
      <c r="AW180" s="1030">
        <f t="shared" si="11"/>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8"/>
        <v>H01579</v>
      </c>
      <c r="AK181" s="1030" t="str">
        <f t="shared" si="8"/>
        <v>SVC DONATIONS</v>
      </c>
      <c r="AL181" s="1030" t="str">
        <f>IFERROR(INDEX(G181:R181,1,MATCH(Parametres!$B$3,G$1:R$1,0)-1)*IF(OR(F181="L",F181="S",F181="I"),-1,1),"")</f>
        <v/>
      </c>
      <c r="AM181" s="1030">
        <f t="shared" si="9"/>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0"/>
        <v>H01579</v>
      </c>
      <c r="AU181" s="599" t="str">
        <f t="shared" si="10"/>
        <v>SVC DONATIONS</v>
      </c>
      <c r="AV181" s="1030" t="str">
        <f>IFERROR(INDEX(V181:AG181,1,MATCH(Parametres!$B$3,V$1:AG$1,0)-1)*IF(OR(C181="L",C181="S",C181="I"),-1,1),"")</f>
        <v/>
      </c>
      <c r="AW181" s="1030">
        <f t="shared" si="11"/>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8"/>
        <v>H01580</v>
      </c>
      <c r="AK182" s="1030" t="str">
        <f t="shared" si="8"/>
        <v>SVC IMM &amp; PERMIS/CIE SEUL</v>
      </c>
      <c r="AL182" s="1030" t="str">
        <f>IFERROR(INDEX(G182:R182,1,MATCH(Parametres!$B$3,G$1:R$1,0)-1)*IF(OR(F182="L",F182="S",F182="I"),-1,1),"")</f>
        <v/>
      </c>
      <c r="AM182" s="1030">
        <f t="shared" si="9"/>
        <v>880.52</v>
      </c>
      <c r="AN182" s="1030">
        <f>INDEX(G182:R182,1,MATCH(Parametres!$B$3,G$1:R$1,0))*IF(OR(F182="L",F182="S",F182="I"),-1,1)</f>
        <v>880.52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0"/>
        <v>H01580</v>
      </c>
      <c r="AU182" s="599" t="str">
        <f t="shared" si="10"/>
        <v>SVC IMM &amp; PERMIS/CIE SEUL</v>
      </c>
      <c r="AV182" s="1030" t="str">
        <f>IFERROR(INDEX(V182:AG182,1,MATCH(Parametres!$B$3,V$1:AG$1,0)-1)*IF(OR(C182="L",C182="S",C182="I"),-1,1),"")</f>
        <v/>
      </c>
      <c r="AW182" s="1030">
        <f t="shared" si="11"/>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8"/>
        <v>H01620</v>
      </c>
      <c r="AK183" s="1030" t="str">
        <f t="shared" si="8"/>
        <v>CARR SALAIRES-DIR-DEPT</v>
      </c>
      <c r="AL183" s="1030" t="str">
        <f>IFERROR(INDEX(G183:R183,1,MATCH(Parametres!$B$3,G$1:R$1,0)-1)*IF(OR(F183="L",F183="S",F183="I"),-1,1),"")</f>
        <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0"/>
        <v>H01620</v>
      </c>
      <c r="AU183" s="599" t="str">
        <f t="shared" si="10"/>
        <v>CARR SALAIRES-DIR-DEPT</v>
      </c>
      <c r="AV183" s="1030" t="str">
        <f>IFERROR(INDEX(V183:AG183,1,MATCH(Parametres!$B$3,V$1:AG$1,0)-1)*IF(OR(C183="L",C183="S",C183="I"),-1,1),"")</f>
        <v/>
      </c>
      <c r="AW183" s="1030">
        <f t="shared" si="11"/>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8"/>
        <v>H01621</v>
      </c>
      <c r="AK184" s="1030" t="str">
        <f t="shared" si="8"/>
        <v>CARR SALAIRES-AUTRES</v>
      </c>
      <c r="AL184" s="1030" t="str">
        <f>IFERROR(INDEX(G184:R184,1,MATCH(Parametres!$B$3,G$1:R$1,0)-1)*IF(OR(F184="L",F184="S",F184="I"),-1,1),"")</f>
        <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0"/>
        <v>H01621</v>
      </c>
      <c r="AU184" s="599" t="str">
        <f t="shared" si="10"/>
        <v>CARR SALAIRES-AUTRES</v>
      </c>
      <c r="AV184" s="1030" t="str">
        <f>IFERROR(INDEX(V184:AG184,1,MATCH(Parametres!$B$3,V$1:AG$1,0)-1)*IF(OR(C184="L",C184="S",C184="I"),-1,1),"")</f>
        <v/>
      </c>
      <c r="AW184" s="1030">
        <f t="shared" si="11"/>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8"/>
        <v>H01623</v>
      </c>
      <c r="AK185" s="1030" t="str">
        <f t="shared" si="8"/>
        <v>CARR ABS. &amp; CONGES PAYES</v>
      </c>
      <c r="AL185" s="1030" t="str">
        <f>IFERROR(INDEX(G185:R185,1,MATCH(Parametres!$B$3,G$1:R$1,0)-1)*IF(OR(F185="L",F185="S",F185="I"),-1,1),"")</f>
        <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0"/>
        <v>H01623</v>
      </c>
      <c r="AU185" s="599" t="str">
        <f t="shared" si="10"/>
        <v>CARR ABS. &amp; CONGES PAYES</v>
      </c>
      <c r="AV185" s="1030" t="str">
        <f>IFERROR(INDEX(V185:AG185,1,MATCH(Parametres!$B$3,V$1:AG$1,0)-1)*IF(OR(C185="L",C185="S",C185="I"),-1,1),"")</f>
        <v/>
      </c>
      <c r="AW185" s="1030">
        <f t="shared" si="11"/>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8"/>
        <v>H01624</v>
      </c>
      <c r="AK186" s="1030" t="str">
        <f t="shared" si="8"/>
        <v>CARR CSST</v>
      </c>
      <c r="AL186" s="1030" t="str">
        <f>IFERROR(INDEX(G186:R186,1,MATCH(Parametres!$B$3,G$1:R$1,0)-1)*IF(OR(F186="L",F186="S",F186="I"),-1,1),"")</f>
        <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0"/>
        <v>H01624</v>
      </c>
      <c r="AU186" s="599" t="str">
        <f t="shared" si="10"/>
        <v>CARR CSST</v>
      </c>
      <c r="AV186" s="1030" t="str">
        <f>IFERROR(INDEX(V186:AG186,1,MATCH(Parametres!$B$3,V$1:AG$1,0)-1)*IF(OR(C186="L",C186="S",C186="I"),-1,1),"")</f>
        <v/>
      </c>
      <c r="AW186" s="1030">
        <f t="shared" si="11"/>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8"/>
        <v>H01625</v>
      </c>
      <c r="AK187" s="1030" t="str">
        <f t="shared" si="8"/>
        <v>CARR ASSURANCE-CHOMAGE</v>
      </c>
      <c r="AL187" s="1030" t="str">
        <f>IFERROR(INDEX(G187:R187,1,MATCH(Parametres!$B$3,G$1:R$1,0)-1)*IF(OR(F187="L",F187="S",F187="I"),-1,1),"")</f>
        <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0"/>
        <v>H01625</v>
      </c>
      <c r="AU187" s="599" t="str">
        <f t="shared" si="10"/>
        <v>CARR ASSURANCE-CHOMAGE</v>
      </c>
      <c r="AV187" s="1030" t="str">
        <f>IFERROR(INDEX(V187:AG187,1,MATCH(Parametres!$B$3,V$1:AG$1,0)-1)*IF(OR(C187="L",C187="S",C187="I"),-1,1),"")</f>
        <v/>
      </c>
      <c r="AW187" s="1030">
        <f t="shared" si="11"/>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8"/>
        <v>H01626</v>
      </c>
      <c r="AK188" s="1030" t="str">
        <f t="shared" si="8"/>
        <v>CARR ASSURANCE GROUPE</v>
      </c>
      <c r="AL188" s="1030" t="str">
        <f>IFERROR(INDEX(G188:R188,1,MATCH(Parametres!$B$3,G$1:R$1,0)-1)*IF(OR(F188="L",F188="S",F188="I"),-1,1),"")</f>
        <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0"/>
        <v>H01626</v>
      </c>
      <c r="AU188" s="599" t="str">
        <f t="shared" si="10"/>
        <v>CARR ASSURANCE GROUPE</v>
      </c>
      <c r="AV188" s="1030" t="str">
        <f>IFERROR(INDEX(V188:AG188,1,MATCH(Parametres!$B$3,V$1:AG$1,0)-1)*IF(OR(C188="L",C188="S",C188="I"),-1,1),"")</f>
        <v/>
      </c>
      <c r="AW188" s="1030">
        <f t="shared" si="11"/>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8"/>
        <v>H01627</v>
      </c>
      <c r="AK189" s="1030" t="str">
        <f t="shared" si="8"/>
        <v>CARR AUTRES AV. SOCIAUX</v>
      </c>
      <c r="AL189" s="1030" t="str">
        <f>IFERROR(INDEX(G189:R189,1,MATCH(Parametres!$B$3,G$1:R$1,0)-1)*IF(OR(F189="L",F189="S",F189="I"),-1,1),"")</f>
        <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0"/>
        <v>H01627</v>
      </c>
      <c r="AU189" s="599" t="str">
        <f t="shared" si="10"/>
        <v>CARR AUTRES AV. SOCIAUX</v>
      </c>
      <c r="AV189" s="1030" t="str">
        <f>IFERROR(INDEX(V189:AG189,1,MATCH(Parametres!$B$3,V$1:AG$1,0)-1)*IF(OR(C189="L",C189="S",C189="I"),-1,1),"")</f>
        <v/>
      </c>
      <c r="AW189" s="1030">
        <f t="shared" si="11"/>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8"/>
        <v>H01628</v>
      </c>
      <c r="AK190" s="1030" t="str">
        <f t="shared" si="8"/>
        <v>CARR FORMATION</v>
      </c>
      <c r="AL190" s="1030" t="str">
        <f>IFERROR(INDEX(G190:R190,1,MATCH(Parametres!$B$3,G$1:R$1,0)-1)*IF(OR(F190="L",F190="S",F190="I"),-1,1),"")</f>
        <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0"/>
        <v>H01628</v>
      </c>
      <c r="AU190" s="599" t="str">
        <f t="shared" si="10"/>
        <v>CARR FORMATION</v>
      </c>
      <c r="AV190" s="1030" t="str">
        <f>IFERROR(INDEX(V190:AG190,1,MATCH(Parametres!$B$3,V$1:AG$1,0)-1)*IF(OR(C190="L",C190="S",C190="I"),-1,1),"")</f>
        <v/>
      </c>
      <c r="AW190" s="1030">
        <f t="shared" si="11"/>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8"/>
        <v>H01630</v>
      </c>
      <c r="AK191" s="1030" t="str">
        <f t="shared" si="8"/>
        <v>CARR PAPETRIE-FOUR.BUREAU</v>
      </c>
      <c r="AL191" s="1030" t="str">
        <f>IFERROR(INDEX(G191:R191,1,MATCH(Parametres!$B$3,G$1:R$1,0)-1)*IF(OR(F191="L",F191="S",F191="I"),-1,1),"")</f>
        <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0"/>
        <v>H01630</v>
      </c>
      <c r="AU191" s="599" t="str">
        <f t="shared" si="10"/>
        <v>CARR PAPETRIE-FOUR.BUREAU</v>
      </c>
      <c r="AV191" s="1030" t="str">
        <f>IFERROR(INDEX(V191:AG191,1,MATCH(Parametres!$B$3,V$1:AG$1,0)-1)*IF(OR(C191="L",C191="S",C191="I"),-1,1),"")</f>
        <v/>
      </c>
      <c r="AW191" s="1030">
        <f t="shared" si="11"/>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8"/>
        <v>H01631</v>
      </c>
      <c r="AK192" s="1030" t="str">
        <f t="shared" si="8"/>
        <v>CARR OUTIL-FOUR.DIVERS</v>
      </c>
      <c r="AL192" s="1030" t="str">
        <f>IFERROR(INDEX(G192:R192,1,MATCH(Parametres!$B$3,G$1:R$1,0)-1)*IF(OR(F192="L",F192="S",F192="I"),-1,1),"")</f>
        <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0"/>
        <v>H01631</v>
      </c>
      <c r="AU192" s="599" t="str">
        <f t="shared" si="10"/>
        <v>CARR OUTIL-FOUR.DIVERS</v>
      </c>
      <c r="AV192" s="1030" t="str">
        <f>IFERROR(INDEX(V192:AG192,1,MATCH(Parametres!$B$3,V$1:AG$1,0)-1)*IF(OR(C192="L",C192="S",C192="I"),-1,1),"")</f>
        <v/>
      </c>
      <c r="AW192" s="1030">
        <f t="shared" si="11"/>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8"/>
        <v>H01634</v>
      </c>
      <c r="AK193" s="1030" t="str">
        <f t="shared" si="8"/>
        <v>CARR UNIFORMES-SALOPETTES</v>
      </c>
      <c r="AL193" s="1030" t="str">
        <f>IFERROR(INDEX(G193:R193,1,MATCH(Parametres!$B$3,G$1:R$1,0)-1)*IF(OR(F193="L",F193="S",F193="I"),-1,1),"")</f>
        <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0"/>
        <v>H01634</v>
      </c>
      <c r="AU193" s="599" t="str">
        <f t="shared" si="10"/>
        <v>CARR UNIFORMES-SALOPETTES</v>
      </c>
      <c r="AV193" s="1030" t="str">
        <f>IFERROR(INDEX(V193:AG193,1,MATCH(Parametres!$B$3,V$1:AG$1,0)-1)*IF(OR(C193="L",C193="S",C193="I"),-1,1),"")</f>
        <v/>
      </c>
      <c r="AW193" s="1030">
        <f t="shared" si="11"/>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8"/>
        <v>H01635</v>
      </c>
      <c r="AK194" s="1030" t="str">
        <f t="shared" si="8"/>
        <v>CARR CONCIERGE-NETTOYAGE</v>
      </c>
      <c r="AL194" s="1030" t="str">
        <f>IFERROR(INDEX(G194:R194,1,MATCH(Parametres!$B$3,G$1:R$1,0)-1)*IF(OR(F194="L",F194="S",F194="I"),-1,1),"")</f>
        <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0"/>
        <v>H01635</v>
      </c>
      <c r="AU194" s="599" t="str">
        <f t="shared" si="10"/>
        <v>CARR CONCIERGE-NETTOYAGE</v>
      </c>
      <c r="AV194" s="1030" t="str">
        <f>IFERROR(INDEX(V194:AG194,1,MATCH(Parametres!$B$3,V$1:AG$1,0)-1)*IF(OR(C194="L",C194="S",C194="I"),-1,1),"")</f>
        <v/>
      </c>
      <c r="AW194" s="1030">
        <f t="shared" si="11"/>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8"/>
        <v>H01637</v>
      </c>
      <c r="AK195" s="1030" t="str">
        <f t="shared" si="8"/>
        <v>CARR PRATIQUES COURTOISIE</v>
      </c>
      <c r="AL195" s="1030" t="str">
        <f>IFERROR(INDEX(G195:R195,1,MATCH(Parametres!$B$3,G$1:R$1,0)-1)*IF(OR(F195="L",F195="S",F195="I"),-1,1),"")</f>
        <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0"/>
        <v>H01637</v>
      </c>
      <c r="AU195" s="599" t="str">
        <f t="shared" si="10"/>
        <v>CARR PRATIQUES COURTOISIE</v>
      </c>
      <c r="AV195" s="1030" t="str">
        <f>IFERROR(INDEX(V195:AG195,1,MATCH(Parametres!$B$3,V$1:AG$1,0)-1)*IF(OR(C195="L",C195="S",C195="I"),-1,1),"")</f>
        <v/>
      </c>
      <c r="AW195" s="1030">
        <f t="shared" si="11"/>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K259" si="12">C196</f>
        <v>H01638</v>
      </c>
      <c r="AK196" s="1030" t="str">
        <f t="shared" si="12"/>
        <v>CARR PUB-PROMOTION-PCE SV</v>
      </c>
      <c r="AL196" s="1030" t="str">
        <f>IFERROR(INDEX(G196:R196,1,MATCH(Parametres!$B$3,G$1:R$1,0)-1)*IF(OR(F196="L",F196="S",F196="I"),-1,1),"")</f>
        <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U259" si="14">C196</f>
        <v>H01638</v>
      </c>
      <c r="AU196" s="599" t="str">
        <f t="shared" si="14"/>
        <v>CARR PUB-PROMOTION-PCE SV</v>
      </c>
      <c r="AV196" s="1030" t="str">
        <f>IFERROR(INDEX(V196:AG196,1,MATCH(Parametres!$B$3,V$1:AG$1,0)-1)*IF(OR(C196="L",C196="S",C196="I"),-1,1),"")</f>
        <v/>
      </c>
      <c r="AW196" s="1030">
        <f t="shared" ref="AW196:AW259" si="15">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2"/>
        <v>H01640</v>
      </c>
      <c r="AK197" s="1030" t="str">
        <f t="shared" si="12"/>
        <v>CARR ENT EQUIPEMENT</v>
      </c>
      <c r="AL197" s="1030" t="str">
        <f>IFERROR(INDEX(G197:R197,1,MATCH(Parametres!$B$3,G$1:R$1,0)-1)*IF(OR(F197="L",F197="S",F197="I"),-1,1),"")</f>
        <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14"/>
        <v>H01640</v>
      </c>
      <c r="AU197" s="599" t="str">
        <f t="shared" si="14"/>
        <v>CARR ENT EQUIPEMENT</v>
      </c>
      <c r="AV197" s="1030" t="str">
        <f>IFERROR(INDEX(V197:AG197,1,MATCH(Parametres!$B$3,V$1:AG$1,0)-1)*IF(OR(C197="L",C197="S",C197="I"),-1,1),"")</f>
        <v/>
      </c>
      <c r="AW197" s="1030">
        <f t="shared" si="15"/>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2"/>
        <v>H01641</v>
      </c>
      <c r="AK198" s="1030" t="str">
        <f t="shared" si="12"/>
        <v>CARR VEH DE SERVITUDE</v>
      </c>
      <c r="AL198" s="1030" t="str">
        <f>IFERROR(INDEX(G198:R198,1,MATCH(Parametres!$B$3,G$1:R$1,0)-1)*IF(OR(F198="L",F198="S",F198="I"),-1,1),"")</f>
        <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14"/>
        <v>H01641</v>
      </c>
      <c r="AU198" s="599" t="str">
        <f t="shared" si="14"/>
        <v>CARR VEH DE SERVITUDE</v>
      </c>
      <c r="AV198" s="1030" t="str">
        <f>IFERROR(INDEX(V198:AG198,1,MATCH(Parametres!$B$3,V$1:AG$1,0)-1)*IF(OR(C198="L",C198="S",C198="I"),-1,1),"")</f>
        <v/>
      </c>
      <c r="AW198" s="1030">
        <f t="shared" si="15"/>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2"/>
        <v>H01643</v>
      </c>
      <c r="AK199" s="1030" t="str">
        <f t="shared" si="12"/>
        <v>CARR EQUIPMENT RENTAL</v>
      </c>
      <c r="AL199" s="1030" t="str">
        <f>IFERROR(INDEX(G199:R199,1,MATCH(Parametres!$B$3,G$1:R$1,0)-1)*IF(OR(F199="L",F199="S",F199="I"),-1,1),"")</f>
        <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14"/>
        <v>H01643</v>
      </c>
      <c r="AU199" s="599" t="str">
        <f t="shared" si="14"/>
        <v>CARR EQUIPMENT RENTAL</v>
      </c>
      <c r="AV199" s="1030" t="str">
        <f>IFERROR(INDEX(V199:AG199,1,MATCH(Parametres!$B$3,V$1:AG$1,0)-1)*IF(OR(C199="L",C199="S",C199="I"),-1,1),"")</f>
        <v/>
      </c>
      <c r="AW199" s="1030">
        <f t="shared" si="15"/>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2"/>
        <v>H01644</v>
      </c>
      <c r="AK200" s="1030" t="str">
        <f t="shared" si="12"/>
        <v>CARR TRAITEMENT DONNEES</v>
      </c>
      <c r="AL200" s="1030" t="str">
        <f>IFERROR(INDEX(G200:R200,1,MATCH(Parametres!$B$3,G$1:R$1,0)-1)*IF(OR(F200="L",F200="S",F200="I"),-1,1),"")</f>
        <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14"/>
        <v>H01644</v>
      </c>
      <c r="AU200" s="599" t="str">
        <f t="shared" si="14"/>
        <v>CARR TRAITEMENT DONNEES</v>
      </c>
      <c r="AV200" s="1030" t="str">
        <f>IFERROR(INDEX(V200:AG200,1,MATCH(Parametres!$B$3,V$1:AG$1,0)-1)*IF(OR(C200="L",C200="S",C200="I"),-1,1),"")</f>
        <v/>
      </c>
      <c r="AW200" s="1030">
        <f t="shared" si="15"/>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2"/>
        <v>H01646</v>
      </c>
      <c r="AK201" s="1030" t="str">
        <f t="shared" si="12"/>
        <v>CARR DEPLACEMENT-REPRESEN</v>
      </c>
      <c r="AL201" s="1030" t="str">
        <f>IFERROR(INDEX(G201:R201,1,MATCH(Parametres!$B$3,G$1:R$1,0)-1)*IF(OR(F201="L",F201="S",F201="I"),-1,1),"")</f>
        <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14"/>
        <v>H01646</v>
      </c>
      <c r="AU201" s="599" t="str">
        <f t="shared" si="14"/>
        <v>CARR DEPLACEMENT-REPRESEN</v>
      </c>
      <c r="AV201" s="1030" t="str">
        <f>IFERROR(INDEX(V201:AG201,1,MATCH(Parametres!$B$3,V$1:AG$1,0)-1)*IF(OR(C201="L",C201="S",C201="I"),-1,1),"")</f>
        <v/>
      </c>
      <c r="AW201" s="1030">
        <f t="shared" si="15"/>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2"/>
        <v>H01647</v>
      </c>
      <c r="AK202" s="1030" t="str">
        <f t="shared" si="12"/>
        <v>CARR TELEPHONE-TELEGRAMME</v>
      </c>
      <c r="AL202" s="1030" t="str">
        <f>IFERROR(INDEX(G202:R202,1,MATCH(Parametres!$B$3,G$1:R$1,0)-1)*IF(OR(F202="L",F202="S",F202="I"),-1,1),"")</f>
        <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14"/>
        <v>H01647</v>
      </c>
      <c r="AU202" s="599" t="str">
        <f t="shared" si="14"/>
        <v>CARR TELEPHONE-TELEGRAMME</v>
      </c>
      <c r="AV202" s="1030" t="str">
        <f>IFERROR(INDEX(V202:AG202,1,MATCH(Parametres!$B$3,V$1:AG$1,0)-1)*IF(OR(C202="L",C202="S",C202="I"),-1,1),"")</f>
        <v/>
      </c>
      <c r="AW202" s="1030">
        <f t="shared" si="15"/>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2"/>
        <v>H01648</v>
      </c>
      <c r="AK203" s="1030" t="str">
        <f t="shared" si="12"/>
        <v>CARR FRAIS POSTAUX</v>
      </c>
      <c r="AL203" s="1030" t="str">
        <f>IFERROR(INDEX(G203:R203,1,MATCH(Parametres!$B$3,G$1:R$1,0)-1)*IF(OR(F203="L",F203="S",F203="I"),-1,1),"")</f>
        <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14"/>
        <v>H01648</v>
      </c>
      <c r="AU203" s="599" t="str">
        <f t="shared" si="14"/>
        <v>CARR FRAIS POSTAUX</v>
      </c>
      <c r="AV203" s="1030" t="str">
        <f>IFERROR(INDEX(V203:AG203,1,MATCH(Parametres!$B$3,V$1:AG$1,0)-1)*IF(OR(C203="L",C203="S",C203="I"),-1,1),"")</f>
        <v/>
      </c>
      <c r="AW203" s="1030">
        <f t="shared" si="15"/>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2"/>
        <v>H01652</v>
      </c>
      <c r="AK204" s="1030" t="str">
        <f t="shared" si="12"/>
        <v>CARR FRAIS DIVERS</v>
      </c>
      <c r="AL204" s="1030" t="str">
        <f>IFERROR(INDEX(G204:R204,1,MATCH(Parametres!$B$3,G$1:R$1,0)-1)*IF(OR(F204="L",F204="S",F204="I"),-1,1),"")</f>
        <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14"/>
        <v>H01652</v>
      </c>
      <c r="AU204" s="599" t="str">
        <f t="shared" si="14"/>
        <v>CARR FRAIS DIVERS</v>
      </c>
      <c r="AV204" s="1030" t="str">
        <f>IFERROR(INDEX(V204:AG204,1,MATCH(Parametres!$B$3,V$1:AG$1,0)-1)*IF(OR(C204="L",C204="S",C204="I"),-1,1),"")</f>
        <v/>
      </c>
      <c r="AW204" s="1030">
        <f t="shared" si="15"/>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2"/>
        <v>H01660</v>
      </c>
      <c r="AK205" s="1030" t="str">
        <f t="shared" si="12"/>
        <v>CARR LOYER INT HYPOTH.</v>
      </c>
      <c r="AL205" s="1030" t="str">
        <f>IFERROR(INDEX(G205:R205,1,MATCH(Parametres!$B$3,G$1:R$1,0)-1)*IF(OR(F205="L",F205="S",F205="I"),-1,1),"")</f>
        <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14"/>
        <v>H01660</v>
      </c>
      <c r="AU205" s="599" t="str">
        <f t="shared" si="14"/>
        <v>CARR LOYER INT HYPOTH.</v>
      </c>
      <c r="AV205" s="1030" t="str">
        <f>IFERROR(INDEX(V205:AG205,1,MATCH(Parametres!$B$3,V$1:AG$1,0)-1)*IF(OR(C205="L",C205="S",C205="I"),-1,1),"")</f>
        <v/>
      </c>
      <c r="AW205" s="1030">
        <f t="shared" si="15"/>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2"/>
        <v>H01661</v>
      </c>
      <c r="AK206" s="1030" t="str">
        <f t="shared" si="12"/>
        <v>CARR AMORT AMELIOR  LOC</v>
      </c>
      <c r="AL206" s="1030" t="str">
        <f>IFERROR(INDEX(G206:R206,1,MATCH(Parametres!$B$3,G$1:R$1,0)-1)*IF(OR(F206="L",F206="S",F206="I"),-1,1),"")</f>
        <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14"/>
        <v>H01661</v>
      </c>
      <c r="AU206" s="599" t="str">
        <f t="shared" si="14"/>
        <v>CARR AMORT AMELIOR  LOC</v>
      </c>
      <c r="AV206" s="1030" t="str">
        <f>IFERROR(INDEX(V206:AG206,1,MATCH(Parametres!$B$3,V$1:AG$1,0)-1)*IF(OR(C206="L",C206="S",C206="I"),-1,1),"")</f>
        <v/>
      </c>
      <c r="AW206" s="1030">
        <f t="shared" si="15"/>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2"/>
        <v>H01662</v>
      </c>
      <c r="AK207" s="1030" t="str">
        <f t="shared" si="12"/>
        <v>CARR ENTRERIEN PROPRIÉTÉ</v>
      </c>
      <c r="AL207" s="1030" t="str">
        <f>IFERROR(INDEX(G207:R207,1,MATCH(Parametres!$B$3,G$1:R$1,0)-1)*IF(OR(F207="L",F207="S",F207="I"),-1,1),"")</f>
        <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14"/>
        <v>H01662</v>
      </c>
      <c r="AU207" s="599" t="str">
        <f t="shared" si="14"/>
        <v>CARR ENTRERIEN PROPRIÉTÉ</v>
      </c>
      <c r="AV207" s="1030" t="str">
        <f>IFERROR(INDEX(V207:AG207,1,MATCH(Parametres!$B$3,V$1:AG$1,0)-1)*IF(OR(C207="L",C207="S",C207="I"),-1,1),"")</f>
        <v/>
      </c>
      <c r="AW207" s="1030">
        <f t="shared" si="15"/>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2"/>
        <v>H01663</v>
      </c>
      <c r="AK208" s="1030" t="str">
        <f t="shared" si="12"/>
        <v>CARR TAXES PROPRIÉTÉ</v>
      </c>
      <c r="AL208" s="1030" t="str">
        <f>IFERROR(INDEX(G208:R208,1,MATCH(Parametres!$B$3,G$1:R$1,0)-1)*IF(OR(F208="L",F208="S",F208="I"),-1,1),"")</f>
        <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14"/>
        <v>H01663</v>
      </c>
      <c r="AU208" s="599" t="str">
        <f t="shared" si="14"/>
        <v>CARR TAXES PROPRIÉTÉ</v>
      </c>
      <c r="AV208" s="1030" t="str">
        <f>IFERROR(INDEX(V208:AG208,1,MATCH(Parametres!$B$3,V$1:AG$1,0)-1)*IF(OR(C208="L",C208="S",C208="I"),-1,1),"")</f>
        <v/>
      </c>
      <c r="AW208" s="1030">
        <f t="shared" si="15"/>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2"/>
        <v>H01664</v>
      </c>
      <c r="AK209" s="1030" t="str">
        <f t="shared" si="12"/>
        <v>CARR ASSURANCE BATIMENT</v>
      </c>
      <c r="AL209" s="1030" t="str">
        <f>IFERROR(INDEX(G209:R209,1,MATCH(Parametres!$B$3,G$1:R$1,0)-1)*IF(OR(F209="L",F209="S",F209="I"),-1,1),"")</f>
        <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14"/>
        <v>H01664</v>
      </c>
      <c r="AU209" s="599" t="str">
        <f t="shared" si="14"/>
        <v>CARR ASSURANCE BATIMENT</v>
      </c>
      <c r="AV209" s="1030" t="str">
        <f>IFERROR(INDEX(V209:AG209,1,MATCH(Parametres!$B$3,V$1:AG$1,0)-1)*IF(OR(C209="L",C209="S",C209="I"),-1,1),"")</f>
        <v/>
      </c>
      <c r="AW209" s="1030">
        <f t="shared" si="15"/>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2"/>
        <v>H01665</v>
      </c>
      <c r="AK210" s="1030" t="str">
        <f t="shared" si="12"/>
        <v>CARR AMORT BATIMENT</v>
      </c>
      <c r="AL210" s="1030" t="str">
        <f>IFERROR(INDEX(G210:R210,1,MATCH(Parametres!$B$3,G$1:R$1,0)-1)*IF(OR(F210="L",F210="S",F210="I"),-1,1),"")</f>
        <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14"/>
        <v>H01665</v>
      </c>
      <c r="AU210" s="599" t="str">
        <f t="shared" si="14"/>
        <v>CARR AMORT BATIMENT</v>
      </c>
      <c r="AV210" s="1030" t="str">
        <f>IFERROR(INDEX(V210:AG210,1,MATCH(Parametres!$B$3,V$1:AG$1,0)-1)*IF(OR(C210="L",C210="S",C210="I"),-1,1),"")</f>
        <v/>
      </c>
      <c r="AW210" s="1030">
        <f t="shared" si="15"/>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2"/>
        <v>H01668</v>
      </c>
      <c r="AK211" s="1030" t="str">
        <f t="shared" si="12"/>
        <v>CARR TAXES AFFAIRES&amp;AUTRE</v>
      </c>
      <c r="AL211" s="1030" t="str">
        <f>IFERROR(INDEX(G211:R211,1,MATCH(Parametres!$B$3,G$1:R$1,0)-1)*IF(OR(F211="L",F211="S",F211="I"),-1,1),"")</f>
        <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14"/>
        <v>H01668</v>
      </c>
      <c r="AU211" s="599" t="str">
        <f t="shared" si="14"/>
        <v>CARR TAXES AFFAIRES&amp;AUTRE</v>
      </c>
      <c r="AV211" s="1030" t="str">
        <f>IFERROR(INDEX(V211:AG211,1,MATCH(Parametres!$B$3,V$1:AG$1,0)-1)*IF(OR(C211="L",C211="S",C211="I"),-1,1),"")</f>
        <v/>
      </c>
      <c r="AW211" s="1030">
        <f t="shared" si="15"/>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2"/>
        <v>H01669</v>
      </c>
      <c r="AK212" s="1030" t="str">
        <f t="shared" si="12"/>
        <v>CARR AMORT EQUIP &amp; INSTAL</v>
      </c>
      <c r="AL212" s="1030" t="str">
        <f>IFERROR(INDEX(G212:R212,1,MATCH(Parametres!$B$3,G$1:R$1,0)-1)*IF(OR(F212="L",F212="S",F212="I"),-1,1),"")</f>
        <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14"/>
        <v>H01669</v>
      </c>
      <c r="AU212" s="599" t="str">
        <f t="shared" si="14"/>
        <v>CARR AMORT EQUIP &amp; INSTAL</v>
      </c>
      <c r="AV212" s="1030" t="str">
        <f>IFERROR(INDEX(V212:AG212,1,MATCH(Parametres!$B$3,V$1:AG$1,0)-1)*IF(OR(C212="L",C212="S",C212="I"),-1,1),"")</f>
        <v/>
      </c>
      <c r="AW212" s="1030">
        <f t="shared" si="15"/>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2"/>
        <v>H01670</v>
      </c>
      <c r="AK213" s="1030" t="str">
        <f t="shared" si="12"/>
        <v>CARR ASSURANCE GENERALE</v>
      </c>
      <c r="AL213" s="1030" t="str">
        <f>IFERROR(INDEX(G213:R213,1,MATCH(Parametres!$B$3,G$1:R$1,0)-1)*IF(OR(F213="L",F213="S",F213="I"),-1,1),"")</f>
        <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14"/>
        <v>H01670</v>
      </c>
      <c r="AU213" s="599" t="str">
        <f t="shared" si="14"/>
        <v>CARR ASSURANCE GENERALE</v>
      </c>
      <c r="AV213" s="1030" t="str">
        <f>IFERROR(INDEX(V213:AG213,1,MATCH(Parametres!$B$3,V$1:AG$1,0)-1)*IF(OR(C213="L",C213="S",C213="I"),-1,1),"")</f>
        <v/>
      </c>
      <c r="AW213" s="1030">
        <f t="shared" si="15"/>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2"/>
        <v>H01674</v>
      </c>
      <c r="AK214" s="1030" t="str">
        <f t="shared" si="12"/>
        <v>CARR EAU/ELECT/CHAUFFAGE</v>
      </c>
      <c r="AL214" s="1030" t="str">
        <f>IFERROR(INDEX(G214:R214,1,MATCH(Parametres!$B$3,G$1:R$1,0)-1)*IF(OR(F214="L",F214="S",F214="I"),-1,1),"")</f>
        <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14"/>
        <v>H01674</v>
      </c>
      <c r="AU214" s="599" t="str">
        <f t="shared" si="14"/>
        <v>CARR EAU/ELECT/CHAUFFAGE</v>
      </c>
      <c r="AV214" s="1030" t="str">
        <f>IFERROR(INDEX(V214:AG214,1,MATCH(Parametres!$B$3,V$1:AG$1,0)-1)*IF(OR(C214="L",C214="S",C214="I"),-1,1),"")</f>
        <v/>
      </c>
      <c r="AW214" s="1030">
        <f t="shared" si="15"/>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2"/>
        <v>H01676</v>
      </c>
      <c r="AK215" s="1030" t="str">
        <f t="shared" si="12"/>
        <v>CARR VERIF. COMPTABLE</v>
      </c>
      <c r="AL215" s="1030" t="str">
        <f>IFERROR(INDEX(G215:R215,1,MATCH(Parametres!$B$3,G$1:R$1,0)-1)*IF(OR(F215="L",F215="S",F215="I"),-1,1),"")</f>
        <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14"/>
        <v>H01676</v>
      </c>
      <c r="AU215" s="599" t="str">
        <f t="shared" si="14"/>
        <v>CARR VERIF. COMPTABLE</v>
      </c>
      <c r="AV215" s="1030" t="str">
        <f>IFERROR(INDEX(V215:AG215,1,MATCH(Parametres!$B$3,V$1:AG$1,0)-1)*IF(OR(C215="L",C215="S",C215="I"),-1,1),"")</f>
        <v/>
      </c>
      <c r="AW215" s="1030">
        <f t="shared" si="15"/>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2"/>
        <v>H01677</v>
      </c>
      <c r="AK216" s="1030" t="str">
        <f t="shared" si="12"/>
        <v>CARR COTISATION SOUSCRIP</v>
      </c>
      <c r="AL216" s="1030" t="str">
        <f>IFERROR(INDEX(G216:R216,1,MATCH(Parametres!$B$3,G$1:R$1,0)-1)*IF(OR(F216="L",F216="S",F216="I"),-1,1),"")</f>
        <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14"/>
        <v>H01677</v>
      </c>
      <c r="AU216" s="599" t="str">
        <f t="shared" si="14"/>
        <v>CARR COTISATION SOUSCRIP</v>
      </c>
      <c r="AV216" s="1030" t="str">
        <f>IFERROR(INDEX(V216:AG216,1,MATCH(Parametres!$B$3,V$1:AG$1,0)-1)*IF(OR(C216="L",C216="S",C216="I"),-1,1),"")</f>
        <v/>
      </c>
      <c r="AW216" s="1030">
        <f t="shared" si="15"/>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2"/>
        <v>H01679</v>
      </c>
      <c r="AK217" s="1030" t="str">
        <f t="shared" si="12"/>
        <v>CARR DONATIONS</v>
      </c>
      <c r="AL217" s="1030" t="str">
        <f>IFERROR(INDEX(G217:R217,1,MATCH(Parametres!$B$3,G$1:R$1,0)-1)*IF(OR(F217="L",F217="S",F217="I"),-1,1),"")</f>
        <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14"/>
        <v>H01679</v>
      </c>
      <c r="AU217" s="599" t="str">
        <f t="shared" si="14"/>
        <v>CARR DONATIONS</v>
      </c>
      <c r="AV217" s="1030" t="str">
        <f>IFERROR(INDEX(V217:AG217,1,MATCH(Parametres!$B$3,V$1:AG$1,0)-1)*IF(OR(C217="L",C217="S",C217="I"),-1,1),"")</f>
        <v/>
      </c>
      <c r="AW217" s="1030">
        <f t="shared" si="15"/>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2"/>
        <v>H01801</v>
      </c>
      <c r="AK218" s="1030" t="str">
        <f t="shared" si="12"/>
        <v>L/R SALAIRES-VENTES DIR</v>
      </c>
      <c r="AL218" s="1030" t="str">
        <f>IFERROR(INDEX(G218:R218,1,MATCH(Parametres!$B$3,G$1:R$1,0)-1)*IF(OR(F218="L",F218="S",F218="I"),-1,1),"")</f>
        <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14"/>
        <v>H01801</v>
      </c>
      <c r="AU218" s="599" t="str">
        <f t="shared" si="14"/>
        <v>L/R SALAIRES-VENTES DIR</v>
      </c>
      <c r="AV218" s="1030" t="str">
        <f>IFERROR(INDEX(V218:AG218,1,MATCH(Parametres!$B$3,V$1:AG$1,0)-1)*IF(OR(C218="L",C218="S",C218="I"),-1,1),"")</f>
        <v/>
      </c>
      <c r="AW218" s="1030">
        <f t="shared" si="15"/>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2"/>
        <v>H01802</v>
      </c>
      <c r="AK219" s="1030" t="str">
        <f t="shared" si="12"/>
        <v>L/R SALAIRE COMM VENDEUR</v>
      </c>
      <c r="AL219" s="1030" t="str">
        <f>IFERROR(INDEX(G219:R219,1,MATCH(Parametres!$B$3,G$1:R$1,0)-1)*IF(OR(F219="L",F219="S",F219="I"),-1,1),"")</f>
        <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14"/>
        <v>H01802</v>
      </c>
      <c r="AU219" s="599" t="str">
        <f t="shared" si="14"/>
        <v>L/R SALAIRE COMM VENDEUR</v>
      </c>
      <c r="AV219" s="1030" t="str">
        <f>IFERROR(INDEX(V219:AG219,1,MATCH(Parametres!$B$3,V$1:AG$1,0)-1)*IF(OR(C219="L",C219="S",C219="I"),-1,1),"")</f>
        <v/>
      </c>
      <c r="AW219" s="1030">
        <f t="shared" si="15"/>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2"/>
        <v>H01803</v>
      </c>
      <c r="AK220" s="1030" t="str">
        <f t="shared" si="12"/>
        <v>L/R SALAIRES &amp; COMM F&amp;I</v>
      </c>
      <c r="AL220" s="1030" t="str">
        <f>IFERROR(INDEX(G220:R220,1,MATCH(Parametres!$B$3,G$1:R$1,0)-1)*IF(OR(F220="L",F220="S",F220="I"),-1,1),"")</f>
        <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14"/>
        <v>H01803</v>
      </c>
      <c r="AU220" s="599" t="str">
        <f t="shared" si="14"/>
        <v>L/R SALAIRES &amp; COMM F&amp;I</v>
      </c>
      <c r="AV220" s="1030" t="str">
        <f>IFERROR(INDEX(V220:AG220,1,MATCH(Parametres!$B$3,V$1:AG$1,0)-1)*IF(OR(C220="L",C220="S",C220="I"),-1,1),"")</f>
        <v/>
      </c>
      <c r="AW220" s="1030">
        <f t="shared" si="15"/>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2"/>
        <v>H01804</v>
      </c>
      <c r="AK221" s="1030" t="str">
        <f t="shared" si="12"/>
        <v>L/R PREP A LA ROUTE</v>
      </c>
      <c r="AL221" s="1030" t="str">
        <f>IFERROR(INDEX(G221:R221,1,MATCH(Parametres!$B$3,G$1:R$1,0)-1)*IF(OR(F221="L",F221="S",F221="I"),-1,1),"")</f>
        <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14"/>
        <v>H01804</v>
      </c>
      <c r="AU221" s="599" t="str">
        <f t="shared" si="14"/>
        <v>L/R PREP A LA ROUTE</v>
      </c>
      <c r="AV221" s="1030" t="str">
        <f>IFERROR(INDEX(V221:AG221,1,MATCH(Parametres!$B$3,V$1:AG$1,0)-1)*IF(OR(C221="L",C221="S",C221="I"),-1,1),"")</f>
        <v/>
      </c>
      <c r="AW221" s="1030">
        <f t="shared" si="15"/>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2"/>
        <v>H01805</v>
      </c>
      <c r="AK222" s="1030" t="str">
        <f t="shared" si="12"/>
        <v>L/R PRATIQUES DE GARANTIE</v>
      </c>
      <c r="AL222" s="1030" t="str">
        <f>IFERROR(INDEX(G222:R222,1,MATCH(Parametres!$B$3,G$1:R$1,0)-1)*IF(OR(F222="L",F222="S",F222="I"),-1,1),"")</f>
        <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14"/>
        <v>H01805</v>
      </c>
      <c r="AU222" s="599" t="str">
        <f t="shared" si="14"/>
        <v>L/R PRATIQUES DE GARANTIE</v>
      </c>
      <c r="AV222" s="1030" t="str">
        <f>IFERROR(INDEX(V222:AG222,1,MATCH(Parametres!$B$3,V$1:AG$1,0)-1)*IF(OR(C222="L",C222="S",C222="I"),-1,1),"")</f>
        <v/>
      </c>
      <c r="AW222" s="1030">
        <f t="shared" si="15"/>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2"/>
        <v>H01806</v>
      </c>
      <c r="AK223" s="1030" t="str">
        <f t="shared" si="12"/>
        <v>L/R TOT PUB &amp; PROMO VENTE</v>
      </c>
      <c r="AL223" s="1030" t="str">
        <f>IFERROR(INDEX(G223:R223,1,MATCH(Parametres!$B$3,G$1:R$1,0)-1)*IF(OR(F223="L",F223="S",F223="I"),-1,1),"")</f>
        <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14"/>
        <v>H01806</v>
      </c>
      <c r="AU223" s="599" t="str">
        <f t="shared" si="14"/>
        <v>L/R TOT PUB &amp; PROMO VENTE</v>
      </c>
      <c r="AV223" s="1030" t="str">
        <f>IFERROR(INDEX(V223:AG223,1,MATCH(Parametres!$B$3,V$1:AG$1,0)-1)*IF(OR(C223="L",C223="S",C223="I"),-1,1),"")</f>
        <v/>
      </c>
      <c r="AW223" s="1030">
        <f t="shared" si="15"/>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2"/>
        <v>H01807</v>
      </c>
      <c r="AK224" s="1030" t="str">
        <f t="shared" si="12"/>
        <v>L/R COOP RABAIS PUBLICITE</v>
      </c>
      <c r="AL224" s="1030" t="str">
        <f>IFERROR(INDEX(G224:R224,1,MATCH(Parametres!$B$3,G$1:R$1,0)-1)*IF(OR(F224="L",F224="S",F224="I"),-1,1),"")</f>
        <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14"/>
        <v>H01807</v>
      </c>
      <c r="AU224" s="599" t="str">
        <f t="shared" si="14"/>
        <v>L/R COOP RABAIS PUBLICITE</v>
      </c>
      <c r="AV224" s="1030" t="str">
        <f>IFERROR(INDEX(V224:AG224,1,MATCH(Parametres!$B$3,V$1:AG$1,0)-1)*IF(OR(C224="L",C224="S",C224="I"),-1,1),"")</f>
        <v/>
      </c>
      <c r="AW224" s="1030">
        <f t="shared" si="15"/>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2"/>
        <v>H01808</v>
      </c>
      <c r="AK225" s="1030" t="str">
        <f t="shared" si="12"/>
        <v>L/R DEMONSTRATEURS</v>
      </c>
      <c r="AL225" s="1030" t="str">
        <f>IFERROR(INDEX(G225:R225,1,MATCH(Parametres!$B$3,G$1:R$1,0)-1)*IF(OR(F225="L",F225="S",F225="I"),-1,1),"")</f>
        <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14"/>
        <v>H01808</v>
      </c>
      <c r="AU225" s="599" t="str">
        <f t="shared" si="14"/>
        <v>L/R DEMONSTRATEURS</v>
      </c>
      <c r="AV225" s="1030" t="str">
        <f>IFERROR(INDEX(V225:AG225,1,MATCH(Parametres!$B$3,V$1:AG$1,0)-1)*IF(OR(C225="L",C225="S",C225="I"),-1,1),"")</f>
        <v/>
      </c>
      <c r="AW225" s="1030">
        <f t="shared" si="15"/>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2"/>
        <v>H01809</v>
      </c>
      <c r="AK226" s="1030" t="str">
        <f t="shared" si="12"/>
        <v>L/R ENT VEH EN STOCK</v>
      </c>
      <c r="AL226" s="1030" t="str">
        <f>IFERROR(INDEX(G226:R226,1,MATCH(Parametres!$B$3,G$1:R$1,0)-1)*IF(OR(F226="L",F226="S",F226="I"),-1,1),"")</f>
        <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14"/>
        <v>H01809</v>
      </c>
      <c r="AU226" s="599" t="str">
        <f t="shared" si="14"/>
        <v>L/R ENT VEH EN STOCK</v>
      </c>
      <c r="AV226" s="1030" t="str">
        <f>IFERROR(INDEX(V226:AG226,1,MATCH(Parametres!$B$3,V$1:AG$1,0)-1)*IF(OR(C226="L",C226="S",C226="I"),-1,1),"")</f>
        <v/>
      </c>
      <c r="AW226" s="1030">
        <f t="shared" si="15"/>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2"/>
        <v>H01810</v>
      </c>
      <c r="AK227" s="1030" t="str">
        <f t="shared" si="12"/>
        <v>L/R FRAIS FINANCEMENT</v>
      </c>
      <c r="AL227" s="1030" t="str">
        <f>IFERROR(INDEX(G227:R227,1,MATCH(Parametres!$B$3,G$1:R$1,0)-1)*IF(OR(F227="L",F227="S",F227="I"),-1,1),"")</f>
        <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14"/>
        <v>H01810</v>
      </c>
      <c r="AU227" s="599" t="str">
        <f t="shared" si="14"/>
        <v>L/R FRAIS FINANCEMENT</v>
      </c>
      <c r="AV227" s="1030" t="str">
        <f>IFERROR(INDEX(V227:AG227,1,MATCH(Parametres!$B$3,V$1:AG$1,0)-1)*IF(OR(C227="L",C227="S",C227="I"),-1,1),"")</f>
        <v/>
      </c>
      <c r="AW227" s="1030">
        <f t="shared" si="15"/>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2"/>
        <v>H01820</v>
      </c>
      <c r="AK228" s="1030" t="str">
        <f t="shared" si="12"/>
        <v>L/R MGR COMPENSATON</v>
      </c>
      <c r="AL228" s="1030" t="str">
        <f>IFERROR(INDEX(G228:R228,1,MATCH(Parametres!$B$3,G$1:R$1,0)-1)*IF(OR(F228="L",F228="S",F228="I"),-1,1),"")</f>
        <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14"/>
        <v>H01820</v>
      </c>
      <c r="AU228" s="599" t="str">
        <f t="shared" si="14"/>
        <v>L/R MGR COMPENSATON</v>
      </c>
      <c r="AV228" s="1030" t="str">
        <f>IFERROR(INDEX(V228:AG228,1,MATCH(Parametres!$B$3,V$1:AG$1,0)-1)*IF(OR(C228="L",C228="S",C228="I"),-1,1),"")</f>
        <v/>
      </c>
      <c r="AW228" s="1030">
        <f t="shared" si="15"/>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2"/>
        <v>H01821</v>
      </c>
      <c r="AK229" s="1030" t="str">
        <f t="shared" si="12"/>
        <v>L/R SALAIRES -AUTRES</v>
      </c>
      <c r="AL229" s="1030" t="str">
        <f>IFERROR(INDEX(G229:R229,1,MATCH(Parametres!$B$3,G$1:R$1,0)-1)*IF(OR(F229="L",F229="S",F229="I"),-1,1),"")</f>
        <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14"/>
        <v>H01821</v>
      </c>
      <c r="AU229" s="599" t="str">
        <f t="shared" si="14"/>
        <v>L/R SALAIRES -AUTRES</v>
      </c>
      <c r="AV229" s="1030" t="str">
        <f>IFERROR(INDEX(V229:AG229,1,MATCH(Parametres!$B$3,V$1:AG$1,0)-1)*IF(OR(C229="L",C229="S",C229="I"),-1,1),"")</f>
        <v/>
      </c>
      <c r="AW229" s="1030">
        <f t="shared" si="15"/>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2"/>
        <v>H01823</v>
      </c>
      <c r="AK230" s="1030" t="str">
        <f t="shared" si="12"/>
        <v>L/R ABS. &amp; CONGES PAYES</v>
      </c>
      <c r="AL230" s="1030" t="str">
        <f>IFERROR(INDEX(G230:R230,1,MATCH(Parametres!$B$3,G$1:R$1,0)-1)*IF(OR(F230="L",F230="S",F230="I"),-1,1),"")</f>
        <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14"/>
        <v>H01823</v>
      </c>
      <c r="AU230" s="599" t="str">
        <f t="shared" si="14"/>
        <v>L/R ABS. &amp; CONGES PAYES</v>
      </c>
      <c r="AV230" s="1030" t="str">
        <f>IFERROR(INDEX(V230:AG230,1,MATCH(Parametres!$B$3,V$1:AG$1,0)-1)*IF(OR(C230="L",C230="S",C230="I"),-1,1),"")</f>
        <v/>
      </c>
      <c r="AW230" s="1030">
        <f t="shared" si="15"/>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2"/>
        <v>H01824</v>
      </c>
      <c r="AK231" s="1030" t="str">
        <f t="shared" si="12"/>
        <v>L/R CSST</v>
      </c>
      <c r="AL231" s="1030" t="str">
        <f>IFERROR(INDEX(G231:R231,1,MATCH(Parametres!$B$3,G$1:R$1,0)-1)*IF(OR(F231="L",F231="S",F231="I"),-1,1),"")</f>
        <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14"/>
        <v>H01824</v>
      </c>
      <c r="AU231" s="599" t="str">
        <f t="shared" si="14"/>
        <v>L/R CSST</v>
      </c>
      <c r="AV231" s="1030" t="str">
        <f>IFERROR(INDEX(V231:AG231,1,MATCH(Parametres!$B$3,V$1:AG$1,0)-1)*IF(OR(C231="L",C231="S",C231="I"),-1,1),"")</f>
        <v/>
      </c>
      <c r="AW231" s="1030">
        <f t="shared" si="15"/>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2"/>
        <v>H01825</v>
      </c>
      <c r="AK232" s="1030" t="str">
        <f t="shared" si="12"/>
        <v>L/R ASSURANCE CHOMAGE</v>
      </c>
      <c r="AL232" s="1030" t="str">
        <f>IFERROR(INDEX(G232:R232,1,MATCH(Parametres!$B$3,G$1:R$1,0)-1)*IF(OR(F232="L",F232="S",F232="I"),-1,1),"")</f>
        <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14"/>
        <v>H01825</v>
      </c>
      <c r="AU232" s="599" t="str">
        <f t="shared" si="14"/>
        <v>L/R ASSURANCE CHOMAGE</v>
      </c>
      <c r="AV232" s="1030" t="str">
        <f>IFERROR(INDEX(V232:AG232,1,MATCH(Parametres!$B$3,V$1:AG$1,0)-1)*IF(OR(C232="L",C232="S",C232="I"),-1,1),"")</f>
        <v/>
      </c>
      <c r="AW232" s="1030">
        <f t="shared" si="15"/>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2"/>
        <v>H01826</v>
      </c>
      <c r="AK233" s="1030" t="str">
        <f t="shared" si="12"/>
        <v>L/R ASSURANCE GROUPE</v>
      </c>
      <c r="AL233" s="1030" t="str">
        <f>IFERROR(INDEX(G233:R233,1,MATCH(Parametres!$B$3,G$1:R$1,0)-1)*IF(OR(F233="L",F233="S",F233="I"),-1,1),"")</f>
        <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14"/>
        <v>H01826</v>
      </c>
      <c r="AU233" s="599" t="str">
        <f t="shared" si="14"/>
        <v>L/R ASSURANCE GROUPE</v>
      </c>
      <c r="AV233" s="1030" t="str">
        <f>IFERROR(INDEX(V233:AG233,1,MATCH(Parametres!$B$3,V$1:AG$1,0)-1)*IF(OR(C233="L",C233="S",C233="I"),-1,1),"")</f>
        <v/>
      </c>
      <c r="AW233" s="1030">
        <f t="shared" si="15"/>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2"/>
        <v>H01827</v>
      </c>
      <c r="AK234" s="1030" t="str">
        <f t="shared" si="12"/>
        <v>L/R AUTRES AV. SOCIAUX</v>
      </c>
      <c r="AL234" s="1030" t="str">
        <f>IFERROR(INDEX(G234:R234,1,MATCH(Parametres!$B$3,G$1:R$1,0)-1)*IF(OR(F234="L",F234="S",F234="I"),-1,1),"")</f>
        <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14"/>
        <v>H01827</v>
      </c>
      <c r="AU234" s="599" t="str">
        <f t="shared" si="14"/>
        <v>L/R AUTRES AV. SOCIAUX</v>
      </c>
      <c r="AV234" s="1030" t="str">
        <f>IFERROR(INDEX(V234:AG234,1,MATCH(Parametres!$B$3,V$1:AG$1,0)-1)*IF(OR(C234="L",C234="S",C234="I"),-1,1),"")</f>
        <v/>
      </c>
      <c r="AW234" s="1030">
        <f t="shared" si="15"/>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2"/>
        <v>H01828</v>
      </c>
      <c r="AK235" s="1030" t="str">
        <f t="shared" si="12"/>
        <v>L/R FORMATION</v>
      </c>
      <c r="AL235" s="1030" t="str">
        <f>IFERROR(INDEX(G235:R235,1,MATCH(Parametres!$B$3,G$1:R$1,0)-1)*IF(OR(F235="L",F235="S",F235="I"),-1,1),"")</f>
        <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14"/>
        <v>H01828</v>
      </c>
      <c r="AU235" s="599" t="str">
        <f t="shared" si="14"/>
        <v>L/R FORMATION</v>
      </c>
      <c r="AV235" s="1030" t="str">
        <f>IFERROR(INDEX(V235:AG235,1,MATCH(Parametres!$B$3,V$1:AG$1,0)-1)*IF(OR(C235="L",C235="S",C235="I"),-1,1),"")</f>
        <v/>
      </c>
      <c r="AW235" s="1030">
        <f t="shared" si="15"/>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2"/>
        <v>H01830</v>
      </c>
      <c r="AK236" s="1030" t="str">
        <f t="shared" si="12"/>
        <v>L/R PAPETRIE-FOUR. BUREAU</v>
      </c>
      <c r="AL236" s="1030" t="str">
        <f>IFERROR(INDEX(G236:R236,1,MATCH(Parametres!$B$3,G$1:R$1,0)-1)*IF(OR(F236="L",F236="S",F236="I"),-1,1),"")</f>
        <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14"/>
        <v>H01830</v>
      </c>
      <c r="AU236" s="599" t="str">
        <f t="shared" si="14"/>
        <v>L/R PAPETRIE-FOUR. BUREAU</v>
      </c>
      <c r="AV236" s="1030" t="str">
        <f>IFERROR(INDEX(V236:AG236,1,MATCH(Parametres!$B$3,V$1:AG$1,0)-1)*IF(OR(C236="L",C236="S",C236="I"),-1,1),"")</f>
        <v/>
      </c>
      <c r="AW236" s="1030">
        <f t="shared" si="15"/>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2"/>
        <v>H01831</v>
      </c>
      <c r="AK237" s="1030" t="str">
        <f t="shared" si="12"/>
        <v>L/R OUTILLAGE-FOUR DIVERS</v>
      </c>
      <c r="AL237" s="1030" t="str">
        <f>IFERROR(INDEX(G237:R237,1,MATCH(Parametres!$B$3,G$1:R$1,0)-1)*IF(OR(F237="L",F237="S",F237="I"),-1,1),"")</f>
        <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14"/>
        <v>H01831</v>
      </c>
      <c r="AU237" s="599" t="str">
        <f t="shared" si="14"/>
        <v>L/R OUTILLAGE-FOUR DIVERS</v>
      </c>
      <c r="AV237" s="1030" t="str">
        <f>IFERROR(INDEX(V237:AG237,1,MATCH(Parametres!$B$3,V$1:AG$1,0)-1)*IF(OR(C237="L",C237="S",C237="I"),-1,1),"")</f>
        <v/>
      </c>
      <c r="AW237" s="1030">
        <f t="shared" si="15"/>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2"/>
        <v>H01834</v>
      </c>
      <c r="AK238" s="1030" t="str">
        <f t="shared" si="12"/>
        <v>L/R UNIFORMES-SALOPETTES</v>
      </c>
      <c r="AL238" s="1030" t="str">
        <f>IFERROR(INDEX(G238:R238,1,MATCH(Parametres!$B$3,G$1:R$1,0)-1)*IF(OR(F238="L",F238="S",F238="I"),-1,1),"")</f>
        <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14"/>
        <v>H01834</v>
      </c>
      <c r="AU238" s="599" t="str">
        <f t="shared" si="14"/>
        <v>L/R UNIFORMES-SALOPETTES</v>
      </c>
      <c r="AV238" s="1030" t="str">
        <f>IFERROR(INDEX(V238:AG238,1,MATCH(Parametres!$B$3,V$1:AG$1,0)-1)*IF(OR(C238="L",C238="S",C238="I"),-1,1),"")</f>
        <v/>
      </c>
      <c r="AW238" s="1030">
        <f t="shared" si="15"/>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2"/>
        <v>H01835</v>
      </c>
      <c r="AK239" s="1030" t="str">
        <f t="shared" si="12"/>
        <v>L/R CONCIERGE - NETTOYAGE</v>
      </c>
      <c r="AL239" s="1030" t="str">
        <f>IFERROR(INDEX(G239:R239,1,MATCH(Parametres!$B$3,G$1:R$1,0)-1)*IF(OR(F239="L",F239="S",F239="I"),-1,1),"")</f>
        <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14"/>
        <v>H01835</v>
      </c>
      <c r="AU239" s="599" t="str">
        <f t="shared" si="14"/>
        <v>L/R CONCIERGE - NETTOYAGE</v>
      </c>
      <c r="AV239" s="1030" t="str">
        <f>IFERROR(INDEX(V239:AG239,1,MATCH(Parametres!$B$3,V$1:AG$1,0)-1)*IF(OR(C239="L",C239="S",C239="I"),-1,1),"")</f>
        <v/>
      </c>
      <c r="AW239" s="1030">
        <f t="shared" si="15"/>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2"/>
        <v>H01840</v>
      </c>
      <c r="AK240" s="1030" t="str">
        <f t="shared" si="12"/>
        <v>L/R ENT EQUIPMENT</v>
      </c>
      <c r="AL240" s="1030" t="str">
        <f>IFERROR(INDEX(G240:R240,1,MATCH(Parametres!$B$3,G$1:R$1,0)-1)*IF(OR(F240="L",F240="S",F240="I"),-1,1),"")</f>
        <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14"/>
        <v>H01840</v>
      </c>
      <c r="AU240" s="599" t="str">
        <f t="shared" si="14"/>
        <v>L/R ENT EQUIPMENT</v>
      </c>
      <c r="AV240" s="1030" t="str">
        <f>IFERROR(INDEX(V240:AG240,1,MATCH(Parametres!$B$3,V$1:AG$1,0)-1)*IF(OR(C240="L",C240="S",C240="I"),-1,1),"")</f>
        <v/>
      </c>
      <c r="AW240" s="1030">
        <f t="shared" si="15"/>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2"/>
        <v>H01841</v>
      </c>
      <c r="AK241" s="1030" t="str">
        <f t="shared" si="12"/>
        <v>L/R VEH DE SERVITUDES</v>
      </c>
      <c r="AL241" s="1030" t="str">
        <f>IFERROR(INDEX(G241:R241,1,MATCH(Parametres!$B$3,G$1:R$1,0)-1)*IF(OR(F241="L",F241="S",F241="I"),-1,1),"")</f>
        <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14"/>
        <v>H01841</v>
      </c>
      <c r="AU241" s="599" t="str">
        <f t="shared" si="14"/>
        <v>L/R VEH DE SERVITUDES</v>
      </c>
      <c r="AV241" s="1030" t="str">
        <f>IFERROR(INDEX(V241:AG241,1,MATCH(Parametres!$B$3,V$1:AG$1,0)-1)*IF(OR(C241="L",C241="S",C241="I"),-1,1),"")</f>
        <v/>
      </c>
      <c r="AW241" s="1030">
        <f t="shared" si="15"/>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2"/>
        <v>H01843</v>
      </c>
      <c r="AK242" s="1030" t="str">
        <f t="shared" si="12"/>
        <v>L/R LOCATION EQUIPEMENT</v>
      </c>
      <c r="AL242" s="1030" t="str">
        <f>IFERROR(INDEX(G242:R242,1,MATCH(Parametres!$B$3,G$1:R$1,0)-1)*IF(OR(F242="L",F242="S",F242="I"),-1,1),"")</f>
        <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14"/>
        <v>H01843</v>
      </c>
      <c r="AU242" s="599" t="str">
        <f t="shared" si="14"/>
        <v>L/R LOCATION EQUIPEMENT</v>
      </c>
      <c r="AV242" s="1030" t="str">
        <f>IFERROR(INDEX(V242:AG242,1,MATCH(Parametres!$B$3,V$1:AG$1,0)-1)*IF(OR(C242="L",C242="S",C242="I"),-1,1),"")</f>
        <v/>
      </c>
      <c r="AW242" s="1030">
        <f t="shared" si="15"/>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2"/>
        <v>H01844</v>
      </c>
      <c r="AK243" s="1030" t="str">
        <f t="shared" si="12"/>
        <v>L/R TRAITEMENT DONNEES</v>
      </c>
      <c r="AL243" s="1030" t="str">
        <f>IFERROR(INDEX(G243:R243,1,MATCH(Parametres!$B$3,G$1:R$1,0)-1)*IF(OR(F243="L",F243="S",F243="I"),-1,1),"")</f>
        <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14"/>
        <v>H01844</v>
      </c>
      <c r="AU243" s="599" t="str">
        <f t="shared" si="14"/>
        <v>L/R TRAITEMENT DONNEES</v>
      </c>
      <c r="AV243" s="1030" t="str">
        <f>IFERROR(INDEX(V243:AG243,1,MATCH(Parametres!$B$3,V$1:AG$1,0)-1)*IF(OR(C243="L",C243="S",C243="I"),-1,1),"")</f>
        <v/>
      </c>
      <c r="AW243" s="1030">
        <f t="shared" si="15"/>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2"/>
        <v>H01846</v>
      </c>
      <c r="AK244" s="1030" t="str">
        <f t="shared" si="12"/>
        <v>L/R DEPLACEMENT-REPRESENT</v>
      </c>
      <c r="AL244" s="1030" t="str">
        <f>IFERROR(INDEX(G244:R244,1,MATCH(Parametres!$B$3,G$1:R$1,0)-1)*IF(OR(F244="L",F244="S",F244="I"),-1,1),"")</f>
        <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14"/>
        <v>H01846</v>
      </c>
      <c r="AU244" s="599" t="str">
        <f t="shared" si="14"/>
        <v>L/R DEPLACEMENT-REPRESENT</v>
      </c>
      <c r="AV244" s="1030" t="str">
        <f>IFERROR(INDEX(V244:AG244,1,MATCH(Parametres!$B$3,V$1:AG$1,0)-1)*IF(OR(C244="L",C244="S",C244="I"),-1,1),"")</f>
        <v/>
      </c>
      <c r="AW244" s="1030">
        <f t="shared" si="15"/>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2"/>
        <v>H01847</v>
      </c>
      <c r="AK245" s="1030" t="str">
        <f t="shared" si="12"/>
        <v>L/R TELEPHONE-TELEGRAMMES</v>
      </c>
      <c r="AL245" s="1030" t="str">
        <f>IFERROR(INDEX(G245:R245,1,MATCH(Parametres!$B$3,G$1:R$1,0)-1)*IF(OR(F245="L",F245="S",F245="I"),-1,1),"")</f>
        <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14"/>
        <v>H01847</v>
      </c>
      <c r="AU245" s="599" t="str">
        <f t="shared" si="14"/>
        <v>L/R TELEPHONE-TELEGRAMMES</v>
      </c>
      <c r="AV245" s="1030" t="str">
        <f>IFERROR(INDEX(V245:AG245,1,MATCH(Parametres!$B$3,V$1:AG$1,0)-1)*IF(OR(C245="L",C245="S",C245="I"),-1,1),"")</f>
        <v/>
      </c>
      <c r="AW245" s="1030">
        <f t="shared" si="15"/>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2"/>
        <v>H01848</v>
      </c>
      <c r="AK246" s="1030" t="str">
        <f t="shared" si="12"/>
        <v>L/R FRAIS POSTAUX</v>
      </c>
      <c r="AL246" s="1030" t="str">
        <f>IFERROR(INDEX(G246:R246,1,MATCH(Parametres!$B$3,G$1:R$1,0)-1)*IF(OR(F246="L",F246="S",F246="I"),-1,1),"")</f>
        <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14"/>
        <v>H01848</v>
      </c>
      <c r="AU246" s="599" t="str">
        <f t="shared" si="14"/>
        <v>L/R FRAIS POSTAUX</v>
      </c>
      <c r="AV246" s="1030" t="str">
        <f>IFERROR(INDEX(V246:AG246,1,MATCH(Parametres!$B$3,V$1:AG$1,0)-1)*IF(OR(C246="L",C246="S",C246="I"),-1,1),"")</f>
        <v/>
      </c>
      <c r="AW246" s="1030">
        <f t="shared" si="15"/>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2"/>
        <v>H01852</v>
      </c>
      <c r="AK247" s="1030" t="str">
        <f t="shared" si="12"/>
        <v>L/R DIVERS</v>
      </c>
      <c r="AL247" s="1030" t="str">
        <f>IFERROR(INDEX(G247:R247,1,MATCH(Parametres!$B$3,G$1:R$1,0)-1)*IF(OR(F247="L",F247="S",F247="I"),-1,1),"")</f>
        <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14"/>
        <v>H01852</v>
      </c>
      <c r="AU247" s="599" t="str">
        <f t="shared" si="14"/>
        <v>L/R DIVERS</v>
      </c>
      <c r="AV247" s="1030" t="str">
        <f>IFERROR(INDEX(V247:AG247,1,MATCH(Parametres!$B$3,V$1:AG$1,0)-1)*IF(OR(C247="L",C247="S",C247="I"),-1,1),"")</f>
        <v/>
      </c>
      <c r="AW247" s="1030">
        <f t="shared" si="15"/>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2"/>
        <v>H01860</v>
      </c>
      <c r="AK248" s="1030" t="str">
        <f t="shared" si="12"/>
        <v>L/R LOYER INT HYPOTH.</v>
      </c>
      <c r="AL248" s="1030" t="str">
        <f>IFERROR(INDEX(G248:R248,1,MATCH(Parametres!$B$3,G$1:R$1,0)-1)*IF(OR(F248="L",F248="S",F248="I"),-1,1),"")</f>
        <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14"/>
        <v>H01860</v>
      </c>
      <c r="AU248" s="599" t="str">
        <f t="shared" si="14"/>
        <v>L/R LOYER INT HYPOTH.</v>
      </c>
      <c r="AV248" s="1030" t="str">
        <f>IFERROR(INDEX(V248:AG248,1,MATCH(Parametres!$B$3,V$1:AG$1,0)-1)*IF(OR(C248="L",C248="S",C248="I"),-1,1),"")</f>
        <v/>
      </c>
      <c r="AW248" s="1030">
        <f t="shared" si="15"/>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2"/>
        <v>H01861</v>
      </c>
      <c r="AK249" s="1030" t="str">
        <f t="shared" si="12"/>
        <v>L/R AMORT AMELIOR  LOC</v>
      </c>
      <c r="AL249" s="1030" t="str">
        <f>IFERROR(INDEX(G249:R249,1,MATCH(Parametres!$B$3,G$1:R$1,0)-1)*IF(OR(F249="L",F249="S",F249="I"),-1,1),"")</f>
        <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14"/>
        <v>H01861</v>
      </c>
      <c r="AU249" s="599" t="str">
        <f t="shared" si="14"/>
        <v>L/R AMORT AMELIOR  LOC</v>
      </c>
      <c r="AV249" s="1030" t="str">
        <f>IFERROR(INDEX(V249:AG249,1,MATCH(Parametres!$B$3,V$1:AG$1,0)-1)*IF(OR(C249="L",C249="S",C249="I"),-1,1),"")</f>
        <v/>
      </c>
      <c r="AW249" s="1030">
        <f t="shared" si="15"/>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2"/>
        <v>H01862</v>
      </c>
      <c r="AK250" s="1030" t="str">
        <f t="shared" si="12"/>
        <v>L/R ENTRERIEN PROPRIÉTÉ</v>
      </c>
      <c r="AL250" s="1030" t="str">
        <f>IFERROR(INDEX(G250:R250,1,MATCH(Parametres!$B$3,G$1:R$1,0)-1)*IF(OR(F250="L",F250="S",F250="I"),-1,1),"")</f>
        <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14"/>
        <v>H01862</v>
      </c>
      <c r="AU250" s="599" t="str">
        <f t="shared" si="14"/>
        <v>L/R ENTRERIEN PROPRIÉTÉ</v>
      </c>
      <c r="AV250" s="1030" t="str">
        <f>IFERROR(INDEX(V250:AG250,1,MATCH(Parametres!$B$3,V$1:AG$1,0)-1)*IF(OR(C250="L",C250="S",C250="I"),-1,1),"")</f>
        <v/>
      </c>
      <c r="AW250" s="1030">
        <f t="shared" si="15"/>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2"/>
        <v>H01863</v>
      </c>
      <c r="AK251" s="1030" t="str">
        <f t="shared" si="12"/>
        <v>L/R TAXES PROPRIÉTÉ</v>
      </c>
      <c r="AL251" s="1030" t="str">
        <f>IFERROR(INDEX(G251:R251,1,MATCH(Parametres!$B$3,G$1:R$1,0)-1)*IF(OR(F251="L",F251="S",F251="I"),-1,1),"")</f>
        <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14"/>
        <v>H01863</v>
      </c>
      <c r="AU251" s="599" t="str">
        <f t="shared" si="14"/>
        <v>L/R TAXES PROPRIÉTÉ</v>
      </c>
      <c r="AV251" s="1030" t="str">
        <f>IFERROR(INDEX(V251:AG251,1,MATCH(Parametres!$B$3,V$1:AG$1,0)-1)*IF(OR(C251="L",C251="S",C251="I"),-1,1),"")</f>
        <v/>
      </c>
      <c r="AW251" s="1030">
        <f t="shared" si="15"/>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2"/>
        <v>H01864</v>
      </c>
      <c r="AK252" s="1030" t="str">
        <f t="shared" si="12"/>
        <v>L/R ASSURANCE BATIMENT</v>
      </c>
      <c r="AL252" s="1030" t="str">
        <f>IFERROR(INDEX(G252:R252,1,MATCH(Parametres!$B$3,G$1:R$1,0)-1)*IF(OR(F252="L",F252="S",F252="I"),-1,1),"")</f>
        <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14"/>
        <v>H01864</v>
      </c>
      <c r="AU252" s="599" t="str">
        <f t="shared" si="14"/>
        <v>L/R ASSURANCE BATIMENT</v>
      </c>
      <c r="AV252" s="1030" t="str">
        <f>IFERROR(INDEX(V252:AG252,1,MATCH(Parametres!$B$3,V$1:AG$1,0)-1)*IF(OR(C252="L",C252="S",C252="I"),-1,1),"")</f>
        <v/>
      </c>
      <c r="AW252" s="1030">
        <f t="shared" si="15"/>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2"/>
        <v>H01865</v>
      </c>
      <c r="AK253" s="1030" t="str">
        <f t="shared" si="12"/>
        <v>L/R AMORT BATIMENT</v>
      </c>
      <c r="AL253" s="1030" t="str">
        <f>IFERROR(INDEX(G253:R253,1,MATCH(Parametres!$B$3,G$1:R$1,0)-1)*IF(OR(F253="L",F253="S",F253="I"),-1,1),"")</f>
        <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14"/>
        <v>H01865</v>
      </c>
      <c r="AU253" s="599" t="str">
        <f t="shared" si="14"/>
        <v>L/R AMORT BATIMENT</v>
      </c>
      <c r="AV253" s="1030" t="str">
        <f>IFERROR(INDEX(V253:AG253,1,MATCH(Parametres!$B$3,V$1:AG$1,0)-1)*IF(OR(C253="L",C253="S",C253="I"),-1,1),"")</f>
        <v/>
      </c>
      <c r="AW253" s="1030">
        <f t="shared" si="15"/>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2"/>
        <v>H01868</v>
      </c>
      <c r="AK254" s="1030" t="str">
        <f t="shared" si="12"/>
        <v>L/R TAXES AFFAIRES-AUTRE</v>
      </c>
      <c r="AL254" s="1030" t="str">
        <f>IFERROR(INDEX(G254:R254,1,MATCH(Parametres!$B$3,G$1:R$1,0)-1)*IF(OR(F254="L",F254="S",F254="I"),-1,1),"")</f>
        <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14"/>
        <v>H01868</v>
      </c>
      <c r="AU254" s="599" t="str">
        <f t="shared" si="14"/>
        <v>L/R TAXES AFFAIRES-AUTRE</v>
      </c>
      <c r="AV254" s="1030" t="str">
        <f>IFERROR(INDEX(V254:AG254,1,MATCH(Parametres!$B$3,V$1:AG$1,0)-1)*IF(OR(C254="L",C254="S",C254="I"),-1,1),"")</f>
        <v/>
      </c>
      <c r="AW254" s="1030">
        <f t="shared" si="15"/>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2"/>
        <v>H01869</v>
      </c>
      <c r="AK255" s="1030" t="str">
        <f t="shared" si="12"/>
        <v>L/R AMORT EQUIP &amp; INSTALL</v>
      </c>
      <c r="AL255" s="1030" t="str">
        <f>IFERROR(INDEX(G255:R255,1,MATCH(Parametres!$B$3,G$1:R$1,0)-1)*IF(OR(F255="L",F255="S",F255="I"),-1,1),"")</f>
        <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14"/>
        <v>H01869</v>
      </c>
      <c r="AU255" s="599" t="str">
        <f t="shared" si="14"/>
        <v>L/R AMORT EQUIP &amp; INSTALL</v>
      </c>
      <c r="AV255" s="1030" t="str">
        <f>IFERROR(INDEX(V255:AG255,1,MATCH(Parametres!$B$3,V$1:AG$1,0)-1)*IF(OR(C255="L",C255="S",C255="I"),-1,1),"")</f>
        <v/>
      </c>
      <c r="AW255" s="1030">
        <f t="shared" si="15"/>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2"/>
        <v>H01870</v>
      </c>
      <c r="AK256" s="1030" t="str">
        <f t="shared" si="12"/>
        <v>L/R ASSURANCE GENERALE</v>
      </c>
      <c r="AL256" s="1030" t="str">
        <f>IFERROR(INDEX(G256:R256,1,MATCH(Parametres!$B$3,G$1:R$1,0)-1)*IF(OR(F256="L",F256="S",F256="I"),-1,1),"")</f>
        <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14"/>
        <v>H01870</v>
      </c>
      <c r="AU256" s="599" t="str">
        <f t="shared" si="14"/>
        <v>L/R ASSURANCE GENERALE</v>
      </c>
      <c r="AV256" s="1030" t="str">
        <f>IFERROR(INDEX(V256:AG256,1,MATCH(Parametres!$B$3,V$1:AG$1,0)-1)*IF(OR(C256="L",C256="S",C256="I"),-1,1),"")</f>
        <v/>
      </c>
      <c r="AW256" s="1030">
        <f t="shared" si="15"/>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2"/>
        <v>H01874</v>
      </c>
      <c r="AK257" s="1030" t="str">
        <f t="shared" si="12"/>
        <v>L/R EAU/ELECT./CHAUFFAGE</v>
      </c>
      <c r="AL257" s="1030" t="str">
        <f>IFERROR(INDEX(G257:R257,1,MATCH(Parametres!$B$3,G$1:R$1,0)-1)*IF(OR(F257="L",F257="S",F257="I"),-1,1),"")</f>
        <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14"/>
        <v>H01874</v>
      </c>
      <c r="AU257" s="599" t="str">
        <f t="shared" si="14"/>
        <v>L/R EAU/ELECT./CHAUFFAGE</v>
      </c>
      <c r="AV257" s="1030" t="str">
        <f>IFERROR(INDEX(V257:AG257,1,MATCH(Parametres!$B$3,V$1:AG$1,0)-1)*IF(OR(C257="L",C257="S",C257="I"),-1,1),"")</f>
        <v/>
      </c>
      <c r="AW257" s="1030">
        <f t="shared" si="15"/>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2"/>
        <v>H01876</v>
      </c>
      <c r="AK258" s="1030" t="str">
        <f t="shared" si="12"/>
        <v>L/R VERIF COMPTABLE</v>
      </c>
      <c r="AL258" s="1030" t="str">
        <f>IFERROR(INDEX(G258:R258,1,MATCH(Parametres!$B$3,G$1:R$1,0)-1)*IF(OR(F258="L",F258="S",F258="I"),-1,1),"")</f>
        <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14"/>
        <v>H01876</v>
      </c>
      <c r="AU258" s="599" t="str">
        <f t="shared" si="14"/>
        <v>L/R VERIF COMPTABLE</v>
      </c>
      <c r="AV258" s="1030" t="str">
        <f>IFERROR(INDEX(V258:AG258,1,MATCH(Parametres!$B$3,V$1:AG$1,0)-1)*IF(OR(C258="L",C258="S",C258="I"),-1,1),"")</f>
        <v/>
      </c>
      <c r="AW258" s="1030">
        <f t="shared" si="15"/>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2"/>
        <v>H01877</v>
      </c>
      <c r="AK259" s="1030" t="str">
        <f t="shared" si="12"/>
        <v>L/R COTISATIONS SOUSCRIP.</v>
      </c>
      <c r="AL259" s="1030" t="str">
        <f>IFERROR(INDEX(G259:R259,1,MATCH(Parametres!$B$3,G$1:R$1,0)-1)*IF(OR(F259="L",F259="S",F259="I"),-1,1),"")</f>
        <v/>
      </c>
      <c r="AM259" s="1030">
        <f t="shared" si="13"/>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14"/>
        <v>H01877</v>
      </c>
      <c r="AU259" s="599" t="str">
        <f t="shared" si="14"/>
        <v>L/R COTISATIONS SOUSCRIP.</v>
      </c>
      <c r="AV259" s="1030" t="str">
        <f>IFERROR(INDEX(V259:AG259,1,MATCH(Parametres!$B$3,V$1:AG$1,0)-1)*IF(OR(C259="L",C259="S",C259="I"),-1,1),"")</f>
        <v/>
      </c>
      <c r="AW259" s="1030">
        <f t="shared" si="15"/>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K323" si="16">C260</f>
        <v>H01879</v>
      </c>
      <c r="AK260" s="1030" t="str">
        <f t="shared" si="16"/>
        <v>L/R DONATIONS</v>
      </c>
      <c r="AL260" s="1030" t="str">
        <f>IFERROR(INDEX(G260:R260,1,MATCH(Parametres!$B$3,G$1:R$1,0)-1)*IF(OR(F260="L",F260="S",F260="I"),-1,1),"")</f>
        <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U323" si="18">C260</f>
        <v>H01879</v>
      </c>
      <c r="AU260" s="599" t="str">
        <f t="shared" si="18"/>
        <v>L/R DONATIONS</v>
      </c>
      <c r="AV260" s="1030" t="str">
        <f>IFERROR(INDEX(V260:AG260,1,MATCH(Parametres!$B$3,V$1:AG$1,0)-1)*IF(OR(C260="L",C260="S",C260="I"),-1,1),"")</f>
        <v/>
      </c>
      <c r="AW260" s="1030">
        <f t="shared" ref="AW260:AW323" si="1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16"/>
        <v>H02801</v>
      </c>
      <c r="AK261" s="1030" t="str">
        <f t="shared" si="16"/>
        <v>DIS SALAIRES VENTES DIR</v>
      </c>
      <c r="AL261" s="1030" t="str">
        <f>IFERROR(INDEX(G261:R261,1,MATCH(Parametres!$B$3,G$1:R$1,0)-1)*IF(OR(F261="L",F261="S",F261="I"),-1,1),"")</f>
        <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18"/>
        <v>H02801</v>
      </c>
      <c r="AU261" s="599" t="str">
        <f t="shared" si="18"/>
        <v>DIS SALAIRES VENTES DIR</v>
      </c>
      <c r="AV261" s="1030" t="str">
        <f>IFERROR(INDEX(V261:AG261,1,MATCH(Parametres!$B$3,V$1:AG$1,0)-1)*IF(OR(C261="L",C261="S",C261="I"),-1,1),"")</f>
        <v/>
      </c>
      <c r="AW261" s="1030">
        <f t="shared" si="1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16"/>
        <v>H02820</v>
      </c>
      <c r="AK262" s="1030" t="str">
        <f t="shared" si="16"/>
        <v>DIS ADM SALAIRES DIR DEP</v>
      </c>
      <c r="AL262" s="1030" t="str">
        <f>IFERROR(INDEX(G262:R262,1,MATCH(Parametres!$B$3,G$1:R$1,0)-1)*IF(OR(F262="L",F262="S",F262="I"),-1,1),"")</f>
        <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18"/>
        <v>H02820</v>
      </c>
      <c r="AU262" s="599" t="str">
        <f t="shared" si="18"/>
        <v>DIS ADM SALAIRES DIR DEP</v>
      </c>
      <c r="AV262" s="1030" t="str">
        <f>IFERROR(INDEX(V262:AG262,1,MATCH(Parametres!$B$3,V$1:AG$1,0)-1)*IF(OR(C262="L",C262="S",C262="I"),-1,1),"")</f>
        <v/>
      </c>
      <c r="AW262" s="1030">
        <f t="shared" si="1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16"/>
        <v>H02821</v>
      </c>
      <c r="AK263" s="1030" t="str">
        <f t="shared" si="16"/>
        <v>DIS SALAIRES -AUTRES</v>
      </c>
      <c r="AL263" s="1030" t="str">
        <f>IFERROR(INDEX(G263:R263,1,MATCH(Parametres!$B$3,G$1:R$1,0)-1)*IF(OR(F263="L",F263="S",F263="I"),-1,1),"")</f>
        <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18"/>
        <v>H02821</v>
      </c>
      <c r="AU263" s="599" t="str">
        <f t="shared" si="18"/>
        <v>DIS SALAIRES -AUTRES</v>
      </c>
      <c r="AV263" s="1030" t="str">
        <f>IFERROR(INDEX(V263:AG263,1,MATCH(Parametres!$B$3,V$1:AG$1,0)-1)*IF(OR(C263="L",C263="S",C263="I"),-1,1),"")</f>
        <v/>
      </c>
      <c r="AW263" s="1030">
        <f t="shared" si="1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16"/>
        <v>H02822</v>
      </c>
      <c r="AK264" s="1030" t="str">
        <f t="shared" si="16"/>
        <v>DIS PROMOTION</v>
      </c>
      <c r="AL264" s="1030" t="str">
        <f>IFERROR(INDEX(G264:R264,1,MATCH(Parametres!$B$3,G$1:R$1,0)-1)*IF(OR(F264="L",F264="S",F264="I"),-1,1),"")</f>
        <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18"/>
        <v>H02822</v>
      </c>
      <c r="AU264" s="599" t="str">
        <f t="shared" si="18"/>
        <v>DIS PROMOTION</v>
      </c>
      <c r="AV264" s="1030" t="str">
        <f>IFERROR(INDEX(V264:AG264,1,MATCH(Parametres!$B$3,V$1:AG$1,0)-1)*IF(OR(C264="L",C264="S",C264="I"),-1,1),"")</f>
        <v/>
      </c>
      <c r="AW264" s="1030">
        <f t="shared" si="1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16"/>
        <v>H02823</v>
      </c>
      <c r="AK265" s="1030" t="str">
        <f t="shared" si="16"/>
        <v>DIS ABS. &amp; CONGES PAYES</v>
      </c>
      <c r="AL265" s="1030" t="str">
        <f>IFERROR(INDEX(G265:R265,1,MATCH(Parametres!$B$3,G$1:R$1,0)-1)*IF(OR(F265="L",F265="S",F265="I"),-1,1),"")</f>
        <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18"/>
        <v>H02823</v>
      </c>
      <c r="AU265" s="599" t="str">
        <f t="shared" si="18"/>
        <v>DIS ABS. &amp; CONGES PAYES</v>
      </c>
      <c r="AV265" s="1030" t="str">
        <f>IFERROR(INDEX(V265:AG265,1,MATCH(Parametres!$B$3,V$1:AG$1,0)-1)*IF(OR(C265="L",C265="S",C265="I"),-1,1),"")</f>
        <v/>
      </c>
      <c r="AW265" s="1030">
        <f t="shared" si="1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16"/>
        <v>H02824</v>
      </c>
      <c r="AK266" s="1030" t="str">
        <f t="shared" si="16"/>
        <v>DIS CSST</v>
      </c>
      <c r="AL266" s="1030" t="str">
        <f>IFERROR(INDEX(G266:R266,1,MATCH(Parametres!$B$3,G$1:R$1,0)-1)*IF(OR(F266="L",F266="S",F266="I"),-1,1),"")</f>
        <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18"/>
        <v>H02824</v>
      </c>
      <c r="AU266" s="599" t="str">
        <f t="shared" si="18"/>
        <v>DIS CSST</v>
      </c>
      <c r="AV266" s="1030" t="str">
        <f>IFERROR(INDEX(V266:AG266,1,MATCH(Parametres!$B$3,V$1:AG$1,0)-1)*IF(OR(C266="L",C266="S",C266="I"),-1,1),"")</f>
        <v/>
      </c>
      <c r="AW266" s="1030">
        <f t="shared" si="1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16"/>
        <v>H02825</v>
      </c>
      <c r="AK267" s="1030" t="str">
        <f t="shared" si="16"/>
        <v>DIS ASSURANCE CHOMAGE</v>
      </c>
      <c r="AL267" s="1030" t="str">
        <f>IFERROR(INDEX(G267:R267,1,MATCH(Parametres!$B$3,G$1:R$1,0)-1)*IF(OR(F267="L",F267="S",F267="I"),-1,1),"")</f>
        <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18"/>
        <v>H02825</v>
      </c>
      <c r="AU267" s="599" t="str">
        <f t="shared" si="18"/>
        <v>DIS ASSURANCE CHOMAGE</v>
      </c>
      <c r="AV267" s="1030" t="str">
        <f>IFERROR(INDEX(V267:AG267,1,MATCH(Parametres!$B$3,V$1:AG$1,0)-1)*IF(OR(C267="L",C267="S",C267="I"),-1,1),"")</f>
        <v/>
      </c>
      <c r="AW267" s="1030">
        <f t="shared" si="1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16"/>
        <v>H02826</v>
      </c>
      <c r="AK268" s="1030" t="str">
        <f t="shared" si="16"/>
        <v>DIS ASSURANCE GROUPE</v>
      </c>
      <c r="AL268" s="1030" t="str">
        <f>IFERROR(INDEX(G268:R268,1,MATCH(Parametres!$B$3,G$1:R$1,0)-1)*IF(OR(F268="L",F268="S",F268="I"),-1,1),"")</f>
        <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18"/>
        <v>H02826</v>
      </c>
      <c r="AU268" s="599" t="str">
        <f t="shared" si="18"/>
        <v>DIS ASSURANCE GROUPE</v>
      </c>
      <c r="AV268" s="1030" t="str">
        <f>IFERROR(INDEX(V268:AG268,1,MATCH(Parametres!$B$3,V$1:AG$1,0)-1)*IF(OR(C268="L",C268="S",C268="I"),-1,1),"")</f>
        <v/>
      </c>
      <c r="AW268" s="1030">
        <f t="shared" si="1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16"/>
        <v>H02827</v>
      </c>
      <c r="AK269" s="1030" t="str">
        <f t="shared" si="16"/>
        <v>DIS AUTRES AV. SOCIAUX</v>
      </c>
      <c r="AL269" s="1030" t="str">
        <f>IFERROR(INDEX(G269:R269,1,MATCH(Parametres!$B$3,G$1:R$1,0)-1)*IF(OR(F269="L",F269="S",F269="I"),-1,1),"")</f>
        <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18"/>
        <v>H02827</v>
      </c>
      <c r="AU269" s="599" t="str">
        <f t="shared" si="18"/>
        <v>DIS AUTRES AV. SOCIAUX</v>
      </c>
      <c r="AV269" s="1030" t="str">
        <f>IFERROR(INDEX(V269:AG269,1,MATCH(Parametres!$B$3,V$1:AG$1,0)-1)*IF(OR(C269="L",C269="S",C269="I"),-1,1),"")</f>
        <v/>
      </c>
      <c r="AW269" s="1030">
        <f t="shared" si="1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16"/>
        <v>H02828</v>
      </c>
      <c r="AK270" s="1030" t="str">
        <f t="shared" si="16"/>
        <v>DIS FORMATION</v>
      </c>
      <c r="AL270" s="1030" t="str">
        <f>IFERROR(INDEX(G270:R270,1,MATCH(Parametres!$B$3,G$1:R$1,0)-1)*IF(OR(F270="L",F270="S",F270="I"),-1,1),"")</f>
        <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18"/>
        <v>H02828</v>
      </c>
      <c r="AU270" s="599" t="str">
        <f t="shared" si="18"/>
        <v>DIS FORMATION</v>
      </c>
      <c r="AV270" s="1030" t="str">
        <f>IFERROR(INDEX(V270:AG270,1,MATCH(Parametres!$B$3,V$1:AG$1,0)-1)*IF(OR(C270="L",C270="S",C270="I"),-1,1),"")</f>
        <v/>
      </c>
      <c r="AW270" s="1030">
        <f t="shared" si="1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16"/>
        <v>H02830</v>
      </c>
      <c r="AK271" s="1030" t="str">
        <f t="shared" si="16"/>
        <v>DIS PAPETRIE-FOUR. BUREAU</v>
      </c>
      <c r="AL271" s="1030" t="str">
        <f>IFERROR(INDEX(G271:R271,1,MATCH(Parametres!$B$3,G$1:R$1,0)-1)*IF(OR(F271="L",F271="S",F271="I"),-1,1),"")</f>
        <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18"/>
        <v>H02830</v>
      </c>
      <c r="AU271" s="599" t="str">
        <f t="shared" si="18"/>
        <v>DIS PAPETRIE-FOUR. BUREAU</v>
      </c>
      <c r="AV271" s="1030" t="str">
        <f>IFERROR(INDEX(V271:AG271,1,MATCH(Parametres!$B$3,V$1:AG$1,0)-1)*IF(OR(C271="L",C271="S",C271="I"),-1,1),"")</f>
        <v/>
      </c>
      <c r="AW271" s="1030">
        <f t="shared" si="1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16"/>
        <v>H02831</v>
      </c>
      <c r="AK272" s="1030" t="str">
        <f t="shared" si="16"/>
        <v>DIS OUTILLAGE-FOUR.DIVERS</v>
      </c>
      <c r="AL272" s="1030" t="str">
        <f>IFERROR(INDEX(G272:R272,1,MATCH(Parametres!$B$3,G$1:R$1,0)-1)*IF(OR(F272="L",F272="S",F272="I"),-1,1),"")</f>
        <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18"/>
        <v>H02831</v>
      </c>
      <c r="AU272" s="599" t="str">
        <f t="shared" si="18"/>
        <v>DIS OUTILLAGE-FOUR.DIVERS</v>
      </c>
      <c r="AV272" s="1030" t="str">
        <f>IFERROR(INDEX(V272:AG272,1,MATCH(Parametres!$B$3,V$1:AG$1,0)-1)*IF(OR(C272="L",C272="S",C272="I"),-1,1),"")</f>
        <v/>
      </c>
      <c r="AW272" s="1030">
        <f t="shared" si="1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16"/>
        <v>H02834</v>
      </c>
      <c r="AK273" s="1030" t="str">
        <f t="shared" si="16"/>
        <v>DIS UNIFORMES-SALOPETTES</v>
      </c>
      <c r="AL273" s="1030" t="str">
        <f>IFERROR(INDEX(G273:R273,1,MATCH(Parametres!$B$3,G$1:R$1,0)-1)*IF(OR(F273="L",F273="S",F273="I"),-1,1),"")</f>
        <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18"/>
        <v>H02834</v>
      </c>
      <c r="AU273" s="599" t="str">
        <f t="shared" si="18"/>
        <v>DIS UNIFORMES-SALOPETTES</v>
      </c>
      <c r="AV273" s="1030" t="str">
        <f>IFERROR(INDEX(V273:AG273,1,MATCH(Parametres!$B$3,V$1:AG$1,0)-1)*IF(OR(C273="L",C273="S",C273="I"),-1,1),"")</f>
        <v/>
      </c>
      <c r="AW273" s="1030">
        <f t="shared" si="1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16"/>
        <v>H02835</v>
      </c>
      <c r="AK274" s="1030" t="str">
        <f t="shared" si="16"/>
        <v>DIS CONCIERGE-NETTOYAGE</v>
      </c>
      <c r="AL274" s="1030" t="str">
        <f>IFERROR(INDEX(G274:R274,1,MATCH(Parametres!$B$3,G$1:R$1,0)-1)*IF(OR(F274="L",F274="S",F274="I"),-1,1),"")</f>
        <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18"/>
        <v>H02835</v>
      </c>
      <c r="AU274" s="599" t="str">
        <f t="shared" si="18"/>
        <v>DIS CONCIERGE-NETTOYAGE</v>
      </c>
      <c r="AV274" s="1030" t="str">
        <f>IFERROR(INDEX(V274:AG274,1,MATCH(Parametres!$B$3,V$1:AG$1,0)-1)*IF(OR(C274="L",C274="S",C274="I"),-1,1),"")</f>
        <v/>
      </c>
      <c r="AW274" s="1030">
        <f t="shared" si="1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16"/>
        <v>H02837</v>
      </c>
      <c r="AK275" s="1030" t="str">
        <f t="shared" si="16"/>
        <v>DIS PRATIQUES COURTOISIE</v>
      </c>
      <c r="AL275" s="1030" t="str">
        <f>IFERROR(INDEX(G275:R275,1,MATCH(Parametres!$B$3,G$1:R$1,0)-1)*IF(OR(F275="L",F275="S",F275="I"),-1,1),"")</f>
        <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18"/>
        <v>H02837</v>
      </c>
      <c r="AU275" s="599" t="str">
        <f t="shared" si="18"/>
        <v>DIS PRATIQUES COURTOISIE</v>
      </c>
      <c r="AV275" s="1030" t="str">
        <f>IFERROR(INDEX(V275:AG275,1,MATCH(Parametres!$B$3,V$1:AG$1,0)-1)*IF(OR(C275="L",C275="S",C275="I"),-1,1),"")</f>
        <v/>
      </c>
      <c r="AW275" s="1030">
        <f t="shared" si="1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16"/>
        <v>H02838</v>
      </c>
      <c r="AK276" s="1030" t="str">
        <f t="shared" si="16"/>
        <v>DIS PUBLICITE &amp; PROMO</v>
      </c>
      <c r="AL276" s="1030" t="str">
        <f>IFERROR(INDEX(G276:R276,1,MATCH(Parametres!$B$3,G$1:R$1,0)-1)*IF(OR(F276="L",F276="S",F276="I"),-1,1),"")</f>
        <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18"/>
        <v>H02838</v>
      </c>
      <c r="AU276" s="599" t="str">
        <f t="shared" si="18"/>
        <v>DIS PUBLICITE &amp; PROMO</v>
      </c>
      <c r="AV276" s="1030" t="str">
        <f>IFERROR(INDEX(V276:AG276,1,MATCH(Parametres!$B$3,V$1:AG$1,0)-1)*IF(OR(C276="L",C276="S",C276="I"),-1,1),"")</f>
        <v/>
      </c>
      <c r="AW276" s="1030">
        <f t="shared" si="1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16"/>
        <v>H02840</v>
      </c>
      <c r="AK277" s="1030" t="str">
        <f t="shared" si="16"/>
        <v>DIS ENT EQUIPMENT</v>
      </c>
      <c r="AL277" s="1030" t="str">
        <f>IFERROR(INDEX(G277:R277,1,MATCH(Parametres!$B$3,G$1:R$1,0)-1)*IF(OR(F277="L",F277="S",F277="I"),-1,1),"")</f>
        <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18"/>
        <v>H02840</v>
      </c>
      <c r="AU277" s="599" t="str">
        <f t="shared" si="18"/>
        <v>DIS ENT EQUIPMENT</v>
      </c>
      <c r="AV277" s="1030" t="str">
        <f>IFERROR(INDEX(V277:AG277,1,MATCH(Parametres!$B$3,V$1:AG$1,0)-1)*IF(OR(C277="L",C277="S",C277="I"),-1,1),"")</f>
        <v/>
      </c>
      <c r="AW277" s="1030">
        <f t="shared" si="1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16"/>
        <v>H02841</v>
      </c>
      <c r="AK278" s="1030" t="str">
        <f t="shared" si="16"/>
        <v>DIS VEH DE SERVITUDES</v>
      </c>
      <c r="AL278" s="1030" t="str">
        <f>IFERROR(INDEX(G278:R278,1,MATCH(Parametres!$B$3,G$1:R$1,0)-1)*IF(OR(F278="L",F278="S",F278="I"),-1,1),"")</f>
        <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18"/>
        <v>H02841</v>
      </c>
      <c r="AU278" s="599" t="str">
        <f t="shared" si="18"/>
        <v>DIS VEH DE SERVITUDES</v>
      </c>
      <c r="AV278" s="1030" t="str">
        <f>IFERROR(INDEX(V278:AG278,1,MATCH(Parametres!$B$3,V$1:AG$1,0)-1)*IF(OR(C278="L",C278="S",C278="I"),-1,1),"")</f>
        <v/>
      </c>
      <c r="AW278" s="1030">
        <f t="shared" si="1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16"/>
        <v>H02843</v>
      </c>
      <c r="AK279" s="1030" t="str">
        <f t="shared" si="16"/>
        <v>DIS LOCATION EQUIPEMENT</v>
      </c>
      <c r="AL279" s="1030" t="str">
        <f>IFERROR(INDEX(G279:R279,1,MATCH(Parametres!$B$3,G$1:R$1,0)-1)*IF(OR(F279="L",F279="S",F279="I"),-1,1),"")</f>
        <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18"/>
        <v>H02843</v>
      </c>
      <c r="AU279" s="599" t="str">
        <f t="shared" si="18"/>
        <v>DIS LOCATION EQUIPEMENT</v>
      </c>
      <c r="AV279" s="1030" t="str">
        <f>IFERROR(INDEX(V279:AG279,1,MATCH(Parametres!$B$3,V$1:AG$1,0)-1)*IF(OR(C279="L",C279="S",C279="I"),-1,1),"")</f>
        <v/>
      </c>
      <c r="AW279" s="1030">
        <f t="shared" si="1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16"/>
        <v>H02844</v>
      </c>
      <c r="AK280" s="1030" t="str">
        <f t="shared" si="16"/>
        <v>DIS TRAITEMENT DONNEES</v>
      </c>
      <c r="AL280" s="1030" t="str">
        <f>IFERROR(INDEX(G280:R280,1,MATCH(Parametres!$B$3,G$1:R$1,0)-1)*IF(OR(F280="L",F280="S",F280="I"),-1,1),"")</f>
        <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18"/>
        <v>H02844</v>
      </c>
      <c r="AU280" s="599" t="str">
        <f t="shared" si="18"/>
        <v>DIS TRAITEMENT DONNEES</v>
      </c>
      <c r="AV280" s="1030" t="str">
        <f>IFERROR(INDEX(V280:AG280,1,MATCH(Parametres!$B$3,V$1:AG$1,0)-1)*IF(OR(C280="L",C280="S",C280="I"),-1,1),"")</f>
        <v/>
      </c>
      <c r="AW280" s="1030">
        <f t="shared" si="1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16"/>
        <v>H02845</v>
      </c>
      <c r="AK281" s="1030" t="str">
        <f t="shared" si="16"/>
        <v>DIS FRAIS REPRES/REPAS</v>
      </c>
      <c r="AL281" s="1030" t="str">
        <f>IFERROR(INDEX(G281:R281,1,MATCH(Parametres!$B$3,G$1:R$1,0)-1)*IF(OR(F281="L",F281="S",F281="I"),-1,1),"")</f>
        <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18"/>
        <v>H02845</v>
      </c>
      <c r="AU281" s="599" t="str">
        <f t="shared" si="18"/>
        <v>DIS FRAIS REPRES/REPAS</v>
      </c>
      <c r="AV281" s="1030" t="str">
        <f>IFERROR(INDEX(V281:AG281,1,MATCH(Parametres!$B$3,V$1:AG$1,0)-1)*IF(OR(C281="L",C281="S",C281="I"),-1,1),"")</f>
        <v/>
      </c>
      <c r="AW281" s="1030">
        <f t="shared" si="1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16"/>
        <v>H02846</v>
      </c>
      <c r="AK282" s="1030" t="str">
        <f t="shared" si="16"/>
        <v>DIS DEPLACEMENT-REPRESENT</v>
      </c>
      <c r="AL282" s="1030" t="str">
        <f>IFERROR(INDEX(G282:R282,1,MATCH(Parametres!$B$3,G$1:R$1,0)-1)*IF(OR(F282="L",F282="S",F282="I"),-1,1),"")</f>
        <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18"/>
        <v>H02846</v>
      </c>
      <c r="AU282" s="599" t="str">
        <f t="shared" si="18"/>
        <v>DIS DEPLACEMENT-REPRESENT</v>
      </c>
      <c r="AV282" s="1030" t="str">
        <f>IFERROR(INDEX(V282:AG282,1,MATCH(Parametres!$B$3,V$1:AG$1,0)-1)*IF(OR(C282="L",C282="S",C282="I"),-1,1),"")</f>
        <v/>
      </c>
      <c r="AW282" s="1030">
        <f t="shared" si="1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16"/>
        <v>H02847</v>
      </c>
      <c r="AK283" s="1030" t="str">
        <f t="shared" si="16"/>
        <v>DIS TELEPHONE-TELEGRAMMES</v>
      </c>
      <c r="AL283" s="1030" t="str">
        <f>IFERROR(INDEX(G283:R283,1,MATCH(Parametres!$B$3,G$1:R$1,0)-1)*IF(OR(F283="L",F283="S",F283="I"),-1,1),"")</f>
        <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18"/>
        <v>H02847</v>
      </c>
      <c r="AU283" s="599" t="str">
        <f t="shared" si="18"/>
        <v>DIS TELEPHONE-TELEGRAMMES</v>
      </c>
      <c r="AV283" s="1030" t="str">
        <f>IFERROR(INDEX(V283:AG283,1,MATCH(Parametres!$B$3,V$1:AG$1,0)-1)*IF(OR(C283="L",C283="S",C283="I"),-1,1),"")</f>
        <v/>
      </c>
      <c r="AW283" s="1030">
        <f t="shared" si="1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16"/>
        <v>H02848</v>
      </c>
      <c r="AK284" s="1030" t="str">
        <f t="shared" si="16"/>
        <v>DIS FRAIS POSTAUX</v>
      </c>
      <c r="AL284" s="1030" t="str">
        <f>IFERROR(INDEX(G284:R284,1,MATCH(Parametres!$B$3,G$1:R$1,0)-1)*IF(OR(F284="L",F284="S",F284="I"),-1,1),"")</f>
        <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18"/>
        <v>H02848</v>
      </c>
      <c r="AU284" s="599" t="str">
        <f t="shared" si="18"/>
        <v>DIS FRAIS POSTAUX</v>
      </c>
      <c r="AV284" s="1030" t="str">
        <f>IFERROR(INDEX(V284:AG284,1,MATCH(Parametres!$B$3,V$1:AG$1,0)-1)*IF(OR(C284="L",C284="S",C284="I"),-1,1),"")</f>
        <v/>
      </c>
      <c r="AW284" s="1030">
        <f t="shared" si="1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16"/>
        <v>H02849</v>
      </c>
      <c r="AK285" s="1030" t="str">
        <f t="shared" si="16"/>
        <v>DIS FRET &amp; MESSAGERIE</v>
      </c>
      <c r="AL285" s="1030" t="str">
        <f>IFERROR(INDEX(G285:R285,1,MATCH(Parametres!$B$3,G$1:R$1,0)-1)*IF(OR(F285="L",F285="S",F285="I"),-1,1),"")</f>
        <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18"/>
        <v>H02849</v>
      </c>
      <c r="AU285" s="599" t="str">
        <f t="shared" si="18"/>
        <v>DIS FRET &amp; MESSAGERIE</v>
      </c>
      <c r="AV285" s="1030" t="str">
        <f>IFERROR(INDEX(V285:AG285,1,MATCH(Parametres!$B$3,V$1:AG$1,0)-1)*IF(OR(C285="L",C285="S",C285="I"),-1,1),"")</f>
        <v/>
      </c>
      <c r="AW285" s="1030">
        <f t="shared" si="1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16"/>
        <v>H02852</v>
      </c>
      <c r="AK286" s="1030" t="str">
        <f t="shared" si="16"/>
        <v>DIS FRAIS DIVERS</v>
      </c>
      <c r="AL286" s="1030" t="str">
        <f>IFERROR(INDEX(G286:R286,1,MATCH(Parametres!$B$3,G$1:R$1,0)-1)*IF(OR(F286="L",F286="S",F286="I"),-1,1),"")</f>
        <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18"/>
        <v>H02852</v>
      </c>
      <c r="AU286" s="599" t="str">
        <f t="shared" si="18"/>
        <v>DIS FRAIS DIVERS</v>
      </c>
      <c r="AV286" s="1030" t="str">
        <f>IFERROR(INDEX(V286:AG286,1,MATCH(Parametres!$B$3,V$1:AG$1,0)-1)*IF(OR(C286="L",C286="S",C286="I"),-1,1),"")</f>
        <v/>
      </c>
      <c r="AW286" s="1030">
        <f t="shared" si="1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16"/>
        <v>H02860</v>
      </c>
      <c r="AK287" s="1030" t="str">
        <f t="shared" si="16"/>
        <v>DIS LOYER INT HYPOTH.</v>
      </c>
      <c r="AL287" s="1030" t="str">
        <f>IFERROR(INDEX(G287:R287,1,MATCH(Parametres!$B$3,G$1:R$1,0)-1)*IF(OR(F287="L",F287="S",F287="I"),-1,1),"")</f>
        <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18"/>
        <v>H02860</v>
      </c>
      <c r="AU287" s="599" t="str">
        <f t="shared" si="18"/>
        <v>DIS LOYER INT HYPOTH.</v>
      </c>
      <c r="AV287" s="1030" t="str">
        <f>IFERROR(INDEX(V287:AG287,1,MATCH(Parametres!$B$3,V$1:AG$1,0)-1)*IF(OR(C287="L",C287="S",C287="I"),-1,1),"")</f>
        <v/>
      </c>
      <c r="AW287" s="1030">
        <f t="shared" si="1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16"/>
        <v>H02861</v>
      </c>
      <c r="AK288" s="1030" t="str">
        <f t="shared" si="16"/>
        <v>DIS AMORT AMELIOR  LOC</v>
      </c>
      <c r="AL288" s="1030" t="str">
        <f>IFERROR(INDEX(G288:R288,1,MATCH(Parametres!$B$3,G$1:R$1,0)-1)*IF(OR(F288="L",F288="S",F288="I"),-1,1),"")</f>
        <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18"/>
        <v>H02861</v>
      </c>
      <c r="AU288" s="599" t="str">
        <f t="shared" si="18"/>
        <v>DIS AMORT AMELIOR  LOC</v>
      </c>
      <c r="AV288" s="1030" t="str">
        <f>IFERROR(INDEX(V288:AG288,1,MATCH(Parametres!$B$3,V$1:AG$1,0)-1)*IF(OR(C288="L",C288="S",C288="I"),-1,1),"")</f>
        <v/>
      </c>
      <c r="AW288" s="1030">
        <f t="shared" si="1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16"/>
        <v>H02862</v>
      </c>
      <c r="AK289" s="1030" t="str">
        <f t="shared" si="16"/>
        <v>DIS ENTRERIEN PROPRIETE</v>
      </c>
      <c r="AL289" s="1030" t="str">
        <f>IFERROR(INDEX(G289:R289,1,MATCH(Parametres!$B$3,G$1:R$1,0)-1)*IF(OR(F289="L",F289="S",F289="I"),-1,1),"")</f>
        <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18"/>
        <v>H02862</v>
      </c>
      <c r="AU289" s="599" t="str">
        <f t="shared" si="18"/>
        <v>DIS ENTRERIEN PROPRIETE</v>
      </c>
      <c r="AV289" s="1030" t="str">
        <f>IFERROR(INDEX(V289:AG289,1,MATCH(Parametres!$B$3,V$1:AG$1,0)-1)*IF(OR(C289="L",C289="S",C289="I"),-1,1),"")</f>
        <v/>
      </c>
      <c r="AW289" s="1030">
        <f t="shared" si="1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16"/>
        <v>H02863</v>
      </c>
      <c r="AK290" s="1030" t="str">
        <f t="shared" si="16"/>
        <v>DIS TAXES PROPRIETE</v>
      </c>
      <c r="AL290" s="1030" t="str">
        <f>IFERROR(INDEX(G290:R290,1,MATCH(Parametres!$B$3,G$1:R$1,0)-1)*IF(OR(F290="L",F290="S",F290="I"),-1,1),"")</f>
        <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18"/>
        <v>H02863</v>
      </c>
      <c r="AU290" s="599" t="str">
        <f t="shared" si="18"/>
        <v>DIS TAXES PROPRIETE</v>
      </c>
      <c r="AV290" s="1030" t="str">
        <f>IFERROR(INDEX(V290:AG290,1,MATCH(Parametres!$B$3,V$1:AG$1,0)-1)*IF(OR(C290="L",C290="S",C290="I"),-1,1),"")</f>
        <v/>
      </c>
      <c r="AW290" s="1030">
        <f t="shared" si="1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16"/>
        <v>H02864</v>
      </c>
      <c r="AK291" s="1030" t="str">
        <f t="shared" si="16"/>
        <v>DIS ASSURANCE BATIMENT</v>
      </c>
      <c r="AL291" s="1030" t="str">
        <f>IFERROR(INDEX(G291:R291,1,MATCH(Parametres!$B$3,G$1:R$1,0)-1)*IF(OR(F291="L",F291="S",F291="I"),-1,1),"")</f>
        <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18"/>
        <v>H02864</v>
      </c>
      <c r="AU291" s="599" t="str">
        <f t="shared" si="18"/>
        <v>DIS ASSURANCE BATIMENT</v>
      </c>
      <c r="AV291" s="1030" t="str">
        <f>IFERROR(INDEX(V291:AG291,1,MATCH(Parametres!$B$3,V$1:AG$1,0)-1)*IF(OR(C291="L",C291="S",C291="I"),-1,1),"")</f>
        <v/>
      </c>
      <c r="AW291" s="1030">
        <f t="shared" si="1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16"/>
        <v>H02865</v>
      </c>
      <c r="AK292" s="1030" t="str">
        <f t="shared" si="16"/>
        <v>DIS AMORT BATIMENT</v>
      </c>
      <c r="AL292" s="1030" t="str">
        <f>IFERROR(INDEX(G292:R292,1,MATCH(Parametres!$B$3,G$1:R$1,0)-1)*IF(OR(F292="L",F292="S",F292="I"),-1,1),"")</f>
        <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18"/>
        <v>H02865</v>
      </c>
      <c r="AU292" s="599" t="str">
        <f t="shared" si="18"/>
        <v>DIS AMORT BATIMENT</v>
      </c>
      <c r="AV292" s="1030" t="str">
        <f>IFERROR(INDEX(V292:AG292,1,MATCH(Parametres!$B$3,V$1:AG$1,0)-1)*IF(OR(C292="L",C292="S",C292="I"),-1,1),"")</f>
        <v/>
      </c>
      <c r="AW292" s="1030">
        <f t="shared" si="1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16"/>
        <v>H02868</v>
      </c>
      <c r="AK293" s="1030" t="str">
        <f t="shared" si="16"/>
        <v>DIS TAXES AFFAIRES&amp;AUTRES</v>
      </c>
      <c r="AL293" s="1030" t="str">
        <f>IFERROR(INDEX(G293:R293,1,MATCH(Parametres!$B$3,G$1:R$1,0)-1)*IF(OR(F293="L",F293="S",F293="I"),-1,1),"")</f>
        <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18"/>
        <v>H02868</v>
      </c>
      <c r="AU293" s="599" t="str">
        <f t="shared" si="18"/>
        <v>DIS TAXES AFFAIRES&amp;AUTRES</v>
      </c>
      <c r="AV293" s="1030" t="str">
        <f>IFERROR(INDEX(V293:AG293,1,MATCH(Parametres!$B$3,V$1:AG$1,0)-1)*IF(OR(C293="L",C293="S",C293="I"),-1,1),"")</f>
        <v/>
      </c>
      <c r="AW293" s="1030">
        <f t="shared" si="1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16"/>
        <v>H02869</v>
      </c>
      <c r="AK294" s="1030" t="str">
        <f t="shared" si="16"/>
        <v>DIS AMORT EQUIP &amp; INSTALL</v>
      </c>
      <c r="AL294" s="1030" t="str">
        <f>IFERROR(INDEX(G294:R294,1,MATCH(Parametres!$B$3,G$1:R$1,0)-1)*IF(OR(F294="L",F294="S",F294="I"),-1,1),"")</f>
        <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18"/>
        <v>H02869</v>
      </c>
      <c r="AU294" s="599" t="str">
        <f t="shared" si="18"/>
        <v>DIS AMORT EQUIP &amp; INSTALL</v>
      </c>
      <c r="AV294" s="1030" t="str">
        <f>IFERROR(INDEX(V294:AG294,1,MATCH(Parametres!$B$3,V$1:AG$1,0)-1)*IF(OR(C294="L",C294="S",C294="I"),-1,1),"")</f>
        <v/>
      </c>
      <c r="AW294" s="1030">
        <f t="shared" si="1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16"/>
        <v>H02870</v>
      </c>
      <c r="AK295" s="1030" t="str">
        <f t="shared" si="16"/>
        <v>DIS ASSURANCE GENERALE</v>
      </c>
      <c r="AL295" s="1030" t="str">
        <f>IFERROR(INDEX(G295:R295,1,MATCH(Parametres!$B$3,G$1:R$1,0)-1)*IF(OR(F295="L",F295="S",F295="I"),-1,1),"")</f>
        <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18"/>
        <v>H02870</v>
      </c>
      <c r="AU295" s="599" t="str">
        <f t="shared" si="18"/>
        <v>DIS ASSURANCE GENERALE</v>
      </c>
      <c r="AV295" s="1030" t="str">
        <f>IFERROR(INDEX(V295:AG295,1,MATCH(Parametres!$B$3,V$1:AG$1,0)-1)*IF(OR(C295="L",C295="S",C295="I"),-1,1),"")</f>
        <v/>
      </c>
      <c r="AW295" s="1030">
        <f t="shared" si="1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16"/>
        <v>H02874</v>
      </c>
      <c r="AK296" s="1030" t="str">
        <f t="shared" si="16"/>
        <v>DIS EAU/ELECT/CHAUFFAGE</v>
      </c>
      <c r="AL296" s="1030" t="str">
        <f>IFERROR(INDEX(G296:R296,1,MATCH(Parametres!$B$3,G$1:R$1,0)-1)*IF(OR(F296="L",F296="S",F296="I"),-1,1),"")</f>
        <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18"/>
        <v>H02874</v>
      </c>
      <c r="AU296" s="599" t="str">
        <f t="shared" si="18"/>
        <v>DIS EAU/ELECT/CHAUFFAGE</v>
      </c>
      <c r="AV296" s="1030" t="str">
        <f>IFERROR(INDEX(V296:AG296,1,MATCH(Parametres!$B$3,V$1:AG$1,0)-1)*IF(OR(C296="L",C296="S",C296="I"),-1,1),"")</f>
        <v/>
      </c>
      <c r="AW296" s="1030">
        <f t="shared" si="1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16"/>
        <v>H02876</v>
      </c>
      <c r="AK297" s="1030" t="str">
        <f t="shared" si="16"/>
        <v>DIS VERIF. COMPTABLE</v>
      </c>
      <c r="AL297" s="1030" t="str">
        <f>IFERROR(INDEX(G297:R297,1,MATCH(Parametres!$B$3,G$1:R$1,0)-1)*IF(OR(F297="L",F297="S",F297="I"),-1,1),"")</f>
        <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18"/>
        <v>H02876</v>
      </c>
      <c r="AU297" s="599" t="str">
        <f t="shared" si="18"/>
        <v>DIS VERIF. COMPTABLE</v>
      </c>
      <c r="AV297" s="1030" t="str">
        <f>IFERROR(INDEX(V297:AG297,1,MATCH(Parametres!$B$3,V$1:AG$1,0)-1)*IF(OR(C297="L",C297="S",C297="I"),-1,1),"")</f>
        <v/>
      </c>
      <c r="AW297" s="1030">
        <f t="shared" si="1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16"/>
        <v>H02877</v>
      </c>
      <c r="AK298" s="1030" t="str">
        <f t="shared" si="16"/>
        <v>DIS COTISATIONS SOUSCRIP.</v>
      </c>
      <c r="AL298" s="1030" t="str">
        <f>IFERROR(INDEX(G298:R298,1,MATCH(Parametres!$B$3,G$1:R$1,0)-1)*IF(OR(F298="L",F298="S",F298="I"),-1,1),"")</f>
        <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18"/>
        <v>H02877</v>
      </c>
      <c r="AU298" s="599" t="str">
        <f t="shared" si="18"/>
        <v>DIS COTISATIONS SOUSCRIP.</v>
      </c>
      <c r="AV298" s="1030" t="str">
        <f>IFERROR(INDEX(V298:AG298,1,MATCH(Parametres!$B$3,V$1:AG$1,0)-1)*IF(OR(C298="L",C298="S",C298="I"),-1,1),"")</f>
        <v/>
      </c>
      <c r="AW298" s="1030">
        <f t="shared" si="1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16"/>
        <v>H02879</v>
      </c>
      <c r="AK299" s="1030" t="str">
        <f t="shared" si="16"/>
        <v>DIS DONATIONS</v>
      </c>
      <c r="AL299" s="1030" t="str">
        <f>IFERROR(INDEX(G299:R299,1,MATCH(Parametres!$B$3,G$1:R$1,0)-1)*IF(OR(F299="L",F299="S",F299="I"),-1,1),"")</f>
        <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18"/>
        <v>H02879</v>
      </c>
      <c r="AU299" s="599" t="str">
        <f t="shared" si="18"/>
        <v>DIS DONATIONS</v>
      </c>
      <c r="AV299" s="1030" t="str">
        <f>IFERROR(INDEX(V299:AG299,1,MATCH(Parametres!$B$3,V$1:AG$1,0)-1)*IF(OR(C299="L",C299="S",C299="I"),-1,1),"")</f>
        <v/>
      </c>
      <c r="AW299" s="1030">
        <f t="shared" si="1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16"/>
        <v>H02880</v>
      </c>
      <c r="AK300" s="1030" t="str">
        <f t="shared" si="16"/>
        <v>DIS-IMM &amp; PERMIS/CIE SEUL</v>
      </c>
      <c r="AL300" s="1030" t="str">
        <f>IFERROR(INDEX(G300:R300,1,MATCH(Parametres!$B$3,G$1:R$1,0)-1)*IF(OR(F300="L",F300="S",F300="I"),-1,1),"")</f>
        <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18"/>
        <v>H02880</v>
      </c>
      <c r="AU300" s="599" t="str">
        <f t="shared" si="18"/>
        <v>DIS-IMM &amp; PERMIS/CIE SEUL</v>
      </c>
      <c r="AV300" s="1030" t="str">
        <f>IFERROR(INDEX(V300:AG300,1,MATCH(Parametres!$B$3,V$1:AG$1,0)-1)*IF(OR(C300="L",C300="S",C300="I"),-1,1),"")</f>
        <v/>
      </c>
      <c r="AW300" s="1030">
        <f t="shared" si="1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16"/>
        <v>H02881</v>
      </c>
      <c r="AK301" s="1030" t="str">
        <f t="shared" si="16"/>
        <v>FRAIS DE GESTION</v>
      </c>
      <c r="AL301" s="1030" t="str">
        <f>IFERROR(INDEX(G301:R301,1,MATCH(Parametres!$B$3,G$1:R$1,0)-1)*IF(OR(F301="L",F301="S",F301="I"),-1,1),"")</f>
        <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18"/>
        <v>H02881</v>
      </c>
      <c r="AU301" s="599" t="str">
        <f t="shared" si="18"/>
        <v>FRAIS DE GESTION</v>
      </c>
      <c r="AV301" s="1030" t="str">
        <f>IFERROR(INDEX(V301:AG301,1,MATCH(Parametres!$B$3,V$1:AG$1,0)-1)*IF(OR(C301="L",C301="S",C301="I"),-1,1),"")</f>
        <v/>
      </c>
      <c r="AW301" s="1030">
        <f t="shared" si="1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16"/>
        <v>H02921</v>
      </c>
      <c r="AK302" s="1030" t="str">
        <f t="shared" si="16"/>
        <v>ADMIN SALAIRES AUTRES</v>
      </c>
      <c r="AL302" s="1030" t="str">
        <f>IFERROR(INDEX(G302:R302,1,MATCH(Parametres!$B$3,G$1:R$1,0)-1)*IF(OR(F302="L",F302="S",F302="I"),-1,1),"")</f>
        <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18"/>
        <v>H02921</v>
      </c>
      <c r="AU302" s="599" t="str">
        <f t="shared" si="18"/>
        <v>ADMIN SALAIRES AUTRES</v>
      </c>
      <c r="AV302" s="1030" t="str">
        <f>IFERROR(INDEX(V302:AG302,1,MATCH(Parametres!$B$3,V$1:AG$1,0)-1)*IF(OR(C302="L",C302="S",C302="I"),-1,1),"")</f>
        <v/>
      </c>
      <c r="AW302" s="1030">
        <f t="shared" si="1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16"/>
        <v>H02923</v>
      </c>
      <c r="AK303" s="1030" t="str">
        <f t="shared" si="16"/>
        <v>ADMIN ABS CONGES PAYES</v>
      </c>
      <c r="AL303" s="1030" t="str">
        <f>IFERROR(INDEX(G303:R303,1,MATCH(Parametres!$B$3,G$1:R$1,0)-1)*IF(OR(F303="L",F303="S",F303="I"),-1,1),"")</f>
        <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18"/>
        <v>H02923</v>
      </c>
      <c r="AU303" s="599" t="str">
        <f t="shared" si="18"/>
        <v>ADMIN ABS CONGES PAYES</v>
      </c>
      <c r="AV303" s="1030" t="str">
        <f>IFERROR(INDEX(V303:AG303,1,MATCH(Parametres!$B$3,V$1:AG$1,0)-1)*IF(OR(C303="L",C303="S",C303="I"),-1,1),"")</f>
        <v/>
      </c>
      <c r="AW303" s="1030">
        <f t="shared" si="1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16"/>
        <v>H02924</v>
      </c>
      <c r="AK304" s="1030" t="str">
        <f t="shared" si="16"/>
        <v>ADMIN CSST</v>
      </c>
      <c r="AL304" s="1030" t="str">
        <f>IFERROR(INDEX(G304:R304,1,MATCH(Parametres!$B$3,G$1:R$1,0)-1)*IF(OR(F304="L",F304="S",F304="I"),-1,1),"")</f>
        <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18"/>
        <v>H02924</v>
      </c>
      <c r="AU304" s="599" t="str">
        <f t="shared" si="18"/>
        <v>ADMIN CSST</v>
      </c>
      <c r="AV304" s="1030" t="str">
        <f>IFERROR(INDEX(V304:AG304,1,MATCH(Parametres!$B$3,V$1:AG$1,0)-1)*IF(OR(C304="L",C304="S",C304="I"),-1,1),"")</f>
        <v/>
      </c>
      <c r="AW304" s="1030">
        <f t="shared" si="1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16"/>
        <v>H02925</v>
      </c>
      <c r="AK305" s="1030" t="str">
        <f t="shared" si="16"/>
        <v>ADMIN ASSURANCE CHOMAGE</v>
      </c>
      <c r="AL305" s="1030" t="str">
        <f>IFERROR(INDEX(G305:R305,1,MATCH(Parametres!$B$3,G$1:R$1,0)-1)*IF(OR(F305="L",F305="S",F305="I"),-1,1),"")</f>
        <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18"/>
        <v>H02925</v>
      </c>
      <c r="AU305" s="599" t="str">
        <f t="shared" si="18"/>
        <v>ADMIN ASSURANCE CHOMAGE</v>
      </c>
      <c r="AV305" s="1030" t="str">
        <f>IFERROR(INDEX(V305:AG305,1,MATCH(Parametres!$B$3,V$1:AG$1,0)-1)*IF(OR(C305="L",C305="S",C305="I"),-1,1),"")</f>
        <v/>
      </c>
      <c r="AW305" s="1030">
        <f t="shared" si="1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16"/>
        <v>H02926</v>
      </c>
      <c r="AK306" s="1030" t="str">
        <f t="shared" si="16"/>
        <v>ADMIN ASSURANCE GROUPE</v>
      </c>
      <c r="AL306" s="1030" t="str">
        <f>IFERROR(INDEX(G306:R306,1,MATCH(Parametres!$B$3,G$1:R$1,0)-1)*IF(OR(F306="L",F306="S",F306="I"),-1,1),"")</f>
        <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18"/>
        <v>H02926</v>
      </c>
      <c r="AU306" s="599" t="str">
        <f t="shared" si="18"/>
        <v>ADMIN ASSURANCE GROUPE</v>
      </c>
      <c r="AV306" s="1030" t="str">
        <f>IFERROR(INDEX(V306:AG306,1,MATCH(Parametres!$B$3,V$1:AG$1,0)-1)*IF(OR(C306="L",C306="S",C306="I"),-1,1),"")</f>
        <v/>
      </c>
      <c r="AW306" s="1030">
        <f t="shared" si="1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16"/>
        <v>H02927</v>
      </c>
      <c r="AK307" s="1030" t="str">
        <f t="shared" si="16"/>
        <v>ADMIN AUTRES AV. SOCIAUX</v>
      </c>
      <c r="AL307" s="1030" t="str">
        <f>IFERROR(INDEX(G307:R307,1,MATCH(Parametres!$B$3,G$1:R$1,0)-1)*IF(OR(F307="L",F307="S",F307="I"),-1,1),"")</f>
        <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18"/>
        <v>H02927</v>
      </c>
      <c r="AU307" s="599" t="str">
        <f t="shared" si="18"/>
        <v>ADMIN AUTRES AV. SOCIAUX</v>
      </c>
      <c r="AV307" s="1030" t="str">
        <f>IFERROR(INDEX(V307:AG307,1,MATCH(Parametres!$B$3,V$1:AG$1,0)-1)*IF(OR(C307="L",C307="S",C307="I"),-1,1),"")</f>
        <v/>
      </c>
      <c r="AW307" s="1030">
        <f t="shared" si="1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16"/>
        <v>H02928</v>
      </c>
      <c r="AK308" s="1030" t="str">
        <f t="shared" si="16"/>
        <v>ADMIN FORMATION</v>
      </c>
      <c r="AL308" s="1030" t="str">
        <f>IFERROR(INDEX(G308:R308,1,MATCH(Parametres!$B$3,G$1:R$1,0)-1)*IF(OR(F308="L",F308="S",F308="I"),-1,1),"")</f>
        <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18"/>
        <v>H02928</v>
      </c>
      <c r="AU308" s="599" t="str">
        <f t="shared" si="18"/>
        <v>ADMIN FORMATION</v>
      </c>
      <c r="AV308" s="1030" t="str">
        <f>IFERROR(INDEX(V308:AG308,1,MATCH(Parametres!$B$3,V$1:AG$1,0)-1)*IF(OR(C308="L",C308="S",C308="I"),-1,1),"")</f>
        <v/>
      </c>
      <c r="AW308" s="1030">
        <f t="shared" si="1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16"/>
        <v>H02930</v>
      </c>
      <c r="AK309" s="1030" t="str">
        <f t="shared" si="16"/>
        <v>ADMIN PAPETERIE FOURN BUR</v>
      </c>
      <c r="AL309" s="1030" t="str">
        <f>IFERROR(INDEX(G309:R309,1,MATCH(Parametres!$B$3,G$1:R$1,0)-1)*IF(OR(F309="L",F309="S",F309="I"),-1,1),"")</f>
        <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18"/>
        <v>H02930</v>
      </c>
      <c r="AU309" s="599" t="str">
        <f t="shared" si="18"/>
        <v>ADMIN PAPETERIE FOURN BUR</v>
      </c>
      <c r="AV309" s="1030" t="str">
        <f>IFERROR(INDEX(V309:AG309,1,MATCH(Parametres!$B$3,V$1:AG$1,0)-1)*IF(OR(C309="L",C309="S",C309="I"),-1,1),"")</f>
        <v/>
      </c>
      <c r="AW309" s="1030">
        <f t="shared" si="1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16"/>
        <v>H02931</v>
      </c>
      <c r="AK310" s="1030" t="str">
        <f t="shared" si="16"/>
        <v>ADMIN OUTIL FOURN DIVERS</v>
      </c>
      <c r="AL310" s="1030" t="str">
        <f>IFERROR(INDEX(G310:R310,1,MATCH(Parametres!$B$3,G$1:R$1,0)-1)*IF(OR(F310="L",F310="S",F310="I"),-1,1),"")</f>
        <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18"/>
        <v>H02931</v>
      </c>
      <c r="AU310" s="599" t="str">
        <f t="shared" si="18"/>
        <v>ADMIN OUTIL FOURN DIVERS</v>
      </c>
      <c r="AV310" s="1030" t="str">
        <f>IFERROR(INDEX(V310:AG310,1,MATCH(Parametres!$B$3,V$1:AG$1,0)-1)*IF(OR(C310="L",C310="S",C310="I"),-1,1),"")</f>
        <v/>
      </c>
      <c r="AW310" s="1030">
        <f t="shared" si="1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16"/>
        <v>H02934</v>
      </c>
      <c r="AK311" s="1030" t="str">
        <f t="shared" si="16"/>
        <v>ADMIN UNIFORMES SALOPETTE</v>
      </c>
      <c r="AL311" s="1030" t="str">
        <f>IFERROR(INDEX(G311:R311,1,MATCH(Parametres!$B$3,G$1:R$1,0)-1)*IF(OR(F311="L",F311="S",F311="I"),-1,1),"")</f>
        <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18"/>
        <v>H02934</v>
      </c>
      <c r="AU311" s="599" t="str">
        <f t="shared" si="18"/>
        <v>ADMIN UNIFORMES SALOPETTE</v>
      </c>
      <c r="AV311" s="1030" t="str">
        <f>IFERROR(INDEX(V311:AG311,1,MATCH(Parametres!$B$3,V$1:AG$1,0)-1)*IF(OR(C311="L",C311="S",C311="I"),-1,1),"")</f>
        <v/>
      </c>
      <c r="AW311" s="1030">
        <f t="shared" si="1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16"/>
        <v>H02935</v>
      </c>
      <c r="AK312" s="1030" t="str">
        <f t="shared" si="16"/>
        <v>ADMIN CONCIERGE NETTOYE</v>
      </c>
      <c r="AL312" s="1030" t="str">
        <f>IFERROR(INDEX(G312:R312,1,MATCH(Parametres!$B$3,G$1:R$1,0)-1)*IF(OR(F312="L",F312="S",F312="I"),-1,1),"")</f>
        <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18"/>
        <v>H02935</v>
      </c>
      <c r="AU312" s="599" t="str">
        <f t="shared" si="18"/>
        <v>ADMIN CONCIERGE NETTOYE</v>
      </c>
      <c r="AV312" s="1030" t="str">
        <f>IFERROR(INDEX(V312:AG312,1,MATCH(Parametres!$B$3,V$1:AG$1,0)-1)*IF(OR(C312="L",C312="S",C312="I"),-1,1),"")</f>
        <v/>
      </c>
      <c r="AW312" s="1030">
        <f t="shared" si="1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16"/>
        <v>H02940</v>
      </c>
      <c r="AK313" s="1030" t="str">
        <f t="shared" si="16"/>
        <v>ENT EQUIPEMENT HERELLE</v>
      </c>
      <c r="AL313" s="1030" t="str">
        <f>IFERROR(INDEX(G313:R313,1,MATCH(Parametres!$B$3,G$1:R$1,0)-1)*IF(OR(F313="L",F313="S",F313="I"),-1,1),"")</f>
        <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18"/>
        <v>H02940</v>
      </c>
      <c r="AU313" s="599" t="str">
        <f t="shared" si="18"/>
        <v>ENT EQUIPEMENT HERELLE</v>
      </c>
      <c r="AV313" s="1030" t="str">
        <f>IFERROR(INDEX(V313:AG313,1,MATCH(Parametres!$B$3,V$1:AG$1,0)-1)*IF(OR(C313="L",C313="S",C313="I"),-1,1),"")</f>
        <v/>
      </c>
      <c r="AW313" s="1030">
        <f t="shared" si="1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16"/>
        <v>H02944</v>
      </c>
      <c r="AK314" s="1030" t="str">
        <f t="shared" si="16"/>
        <v>INTERNET HERELLE 4 DEPT</v>
      </c>
      <c r="AL314" s="1030" t="str">
        <f>IFERROR(INDEX(G314:R314,1,MATCH(Parametres!$B$3,G$1:R$1,0)-1)*IF(OR(F314="L",F314="S",F314="I"),-1,1),"")</f>
        <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18"/>
        <v>H02944</v>
      </c>
      <c r="AU314" s="599" t="str">
        <f t="shared" si="18"/>
        <v>INTERNET HERELLE 4 DEPT</v>
      </c>
      <c r="AV314" s="1030" t="str">
        <f>IFERROR(INDEX(V314:AG314,1,MATCH(Parametres!$B$3,V$1:AG$1,0)-1)*IF(OR(C314="L",C314="S",C314="I"),-1,1),"")</f>
        <v/>
      </c>
      <c r="AW314" s="1030">
        <f t="shared" si="1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16"/>
        <v>H02946</v>
      </c>
      <c r="AK315" s="1030" t="str">
        <f t="shared" si="16"/>
        <v>FRAIS REP. HERELLE</v>
      </c>
      <c r="AL315" s="1030" t="str">
        <f>IFERROR(INDEX(G315:R315,1,MATCH(Parametres!$B$3,G$1:R$1,0)-1)*IF(OR(F315="L",F315="S",F315="I"),-1,1),"")</f>
        <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18"/>
        <v>H02946</v>
      </c>
      <c r="AU315" s="599" t="str">
        <f t="shared" si="18"/>
        <v>FRAIS REP. HERELLE</v>
      </c>
      <c r="AV315" s="1030" t="str">
        <f>IFERROR(INDEX(V315:AG315,1,MATCH(Parametres!$B$3,V$1:AG$1,0)-1)*IF(OR(C315="L",C315="S",C315="I"),-1,1),"")</f>
        <v/>
      </c>
      <c r="AW315" s="1030">
        <f t="shared" si="1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16"/>
        <v>H02947</v>
      </c>
      <c r="AK316" s="1030" t="str">
        <f t="shared" si="16"/>
        <v>TELEPHONE HERELLE</v>
      </c>
      <c r="AL316" s="1030" t="str">
        <f>IFERROR(INDEX(G316:R316,1,MATCH(Parametres!$B$3,G$1:R$1,0)-1)*IF(OR(F316="L",F316="S",F316="I"),-1,1),"")</f>
        <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18"/>
        <v>H02947</v>
      </c>
      <c r="AU316" s="599" t="str">
        <f t="shared" si="18"/>
        <v>TELEPHONE HERELLE</v>
      </c>
      <c r="AV316" s="1030" t="str">
        <f>IFERROR(INDEX(V316:AG316,1,MATCH(Parametres!$B$3,V$1:AG$1,0)-1)*IF(OR(C316="L",C316="S",C316="I"),-1,1),"")</f>
        <v/>
      </c>
      <c r="AW316" s="1030">
        <f t="shared" si="1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16"/>
        <v>H02952</v>
      </c>
      <c r="AK317" s="1030" t="str">
        <f t="shared" si="16"/>
        <v>DIVERS 4 DEPT HERELLE</v>
      </c>
      <c r="AL317" s="1030" t="str">
        <f>IFERROR(INDEX(G317:R317,1,MATCH(Parametres!$B$3,G$1:R$1,0)-1)*IF(OR(F317="L",F317="S",F317="I"),-1,1),"")</f>
        <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18"/>
        <v>H02952</v>
      </c>
      <c r="AU317" s="599" t="str">
        <f t="shared" si="18"/>
        <v>DIVERS 4 DEPT HERELLE</v>
      </c>
      <c r="AV317" s="1030" t="str">
        <f>IFERROR(INDEX(V317:AG317,1,MATCH(Parametres!$B$3,V$1:AG$1,0)-1)*IF(OR(C317="L",C317="S",C317="I"),-1,1),"")</f>
        <v/>
      </c>
      <c r="AW317" s="1030">
        <f t="shared" si="1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16"/>
        <v>H02960</v>
      </c>
      <c r="AK318" s="1030" t="str">
        <f t="shared" si="16"/>
        <v>LOYER HERELLE 4 DEPTS</v>
      </c>
      <c r="AL318" s="1030" t="str">
        <f>IFERROR(INDEX(G318:R318,1,MATCH(Parametres!$B$3,G$1:R$1,0)-1)*IF(OR(F318="L",F318="S",F318="I"),-1,1),"")</f>
        <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18"/>
        <v>H02960</v>
      </c>
      <c r="AU318" s="599" t="str">
        <f t="shared" si="18"/>
        <v>LOYER HERELLE 4 DEPTS</v>
      </c>
      <c r="AV318" s="1030" t="str">
        <f>IFERROR(INDEX(V318:AG318,1,MATCH(Parametres!$B$3,V$1:AG$1,0)-1)*IF(OR(C318="L",C318="S",C318="I"),-1,1),"")</f>
        <v/>
      </c>
      <c r="AW318" s="1030">
        <f t="shared" si="1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16"/>
        <v>H02962</v>
      </c>
      <c r="AK319" s="1030" t="str">
        <f t="shared" si="16"/>
        <v>DIS ENTRETIEN HERELLE</v>
      </c>
      <c r="AL319" s="1030" t="str">
        <f>IFERROR(INDEX(G319:R319,1,MATCH(Parametres!$B$3,G$1:R$1,0)-1)*IF(OR(F319="L",F319="S",F319="I"),-1,1),"")</f>
        <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18"/>
        <v>H02962</v>
      </c>
      <c r="AU319" s="599" t="str">
        <f t="shared" si="18"/>
        <v>DIS ENTRETIEN HERELLE</v>
      </c>
      <c r="AV319" s="1030" t="str">
        <f>IFERROR(INDEX(V319:AG319,1,MATCH(Parametres!$B$3,V$1:AG$1,0)-1)*IF(OR(C319="L",C319="S",C319="I"),-1,1),"")</f>
        <v/>
      </c>
      <c r="AW319" s="1030">
        <f t="shared" si="1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16"/>
        <v>H02963</v>
      </c>
      <c r="AK320" s="1030" t="str">
        <f t="shared" si="16"/>
        <v>TAXES HERELLE 4 DEPT</v>
      </c>
      <c r="AL320" s="1030" t="str">
        <f>IFERROR(INDEX(G320:R320,1,MATCH(Parametres!$B$3,G$1:R$1,0)-1)*IF(OR(F320="L",F320="S",F320="I"),-1,1),"")</f>
        <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18"/>
        <v>H02963</v>
      </c>
      <c r="AU320" s="599" t="str">
        <f t="shared" si="18"/>
        <v>TAXES HERELLE 4 DEPT</v>
      </c>
      <c r="AV320" s="1030" t="str">
        <f>IFERROR(INDEX(V320:AG320,1,MATCH(Parametres!$B$3,V$1:AG$1,0)-1)*IF(OR(C320="L",C320="S",C320="I"),-1,1),"")</f>
        <v/>
      </c>
      <c r="AW320" s="1030">
        <f t="shared" si="1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16"/>
        <v>H02970</v>
      </c>
      <c r="AK321" s="1030" t="str">
        <f t="shared" si="16"/>
        <v>ASSURANCES HERELLE 4 DEPT</v>
      </c>
      <c r="AL321" s="1030" t="str">
        <f>IFERROR(INDEX(G321:R321,1,MATCH(Parametres!$B$3,G$1:R$1,0)-1)*IF(OR(F321="L",F321="S",F321="I"),-1,1),"")</f>
        <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18"/>
        <v>H02970</v>
      </c>
      <c r="AU321" s="599" t="str">
        <f t="shared" si="18"/>
        <v>ASSURANCES HERELLE 4 DEPT</v>
      </c>
      <c r="AV321" s="1030" t="str">
        <f>IFERROR(INDEX(V321:AG321,1,MATCH(Parametres!$B$3,V$1:AG$1,0)-1)*IF(OR(C321="L",C321="S",C321="I"),-1,1),"")</f>
        <v/>
      </c>
      <c r="AW321" s="1030">
        <f t="shared" si="1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16"/>
        <v>H02974</v>
      </c>
      <c r="AK322" s="1030" t="str">
        <f t="shared" si="16"/>
        <v>ELECT. GAZ METRO 4 DEPT</v>
      </c>
      <c r="AL322" s="1030" t="str">
        <f>IFERROR(INDEX(G322:R322,1,MATCH(Parametres!$B$3,G$1:R$1,0)-1)*IF(OR(F322="L",F322="S",F322="I"),-1,1),"")</f>
        <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18"/>
        <v>H02974</v>
      </c>
      <c r="AU322" s="599" t="str">
        <f t="shared" si="18"/>
        <v>ELECT. GAZ METRO 4 DEPT</v>
      </c>
      <c r="AV322" s="1030" t="str">
        <f>IFERROR(INDEX(V322:AG322,1,MATCH(Parametres!$B$3,V$1:AG$1,0)-1)*IF(OR(C322="L",C322="S",C322="I"),-1,1),"")</f>
        <v/>
      </c>
      <c r="AW322" s="1030">
        <f t="shared" si="1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16"/>
        <v>H10100</v>
      </c>
      <c r="AK323" s="1030" t="str">
        <f t="shared" si="16"/>
        <v>PETITE CAISSE</v>
      </c>
      <c r="AL323" s="1030" t="str">
        <f>IFERROR(INDEX(G323:R323,1,MATCH(Parametres!$B$3,G$1:R$1,0)-1)*IF(OR(F323="L",F323="S",F323="I"),-1,1),"")</f>
        <v/>
      </c>
      <c r="AM323" s="1030">
        <f t="shared" si="17"/>
        <v>1300</v>
      </c>
      <c r="AN323" s="1030">
        <f>INDEX(G323:R323,1,MATCH(Parametres!$B$3,G$1:R$1,0))*IF(OR(F323="L",F323="S",F323="I"),-1,1)</f>
        <v>1300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18"/>
        <v>H10100</v>
      </c>
      <c r="AU323" s="599" t="str">
        <f t="shared" si="18"/>
        <v>PETITE CAISSE</v>
      </c>
      <c r="AV323" s="1030" t="str">
        <f>IFERROR(INDEX(V323:AG323,1,MATCH(Parametres!$B$3,V$1:AG$1,0)-1)*IF(OR(C323="L",C323="S",C323="I"),-1,1),"")</f>
        <v/>
      </c>
      <c r="AW323" s="1030">
        <f t="shared" si="1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K387" si="20">C324</f>
        <v>H10110</v>
      </c>
      <c r="AK324" s="1030" t="str">
        <f t="shared" si="20"/>
        <v>PETITE CAISSE</v>
      </c>
      <c r="AL324" s="1030" t="str">
        <f>IFERROR(INDEX(G324:R324,1,MATCH(Parametres!$B$3,G$1:R$1,0)-1)*IF(OR(F324="L",F324="S",F324="I"),-1,1),"")</f>
        <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U387" si="22">C324</f>
        <v>H10110</v>
      </c>
      <c r="AU324" s="599" t="str">
        <f t="shared" si="22"/>
        <v>PETITE CAISSE</v>
      </c>
      <c r="AV324" s="1030" t="str">
        <f>IFERROR(INDEX(V324:AG324,1,MATCH(Parametres!$B$3,V$1:AG$1,0)-1)*IF(OR(C324="L",C324="S",C324="I"),-1,1),"")</f>
        <v/>
      </c>
      <c r="AW324" s="1030">
        <f t="shared" ref="AW324:AW387" si="23">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20"/>
        <v>H10120</v>
      </c>
      <c r="AK325" s="1030" t="str">
        <f t="shared" si="20"/>
        <v>PETITE CAISSE SERVICE</v>
      </c>
      <c r="AL325" s="1030" t="str">
        <f>IFERROR(INDEX(G325:R325,1,MATCH(Parametres!$B$3,G$1:R$1,0)-1)*IF(OR(F325="L",F325="S",F325="I"),-1,1),"")</f>
        <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22"/>
        <v>H10120</v>
      </c>
      <c r="AU325" s="599" t="str">
        <f t="shared" si="22"/>
        <v>PETITE CAISSE SERVICE</v>
      </c>
      <c r="AV325" s="1030" t="str">
        <f>IFERROR(INDEX(V325:AG325,1,MATCH(Parametres!$B$3,V$1:AG$1,0)-1)*IF(OR(C325="L",C325="S",C325="I"),-1,1),"")</f>
        <v/>
      </c>
      <c r="AW325" s="1030">
        <f t="shared" si="23"/>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20"/>
        <v>H10200</v>
      </c>
      <c r="AK326" s="1030" t="str">
        <f t="shared" si="20"/>
        <v>ENCAISSE</v>
      </c>
      <c r="AL326" s="1030" t="str">
        <f>IFERROR(INDEX(G326:R326,1,MATCH(Parametres!$B$3,G$1:R$1,0)-1)*IF(OR(F326="L",F326="S",F326="I"),-1,1),"")</f>
        <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22"/>
        <v>H10200</v>
      </c>
      <c r="AU326" s="599" t="str">
        <f t="shared" si="22"/>
        <v>ENCAISSE</v>
      </c>
      <c r="AV326" s="1030" t="str">
        <f>IFERROR(INDEX(V326:AG326,1,MATCH(Parametres!$B$3,V$1:AG$1,0)-1)*IF(OR(C326="L",C326="S",C326="I"),-1,1),"")</f>
        <v/>
      </c>
      <c r="AW326" s="1030">
        <f t="shared" si="23"/>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20"/>
        <v>H10256</v>
      </c>
      <c r="AK327" s="1030" t="str">
        <f t="shared" si="20"/>
        <v>TEMPO GL POUR CRE</v>
      </c>
      <c r="AL327" s="1030" t="str">
        <f>IFERROR(INDEX(G327:R327,1,MATCH(Parametres!$B$3,G$1:R$1,0)-1)*IF(OR(F327="L",F327="S",F327="I"),-1,1),"")</f>
        <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22"/>
        <v>H10256</v>
      </c>
      <c r="AU327" s="599" t="str">
        <f t="shared" si="22"/>
        <v>TEMPO GL POUR CRE</v>
      </c>
      <c r="AV327" s="1030" t="str">
        <f>IFERROR(INDEX(V327:AG327,1,MATCH(Parametres!$B$3,V$1:AG$1,0)-1)*IF(OR(C327="L",C327="S",C327="I"),-1,1),"")</f>
        <v/>
      </c>
      <c r="AW327" s="1030">
        <f t="shared" si="23"/>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20"/>
        <v>H10257</v>
      </c>
      <c r="AK328" s="1030" t="str">
        <f t="shared" si="20"/>
        <v>TEMPO GL POUR CAP</v>
      </c>
      <c r="AL328" s="1030" t="str">
        <f>IFERROR(INDEX(G328:R328,1,MATCH(Parametres!$B$3,G$1:R$1,0)-1)*IF(OR(F328="L",F328="S",F328="I"),-1,1),"")</f>
        <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22"/>
        <v>H10257</v>
      </c>
      <c r="AU328" s="599" t="str">
        <f t="shared" si="22"/>
        <v>TEMPO GL POUR CAP</v>
      </c>
      <c r="AV328" s="1030" t="str">
        <f>IFERROR(INDEX(V328:AG328,1,MATCH(Parametres!$B$3,V$1:AG$1,0)-1)*IF(OR(C328="L",C328="S",C328="I"),-1,1),"")</f>
        <v/>
      </c>
      <c r="AW328" s="1030">
        <f t="shared" si="23"/>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20"/>
        <v>H10300</v>
      </c>
      <c r="AK329" s="1030" t="str">
        <f t="shared" si="20"/>
        <v>BULK</v>
      </c>
      <c r="AL329" s="1030" t="str">
        <f>IFERROR(INDEX(G329:R329,1,MATCH(Parametres!$B$3,G$1:R$1,0)-1)*IF(OR(F329="L",F329="S",F329="I"),-1,1),"")</f>
        <v/>
      </c>
      <c r="AM329" s="1030">
        <f t="shared" si="21"/>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22"/>
        <v>H10300</v>
      </c>
      <c r="AU329" s="599" t="str">
        <f t="shared" si="22"/>
        <v>BULK</v>
      </c>
      <c r="AV329" s="1030" t="str">
        <f>IFERROR(INDEX(V329:AG329,1,MATCH(Parametres!$B$3,V$1:AG$1,0)-1)*IF(OR(C329="L",C329="S",C329="I"),-1,1),"")</f>
        <v/>
      </c>
      <c r="AW329" s="1030">
        <f t="shared" si="23"/>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20"/>
        <v>H10400</v>
      </c>
      <c r="AK330" s="1030" t="str">
        <f t="shared" si="20"/>
        <v>BANQUE TD CANADA TRUST</v>
      </c>
      <c r="AL330" s="1030" t="str">
        <f>IFERROR(INDEX(G330:R330,1,MATCH(Parametres!$B$3,G$1:R$1,0)-1)*IF(OR(F330="L",F330="S",F330="I"),-1,1),"")</f>
        <v/>
      </c>
      <c r="AM330" s="1030">
        <f t="shared" si="21"/>
        <v>2268121.8199999998</v>
      </c>
      <c r="AN330" s="1030">
        <f>INDEX(G330:R330,1,MATCH(Parametres!$B$3,G$1:R$1,0))*IF(OR(F330="L",F330="S",F330="I"),-1,1)</f>
        <v>2268121.8199999998</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22"/>
        <v>H10400</v>
      </c>
      <c r="AU330" s="599" t="str">
        <f t="shared" si="22"/>
        <v>BANQUE TD CANADA TRUST</v>
      </c>
      <c r="AV330" s="1030" t="str">
        <f>IFERROR(INDEX(V330:AG330,1,MATCH(Parametres!$B$3,V$1:AG$1,0)-1)*IF(OR(C330="L",C330="S",C330="I"),-1,1),"")</f>
        <v/>
      </c>
      <c r="AW330" s="1030">
        <f t="shared" si="23"/>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20"/>
        <v>H10500</v>
      </c>
      <c r="AK331" s="1030" t="str">
        <f t="shared" si="20"/>
        <v>RBC NO 2</v>
      </c>
      <c r="AL331" s="1030" t="str">
        <f>IFERROR(INDEX(G331:R331,1,MATCH(Parametres!$B$3,G$1:R$1,0)-1)*IF(OR(F331="L",F331="S",F331="I"),-1,1),"")</f>
        <v/>
      </c>
      <c r="AM331" s="1030">
        <f t="shared" si="21"/>
        <v>64.97</v>
      </c>
      <c r="AN331" s="1030">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22"/>
        <v>H10500</v>
      </c>
      <c r="AU331" s="599" t="str">
        <f t="shared" si="22"/>
        <v>RBC NO 2</v>
      </c>
      <c r="AV331" s="1030" t="str">
        <f>IFERROR(INDEX(V331:AG331,1,MATCH(Parametres!$B$3,V$1:AG$1,0)-1)*IF(OR(C331="L",C331="S",C331="I"),-1,1),"")</f>
        <v/>
      </c>
      <c r="AW331" s="1030">
        <f t="shared" si="23"/>
        <v>0</v>
      </c>
      <c r="AX331" s="1030">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20"/>
        <v>H10600</v>
      </c>
      <c r="AK332" s="1030" t="str">
        <f t="shared" si="20"/>
        <v>BANQUE RBC</v>
      </c>
      <c r="AL332" s="1030" t="str">
        <f>IFERROR(INDEX(G332:R332,1,MATCH(Parametres!$B$3,G$1:R$1,0)-1)*IF(OR(F332="L",F332="S",F332="I"),-1,1),"")</f>
        <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22"/>
        <v>H10600</v>
      </c>
      <c r="AU332" s="599" t="str">
        <f t="shared" si="22"/>
        <v>BANQUE RBC</v>
      </c>
      <c r="AV332" s="1030" t="str">
        <f>IFERROR(INDEX(V332:AG332,1,MATCH(Parametres!$B$3,V$1:AG$1,0)-1)*IF(OR(C332="L",C332="S",C332="I"),-1,1),"")</f>
        <v/>
      </c>
      <c r="AW332" s="1030">
        <f t="shared" si="23"/>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20"/>
        <v>H10700</v>
      </c>
      <c r="AK333" s="1030" t="str">
        <f t="shared" si="20"/>
        <v>CONTRAT FINANCE TRASIT</v>
      </c>
      <c r="AL333" s="1030" t="str">
        <f>IFERROR(INDEX(G333:R333,1,MATCH(Parametres!$B$3,G$1:R$1,0)-1)*IF(OR(F333="L",F333="S",F333="I"),-1,1),"")</f>
        <v/>
      </c>
      <c r="AM333" s="1030">
        <f t="shared" si="21"/>
        <v>316201.5</v>
      </c>
      <c r="AN333" s="1030">
        <f>INDEX(G333:R333,1,MATCH(Parametres!$B$3,G$1:R$1,0))*IF(OR(F333="L",F333="S",F333="I"),-1,1)</f>
        <v>316201.5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22"/>
        <v>H10700</v>
      </c>
      <c r="AU333" s="599" t="str">
        <f t="shared" si="22"/>
        <v>CONTRAT FINANCE TRASIT</v>
      </c>
      <c r="AV333" s="1030" t="str">
        <f>IFERROR(INDEX(V333:AG333,1,MATCH(Parametres!$B$3,V$1:AG$1,0)-1)*IF(OR(C333="L",C333="S",C333="I"),-1,1),"")</f>
        <v/>
      </c>
      <c r="AW333" s="1030">
        <f t="shared" si="23"/>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20"/>
        <v>H10800</v>
      </c>
      <c r="AK334" s="1030" t="str">
        <f t="shared" si="20"/>
        <v>TITRES NEGOCIABLES</v>
      </c>
      <c r="AL334" s="1030" t="str">
        <f>IFERROR(INDEX(G334:R334,1,MATCH(Parametres!$B$3,G$1:R$1,0)-1)*IF(OR(F334="L",F334="S",F334="I"),-1,1),"")</f>
        <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22"/>
        <v>H10800</v>
      </c>
      <c r="AU334" s="599" t="str">
        <f t="shared" si="22"/>
        <v>TITRES NEGOCIABLES</v>
      </c>
      <c r="AV334" s="1030" t="str">
        <f>IFERROR(INDEX(V334:AG334,1,MATCH(Parametres!$B$3,V$1:AG$1,0)-1)*IF(OR(C334="L",C334="S",C334="I"),-1,1),"")</f>
        <v/>
      </c>
      <c r="AW334" s="1030">
        <f t="shared" si="23"/>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20"/>
        <v>H10900</v>
      </c>
      <c r="AK335" s="1030" t="str">
        <f t="shared" si="20"/>
        <v>VENTES AU COMPTANT</v>
      </c>
      <c r="AL335" s="1030" t="str">
        <f>IFERROR(INDEX(G335:R335,1,MATCH(Parametres!$B$3,G$1:R$1,0)-1)*IF(OR(F335="L",F335="S",F335="I"),-1,1),"")</f>
        <v/>
      </c>
      <c r="AM335" s="1030">
        <f t="shared" si="21"/>
        <v>137.21</v>
      </c>
      <c r="AN335" s="1030">
        <f>INDEX(G335:R335,1,MATCH(Parametres!$B$3,G$1:R$1,0))*IF(OR(F335="L",F335="S",F335="I"),-1,1)</f>
        <v>137.21</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22"/>
        <v>H10900</v>
      </c>
      <c r="AU335" s="599" t="str">
        <f t="shared" si="22"/>
        <v>VENTES AU COMPTANT</v>
      </c>
      <c r="AV335" s="1030" t="str">
        <f>IFERROR(INDEX(V335:AG335,1,MATCH(Parametres!$B$3,V$1:AG$1,0)-1)*IF(OR(C335="L",C335="S",C335="I"),-1,1),"")</f>
        <v/>
      </c>
      <c r="AW335" s="1030">
        <f t="shared" si="23"/>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20"/>
        <v>H11000</v>
      </c>
      <c r="AK336" s="1030" t="str">
        <f t="shared" si="20"/>
        <v>COMPTE PROV. IMM.</v>
      </c>
      <c r="AL336" s="1030" t="str">
        <f>IFERROR(INDEX(G336:R336,1,MATCH(Parametres!$B$3,G$1:R$1,0)-1)*IF(OR(F336="L",F336="S",F336="I"),-1,1),"")</f>
        <v/>
      </c>
      <c r="AM336" s="1030">
        <f t="shared" si="21"/>
        <v>257.58999999999997</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22"/>
        <v>H11000</v>
      </c>
      <c r="AU336" s="599" t="str">
        <f t="shared" si="22"/>
        <v>COMPTE PROV. IMM.</v>
      </c>
      <c r="AV336" s="1030" t="str">
        <f>IFERROR(INDEX(V336:AG336,1,MATCH(Parametres!$B$3,V$1:AG$1,0)-1)*IF(OR(C336="L",C336="S",C336="I"),-1,1),"")</f>
        <v/>
      </c>
      <c r="AW336" s="1030">
        <f t="shared" si="23"/>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20"/>
        <v>H11100</v>
      </c>
      <c r="AK337" s="1030" t="str">
        <f t="shared" si="20"/>
        <v>AUTRES</v>
      </c>
      <c r="AL337" s="1030" t="str">
        <f>IFERROR(INDEX(G337:R337,1,MATCH(Parametres!$B$3,G$1:R$1,0)-1)*IF(OR(F337="L",F337="S",F337="I"),-1,1),"")</f>
        <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22"/>
        <v>H11100</v>
      </c>
      <c r="AU337" s="599" t="str">
        <f t="shared" si="22"/>
        <v>AUTRES</v>
      </c>
      <c r="AV337" s="1030" t="str">
        <f>IFERROR(INDEX(V337:AG337,1,MATCH(Parametres!$B$3,V$1:AG$1,0)-1)*IF(OR(C337="L",C337="S",C337="I"),-1,1),"")</f>
        <v/>
      </c>
      <c r="AW337" s="1030">
        <f t="shared" si="23"/>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20"/>
        <v>H11300</v>
      </c>
      <c r="AK338" s="1030" t="str">
        <f t="shared" si="20"/>
        <v>RECEVABLES DE CIBC</v>
      </c>
      <c r="AL338" s="1030" t="str">
        <f>IFERROR(INDEX(G338:R338,1,MATCH(Parametres!$B$3,G$1:R$1,0)-1)*IF(OR(F338="L",F338="S",F338="I"),-1,1),"")</f>
        <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22"/>
        <v>H11300</v>
      </c>
      <c r="AU338" s="599" t="str">
        <f t="shared" si="22"/>
        <v>RECEVABLES DE CIBC</v>
      </c>
      <c r="AV338" s="1030" t="str">
        <f>IFERROR(INDEX(V338:AG338,1,MATCH(Parametres!$B$3,V$1:AG$1,0)-1)*IF(OR(C338="L",C338="S",C338="I"),-1,1),"")</f>
        <v/>
      </c>
      <c r="AW338" s="1030">
        <f t="shared" si="23"/>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20"/>
        <v>H11400</v>
      </c>
      <c r="AK339" s="1030" t="str">
        <f t="shared" si="20"/>
        <v>RECEVABLES NETS - LOC.</v>
      </c>
      <c r="AL339" s="1030" t="str">
        <f>IFERROR(INDEX(G339:R339,1,MATCH(Parametres!$B$3,G$1:R$1,0)-1)*IF(OR(F339="L",F339="S",F339="I"),-1,1),"")</f>
        <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22"/>
        <v>H11400</v>
      </c>
      <c r="AU339" s="599" t="str">
        <f t="shared" si="22"/>
        <v>RECEVABLES NETS - LOC.</v>
      </c>
      <c r="AV339" s="1030" t="str">
        <f>IFERROR(INDEX(V339:AG339,1,MATCH(Parametres!$B$3,V$1:AG$1,0)-1)*IF(OR(C339="L",C339="S",C339="I"),-1,1),"")</f>
        <v/>
      </c>
      <c r="AW339" s="1030">
        <f t="shared" si="23"/>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20"/>
        <v>H11500</v>
      </c>
      <c r="AK340" s="1030" t="str">
        <f t="shared" si="20"/>
        <v>A/R PIECE &amp; SERVICE</v>
      </c>
      <c r="AL340" s="1030" t="str">
        <f>IFERROR(INDEX(G340:R340,1,MATCH(Parametres!$B$3,G$1:R$1,0)-1)*IF(OR(F340="L",F340="S",F340="I"),-1,1),"")</f>
        <v/>
      </c>
      <c r="AM340" s="1030">
        <f t="shared" si="21"/>
        <v>595371.59</v>
      </c>
      <c r="AN340" s="1030">
        <f>INDEX(G340:R340,1,MATCH(Parametres!$B$3,G$1:R$1,0))*IF(OR(F340="L",F340="S",F340="I"),-1,1)</f>
        <v>595371.59</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22"/>
        <v>H11500</v>
      </c>
      <c r="AU340" s="599" t="str">
        <f t="shared" si="22"/>
        <v>A/R PIECE &amp; SERVICE</v>
      </c>
      <c r="AV340" s="1030" t="str">
        <f>IFERROR(INDEX(V340:AG340,1,MATCH(Parametres!$B$3,V$1:AG$1,0)-1)*IF(OR(C340="L",C340="S",C340="I"),-1,1),"")</f>
        <v/>
      </c>
      <c r="AW340" s="1030">
        <f t="shared" si="23"/>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20"/>
        <v>H11510</v>
      </c>
      <c r="AK341" s="1030" t="str">
        <f t="shared" si="20"/>
        <v>A/R FORTUNE</v>
      </c>
      <c r="AL341" s="1030" t="str">
        <f>IFERROR(INDEX(G341:R341,1,MATCH(Parametres!$B$3,G$1:R$1,0)-1)*IF(OR(F341="L",F341="S",F341="I"),-1,1),"")</f>
        <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22"/>
        <v>H11510</v>
      </c>
      <c r="AU341" s="599" t="str">
        <f t="shared" si="22"/>
        <v>A/R FORTUNE</v>
      </c>
      <c r="AV341" s="1030" t="str">
        <f>IFERROR(INDEX(V341:AG341,1,MATCH(Parametres!$B$3,V$1:AG$1,0)-1)*IF(OR(C341="L",C341="S",C341="I"),-1,1),"")</f>
        <v/>
      </c>
      <c r="AW341" s="1030">
        <f t="shared" si="23"/>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20"/>
        <v>H11520</v>
      </c>
      <c r="AK342" s="1030" t="str">
        <f t="shared" si="20"/>
        <v>RABAIS VENTE ENT SERVICE</v>
      </c>
      <c r="AL342" s="1030" t="str">
        <f>IFERROR(INDEX(G342:R342,1,MATCH(Parametres!$B$3,G$1:R$1,0)-1)*IF(OR(F342="L",F342="S",F342="I"),-1,1),"")</f>
        <v/>
      </c>
      <c r="AM342" s="1030">
        <f t="shared" si="21"/>
        <v>-17765.98</v>
      </c>
      <c r="AN342" s="1030">
        <f>INDEX(G342:R342,1,MATCH(Parametres!$B$3,G$1:R$1,0))*IF(OR(F342="L",F342="S",F342="I"),-1,1)</f>
        <v>-17765.98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22"/>
        <v>H11520</v>
      </c>
      <c r="AU342" s="599" t="str">
        <f t="shared" si="22"/>
        <v>RABAIS VENTE ENT SERVICE</v>
      </c>
      <c r="AV342" s="1030" t="str">
        <f>IFERROR(INDEX(V342:AG342,1,MATCH(Parametres!$B$3,V$1:AG$1,0)-1)*IF(OR(C342="L",C342="S",C342="I"),-1,1),"")</f>
        <v/>
      </c>
      <c r="AW342" s="1030">
        <f t="shared" si="23"/>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20"/>
        <v>H11530</v>
      </c>
      <c r="AK343" s="1030" t="str">
        <f t="shared" si="20"/>
        <v>RABAIS CHANG HUILE GRAT</v>
      </c>
      <c r="AL343" s="1030" t="str">
        <f>IFERROR(INDEX(G343:R343,1,MATCH(Parametres!$B$3,G$1:R$1,0)-1)*IF(OR(F343="L",F343="S",F343="I"),-1,1),"")</f>
        <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22"/>
        <v>H11530</v>
      </c>
      <c r="AU343" s="599" t="str">
        <f t="shared" si="22"/>
        <v>RABAIS CHANG HUILE GRAT</v>
      </c>
      <c r="AV343" s="1030" t="str">
        <f>IFERROR(INDEX(V343:AG343,1,MATCH(Parametres!$B$3,V$1:AG$1,0)-1)*IF(OR(C343="L",C343="S",C343="I"),-1,1),"")</f>
        <v/>
      </c>
      <c r="AW343" s="1030">
        <f t="shared" si="23"/>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20"/>
        <v>H11540</v>
      </c>
      <c r="AK344" s="1030" t="str">
        <f t="shared" si="20"/>
        <v>CREDIT PIECE ET SERVICE</v>
      </c>
      <c r="AL344" s="1030" t="str">
        <f>IFERROR(INDEX(G344:R344,1,MATCH(Parametres!$B$3,G$1:R$1,0)-1)*IF(OR(F344="L",F344="S",F344="I"),-1,1),"")</f>
        <v/>
      </c>
      <c r="AM344" s="1030">
        <f t="shared" si="21"/>
        <v>-7724.09</v>
      </c>
      <c r="AN344" s="1030">
        <f>INDEX(G344:R344,1,MATCH(Parametres!$B$3,G$1:R$1,0))*IF(OR(F344="L",F344="S",F344="I"),-1,1)</f>
        <v>-7724.09</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22"/>
        <v>H11540</v>
      </c>
      <c r="AU344" s="599" t="str">
        <f t="shared" si="22"/>
        <v>CREDIT PIECE ET SERVICE</v>
      </c>
      <c r="AV344" s="1030" t="str">
        <f>IFERROR(INDEX(V344:AG344,1,MATCH(Parametres!$B$3,V$1:AG$1,0)-1)*IF(OR(C344="L",C344="S",C344="I"),-1,1),"")</f>
        <v/>
      </c>
      <c r="AW344" s="1030">
        <f t="shared" si="23"/>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20"/>
        <v>H11550</v>
      </c>
      <c r="AK345" s="1030" t="str">
        <f t="shared" si="20"/>
        <v>COMPTE RSV CREDIT FUTUR</v>
      </c>
      <c r="AL345" s="1030" t="str">
        <f>IFERROR(INDEX(G345:R345,1,MATCH(Parametres!$B$3,G$1:R$1,0)-1)*IF(OR(F345="L",F345="S",F345="I"),-1,1),"")</f>
        <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22"/>
        <v>H11550</v>
      </c>
      <c r="AU345" s="599" t="str">
        <f t="shared" si="22"/>
        <v>COMPTE RSV CREDIT FUTUR</v>
      </c>
      <c r="AV345" s="1030" t="str">
        <f>IFERROR(INDEX(V345:AG345,1,MATCH(Parametres!$B$3,V$1:AG$1,0)-1)*IF(OR(C345="L",C345="S",C345="I"),-1,1),"")</f>
        <v/>
      </c>
      <c r="AW345" s="1030">
        <f t="shared" si="23"/>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20"/>
        <v>H11600</v>
      </c>
      <c r="AK346" s="1030" t="str">
        <f t="shared" si="20"/>
        <v>COMPTES VEHICULE A REC.</v>
      </c>
      <c r="AL346" s="1030" t="str">
        <f>IFERROR(INDEX(G346:R346,1,MATCH(Parametres!$B$3,G$1:R$1,0)-1)*IF(OR(F346="L",F346="S",F346="I"),-1,1),"")</f>
        <v/>
      </c>
      <c r="AM346" s="1030">
        <f t="shared" si="21"/>
        <v>-45192.28</v>
      </c>
      <c r="AN346" s="1030">
        <f>INDEX(G346:R346,1,MATCH(Parametres!$B$3,G$1:R$1,0))*IF(OR(F346="L",F346="S",F346="I"),-1,1)</f>
        <v>-45192.28</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22"/>
        <v>H11600</v>
      </c>
      <c r="AU346" s="599" t="str">
        <f t="shared" si="22"/>
        <v>COMPTES VEHICULE A REC.</v>
      </c>
      <c r="AV346" s="1030" t="str">
        <f>IFERROR(INDEX(V346:AG346,1,MATCH(Parametres!$B$3,V$1:AG$1,0)-1)*IF(OR(C346="L",C346="S",C346="I"),-1,1),"")</f>
        <v/>
      </c>
      <c r="AW346" s="1030">
        <f t="shared" si="23"/>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20"/>
        <v>H11601</v>
      </c>
      <c r="AK347" s="1030" t="str">
        <f t="shared" si="20"/>
        <v>A RECEVOIR VENDEUR</v>
      </c>
      <c r="AL347" s="1030" t="str">
        <f>IFERROR(INDEX(G347:R347,1,MATCH(Parametres!$B$3,G$1:R$1,0)-1)*IF(OR(F347="L",F347="S",F347="I"),-1,1),"")</f>
        <v/>
      </c>
      <c r="AM347" s="1030">
        <f t="shared" si="21"/>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22"/>
        <v>H11601</v>
      </c>
      <c r="AU347" s="599" t="str">
        <f t="shared" si="22"/>
        <v>A RECEVOIR VENDEUR</v>
      </c>
      <c r="AV347" s="1030" t="str">
        <f>IFERROR(INDEX(V347:AG347,1,MATCH(Parametres!$B$3,V$1:AG$1,0)-1)*IF(OR(C347="L",C347="S",C347="I"),-1,1),"")</f>
        <v/>
      </c>
      <c r="AW347" s="1030">
        <f t="shared" si="23"/>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20"/>
        <v>H11610</v>
      </c>
      <c r="AK348" s="1030" t="str">
        <f t="shared" si="20"/>
        <v>COMPTES VEHICULE A REC.</v>
      </c>
      <c r="AL348" s="1030" t="str">
        <f>IFERROR(INDEX(G348:R348,1,MATCH(Parametres!$B$3,G$1:R$1,0)-1)*IF(OR(F348="L",F348="S",F348="I"),-1,1),"")</f>
        <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22"/>
        <v>H11610</v>
      </c>
      <c r="AU348" s="599" t="str">
        <f t="shared" si="22"/>
        <v>COMPTES VEHICULE A REC.</v>
      </c>
      <c r="AV348" s="1030" t="str">
        <f>IFERROR(INDEX(V348:AG348,1,MATCH(Parametres!$B$3,V$1:AG$1,0)-1)*IF(OR(C348="L",C348="S",C348="I"),-1,1),"")</f>
        <v/>
      </c>
      <c r="AW348" s="1030">
        <f t="shared" si="23"/>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20"/>
        <v>H11700</v>
      </c>
      <c r="AK349" s="1030" t="str">
        <f t="shared" si="20"/>
        <v>COMPTE A RECEVOIR  H.A.C.</v>
      </c>
      <c r="AL349" s="1030" t="str">
        <f>IFERROR(INDEX(G349:R349,1,MATCH(Parametres!$B$3,G$1:R$1,0)-1)*IF(OR(F349="L",F349="S",F349="I"),-1,1),"")</f>
        <v/>
      </c>
      <c r="AM349" s="1030">
        <f t="shared" si="21"/>
        <v>1185722.3500000001</v>
      </c>
      <c r="AN349" s="1030">
        <f>INDEX(G349:R349,1,MATCH(Parametres!$B$3,G$1:R$1,0))*IF(OR(F349="L",F349="S",F349="I"),-1,1)</f>
        <v>1185722.3500000001</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22"/>
        <v>H11700</v>
      </c>
      <c r="AU349" s="599" t="str">
        <f t="shared" si="22"/>
        <v>COMPTE A RECEVOIR  H.A.C.</v>
      </c>
      <c r="AV349" s="1030" t="str">
        <f>IFERROR(INDEX(V349:AG349,1,MATCH(Parametres!$B$3,V$1:AG$1,0)-1)*IF(OR(C349="L",C349="S",C349="I"),-1,1),"")</f>
        <v/>
      </c>
      <c r="AW349" s="1030">
        <f t="shared" si="23"/>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20"/>
        <v>H11701</v>
      </c>
      <c r="AK350" s="1030" t="str">
        <f t="shared" si="20"/>
        <v>CONTRIBUTION DEALER H.A.C</v>
      </c>
      <c r="AL350" s="1030" t="str">
        <f>IFERROR(INDEX(G350:R350,1,MATCH(Parametres!$B$3,G$1:R$1,0)-1)*IF(OR(F350="L",F350="S",F350="I"),-1,1),"")</f>
        <v/>
      </c>
      <c r="AM350" s="1030">
        <f t="shared" si="21"/>
        <v>0</v>
      </c>
      <c r="AN350" s="1030">
        <f>INDEX(G350:R350,1,MATCH(Parametres!$B$3,G$1:R$1,0))*IF(OR(F350="L",F350="S",F350="I"),-1,1)</f>
        <v>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22"/>
        <v>H11701</v>
      </c>
      <c r="AU350" s="599" t="str">
        <f t="shared" si="22"/>
        <v>CONTRIBUTION DEALER H.A.C</v>
      </c>
      <c r="AV350" s="1030" t="str">
        <f>IFERROR(INDEX(V350:AG350,1,MATCH(Parametres!$B$3,V$1:AG$1,0)-1)*IF(OR(C350="L",C350="S",C350="I"),-1,1),"")</f>
        <v/>
      </c>
      <c r="AW350" s="1030">
        <f t="shared" si="23"/>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20"/>
        <v>H11702</v>
      </c>
      <c r="AK351" s="1030" t="str">
        <f t="shared" si="20"/>
        <v>HOLDBACK A RECEVOIR</v>
      </c>
      <c r="AL351" s="1030" t="str">
        <f>IFERROR(INDEX(G351:R351,1,MATCH(Parametres!$B$3,G$1:R$1,0)-1)*IF(OR(F351="L",F351="S",F351="I"),-1,1),"")</f>
        <v/>
      </c>
      <c r="AM351" s="1030">
        <f t="shared" si="21"/>
        <v>0</v>
      </c>
      <c r="AN351" s="1030">
        <f>INDEX(G351:R351,1,MATCH(Parametres!$B$3,G$1:R$1,0))*IF(OR(F351="L",F351="S",F351="I"),-1,1)</f>
        <v>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22"/>
        <v>H11702</v>
      </c>
      <c r="AU351" s="599" t="str">
        <f t="shared" si="22"/>
        <v>HOLDBACK A RECEVOIR</v>
      </c>
      <c r="AV351" s="1030" t="str">
        <f>IFERROR(INDEX(V351:AG351,1,MATCH(Parametres!$B$3,V$1:AG$1,0)-1)*IF(OR(C351="L",C351="S",C351="I"),-1,1),"")</f>
        <v/>
      </c>
      <c r="AW351" s="1030">
        <f t="shared" si="23"/>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20"/>
        <v>H11710</v>
      </c>
      <c r="AK352" s="1030" t="str">
        <f t="shared" si="20"/>
        <v>PDI A VENIR</v>
      </c>
      <c r="AL352" s="1030" t="str">
        <f>IFERROR(INDEX(G352:R352,1,MATCH(Parametres!$B$3,G$1:R$1,0)-1)*IF(OR(F352="L",F352="S",F352="I"),-1,1),"")</f>
        <v/>
      </c>
      <c r="AM352" s="1030">
        <f t="shared" si="21"/>
        <v>1939.96</v>
      </c>
      <c r="AN352" s="1030">
        <f>INDEX(G352:R352,1,MATCH(Parametres!$B$3,G$1:R$1,0))*IF(OR(F352="L",F352="S",F352="I"),-1,1)</f>
        <v>1939.96</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22"/>
        <v>H11710</v>
      </c>
      <c r="AU352" s="599" t="str">
        <f t="shared" si="22"/>
        <v>PDI A VENIR</v>
      </c>
      <c r="AV352" s="1030" t="str">
        <f>IFERROR(INDEX(V352:AG352,1,MATCH(Parametres!$B$3,V$1:AG$1,0)-1)*IF(OR(C352="L",C352="S",C352="I"),-1,1),"")</f>
        <v/>
      </c>
      <c r="AW352" s="1030">
        <f t="shared" si="23"/>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20"/>
        <v>H11900</v>
      </c>
      <c r="AK353" s="1030" t="str">
        <f t="shared" si="20"/>
        <v>A/R INTER-SOCIETE</v>
      </c>
      <c r="AL353" s="1030" t="str">
        <f>IFERROR(INDEX(G353:R353,1,MATCH(Parametres!$B$3,G$1:R$1,0)-1)*IF(OR(F353="L",F353="S",F353="I"),-1,1),"")</f>
        <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22"/>
        <v>H11900</v>
      </c>
      <c r="AU353" s="599" t="str">
        <f t="shared" si="22"/>
        <v>A/R INTER-SOCIETE</v>
      </c>
      <c r="AV353" s="1030" t="str">
        <f>IFERROR(INDEX(V353:AG353,1,MATCH(Parametres!$B$3,V$1:AG$1,0)-1)*IF(OR(C353="L",C353="S",C353="I"),-1,1),"")</f>
        <v/>
      </c>
      <c r="AW353" s="1030">
        <f t="shared" si="23"/>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20"/>
        <v>H11901</v>
      </c>
      <c r="AK354" s="1030" t="str">
        <f t="shared" si="20"/>
        <v>FIDUCIE MAXIME ALLARD</v>
      </c>
      <c r="AL354" s="1030" t="str">
        <f>IFERROR(INDEX(G354:R354,1,MATCH(Parametres!$B$3,G$1:R$1,0)-1)*IF(OR(F354="L",F354="S",F354="I"),-1,1),"")</f>
        <v/>
      </c>
      <c r="AM354" s="1030">
        <f t="shared" si="21"/>
        <v>-3945596.4</v>
      </c>
      <c r="AN354" s="1030">
        <f>INDEX(G354:R354,1,MATCH(Parametres!$B$3,G$1:R$1,0))*IF(OR(F354="L",F354="S",F354="I"),-1,1)</f>
        <v>-3945596.4</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22"/>
        <v>H11901</v>
      </c>
      <c r="AU354" s="599" t="str">
        <f t="shared" si="22"/>
        <v>FIDUCIE MAXIME ALLARD</v>
      </c>
      <c r="AV354" s="1030" t="str">
        <f>IFERROR(INDEX(V354:AG354,1,MATCH(Parametres!$B$3,V$1:AG$1,0)-1)*IF(OR(C354="L",C354="S",C354="I"),-1,1),"")</f>
        <v/>
      </c>
      <c r="AW354" s="1030">
        <f t="shared" si="23"/>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20"/>
        <v>H11902</v>
      </c>
      <c r="AK355" s="1030" t="str">
        <f t="shared" si="20"/>
        <v>FIDUCIE ROZON</v>
      </c>
      <c r="AL355" s="1030" t="str">
        <f>IFERROR(INDEX(G355:R355,1,MATCH(Parametres!$B$3,G$1:R$1,0)-1)*IF(OR(F355="L",F355="S",F355="I"),-1,1),"")</f>
        <v/>
      </c>
      <c r="AM355" s="1030">
        <f t="shared" si="21"/>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22"/>
        <v>H11902</v>
      </c>
      <c r="AU355" s="599" t="str">
        <f t="shared" si="22"/>
        <v>FIDUCIE ROZON</v>
      </c>
      <c r="AV355" s="1030" t="str">
        <f>IFERROR(INDEX(V355:AG355,1,MATCH(Parametres!$B$3,V$1:AG$1,0)-1)*IF(OR(C355="L",C355="S",C355="I"),-1,1),"")</f>
        <v/>
      </c>
      <c r="AW355" s="1030">
        <f t="shared" si="23"/>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20"/>
        <v>H11903</v>
      </c>
      <c r="AK356" s="1030" t="str">
        <f t="shared" si="20"/>
        <v>INTERCO-9510-1309 QC INC</v>
      </c>
      <c r="AL356" s="1030" t="str">
        <f>IFERROR(INDEX(G356:R356,1,MATCH(Parametres!$B$3,G$1:R$1,0)-1)*IF(OR(F356="L",F356="S",F356="I"),-1,1),"")</f>
        <v/>
      </c>
      <c r="AM356" s="1030">
        <f t="shared" si="21"/>
        <v>-401894.5</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22"/>
        <v>H11903</v>
      </c>
      <c r="AU356" s="599" t="str">
        <f t="shared" si="22"/>
        <v>INTERCO-9510-1309 QC INC</v>
      </c>
      <c r="AV356" s="1030" t="str">
        <f>IFERROR(INDEX(V356:AG356,1,MATCH(Parametres!$B$3,V$1:AG$1,0)-1)*IF(OR(C356="L",C356="S",C356="I"),-1,1),"")</f>
        <v/>
      </c>
      <c r="AW356" s="1030">
        <f t="shared" si="23"/>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20"/>
        <v>H11904</v>
      </c>
      <c r="AK357" s="1030" t="str">
        <f t="shared" si="20"/>
        <v>INTERCO-9509-9016 QC INC</v>
      </c>
      <c r="AL357" s="1030" t="str">
        <f>IFERROR(INDEX(G357:R357,1,MATCH(Parametres!$B$3,G$1:R$1,0)-1)*IF(OR(F357="L",F357="S",F357="I"),-1,1),"")</f>
        <v/>
      </c>
      <c r="AM357" s="1030">
        <f t="shared" si="21"/>
        <v>200000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22"/>
        <v>H11904</v>
      </c>
      <c r="AU357" s="599" t="str">
        <f t="shared" si="22"/>
        <v>INTERCO-9509-9016 QC INC</v>
      </c>
      <c r="AV357" s="1030" t="str">
        <f>IFERROR(INDEX(V357:AG357,1,MATCH(Parametres!$B$3,V$1:AG$1,0)-1)*IF(OR(C357="L",C357="S",C357="I"),-1,1),"")</f>
        <v/>
      </c>
      <c r="AW357" s="1030">
        <f t="shared" si="23"/>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20"/>
        <v>H11905</v>
      </c>
      <c r="AK358" s="1030" t="str">
        <f t="shared" si="20"/>
        <v>INTERCO-HÉRELLE</v>
      </c>
      <c r="AL358" s="1030" t="str">
        <f>IFERROR(INDEX(G358:R358,1,MATCH(Parametres!$B$3,G$1:R$1,0)-1)*IF(OR(F358="L",F358="S",F358="I"),-1,1),"")</f>
        <v/>
      </c>
      <c r="AM358" s="1030">
        <f t="shared" si="21"/>
        <v>401894.5</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22"/>
        <v>H11905</v>
      </c>
      <c r="AU358" s="599" t="str">
        <f t="shared" si="22"/>
        <v>INTERCO-HÉRELLE</v>
      </c>
      <c r="AV358" s="1030" t="str">
        <f>IFERROR(INDEX(V358:AG358,1,MATCH(Parametres!$B$3,V$1:AG$1,0)-1)*IF(OR(C358="L",C358="S",C358="I"),-1,1),"")</f>
        <v/>
      </c>
      <c r="AW358" s="1030">
        <f t="shared" si="23"/>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20"/>
        <v>H11906</v>
      </c>
      <c r="AK359" s="1030" t="str">
        <f t="shared" si="20"/>
        <v>INTERCO-STE-MARIE AUTOMOB</v>
      </c>
      <c r="AL359" s="1030" t="str">
        <f>IFERROR(INDEX(G359:R359,1,MATCH(Parametres!$B$3,G$1:R$1,0)-1)*IF(OR(F359="L",F359="S",F359="I"),-1,1),"")</f>
        <v/>
      </c>
      <c r="AM359" s="1030">
        <f t="shared" si="21"/>
        <v>0</v>
      </c>
      <c r="AN359" s="1030">
        <f>INDEX(G359:R359,1,MATCH(Parametres!$B$3,G$1:R$1,0))*IF(OR(F359="L",F359="S",F359="I"),-1,1)</f>
        <v>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22"/>
        <v>H11906</v>
      </c>
      <c r="AU359" s="599" t="str">
        <f t="shared" si="22"/>
        <v>INTERCO-STE-MARIE AUTOMOB</v>
      </c>
      <c r="AV359" s="1030" t="str">
        <f>IFERROR(INDEX(V359:AG359,1,MATCH(Parametres!$B$3,V$1:AG$1,0)-1)*IF(OR(C359="L",C359="S",C359="I"),-1,1),"")</f>
        <v/>
      </c>
      <c r="AW359" s="1030">
        <f t="shared" si="23"/>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20"/>
        <v>H11907</v>
      </c>
      <c r="AK360" s="1030" t="str">
        <f t="shared" si="20"/>
        <v>INTERCO-13721515 QC INC</v>
      </c>
      <c r="AL360" s="1030" t="str">
        <f>IFERROR(INDEX(G360:R360,1,MATCH(Parametres!$B$3,G$1:R$1,0)-1)*IF(OR(F360="L",F360="S",F360="I"),-1,1),"")</f>
        <v/>
      </c>
      <c r="AM360" s="1030">
        <f t="shared" si="21"/>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22"/>
        <v>H11907</v>
      </c>
      <c r="AU360" s="599" t="str">
        <f t="shared" si="22"/>
        <v>INTERCO-13721515 QC INC</v>
      </c>
      <c r="AV360" s="1030" t="str">
        <f>IFERROR(INDEX(V360:AG360,1,MATCH(Parametres!$B$3,V$1:AG$1,0)-1)*IF(OR(C360="L",C360="S",C360="I"),-1,1),"")</f>
        <v/>
      </c>
      <c r="AW360" s="1030">
        <f t="shared" si="23"/>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20"/>
        <v>H11908</v>
      </c>
      <c r="AK361" s="1030" t="str">
        <f t="shared" si="20"/>
        <v>INTERCO-BMW SHERBROOKE</v>
      </c>
      <c r="AL361" s="1030" t="str">
        <f>IFERROR(INDEX(G361:R361,1,MATCH(Parametres!$B$3,G$1:R$1,0)-1)*IF(OR(F361="L",F361="S",F361="I"),-1,1),"")</f>
        <v/>
      </c>
      <c r="AM361" s="1030">
        <f t="shared" si="21"/>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22"/>
        <v>H11908</v>
      </c>
      <c r="AU361" s="599" t="str">
        <f t="shared" si="22"/>
        <v>INTERCO-BMW SHERBROOKE</v>
      </c>
      <c r="AV361" s="1030" t="str">
        <f>IFERROR(INDEX(V361:AG361,1,MATCH(Parametres!$B$3,V$1:AG$1,0)-1)*IF(OR(C361="L",C361="S",C361="I"),-1,1),"")</f>
        <v/>
      </c>
      <c r="AW361" s="1030">
        <f t="shared" si="23"/>
        <v>0</v>
      </c>
      <c r="AX361" s="1030">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20"/>
        <v>H12000</v>
      </c>
      <c r="AK362" s="1030" t="str">
        <f t="shared" si="20"/>
        <v>RECLAMATION GAR. HYUNDAI</v>
      </c>
      <c r="AL362" s="1030" t="str">
        <f>IFERROR(INDEX(G362:R362,1,MATCH(Parametres!$B$3,G$1:R$1,0)-1)*IF(OR(F362="L",F362="S",F362="I"),-1,1),"")</f>
        <v/>
      </c>
      <c r="AM362" s="1030">
        <f t="shared" si="21"/>
        <v>-2244.48</v>
      </c>
      <c r="AN362" s="1030">
        <f>INDEX(G362:R362,1,MATCH(Parametres!$B$3,G$1:R$1,0))*IF(OR(F362="L",F362="S",F362="I"),-1,1)</f>
        <v>-2244.48</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22"/>
        <v>H12000</v>
      </c>
      <c r="AU362" s="599" t="str">
        <f t="shared" si="22"/>
        <v>RECLAMATION GAR. HYUNDAI</v>
      </c>
      <c r="AV362" s="1030" t="str">
        <f>IFERROR(INDEX(V362:AG362,1,MATCH(Parametres!$B$3,V$1:AG$1,0)-1)*IF(OR(C362="L",C362="S",C362="I"),-1,1),"")</f>
        <v/>
      </c>
      <c r="AW362" s="1030">
        <f t="shared" si="23"/>
        <v>0</v>
      </c>
      <c r="AX362" s="1030">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20"/>
        <v>H12001</v>
      </c>
      <c r="AK363" s="1030" t="str">
        <f t="shared" si="20"/>
        <v>RECLAMATION GAR. AUTRES</v>
      </c>
      <c r="AL363" s="1030" t="str">
        <f>IFERROR(INDEX(G363:R363,1,MATCH(Parametres!$B$3,G$1:R$1,0)-1)*IF(OR(F363="L",F363="S",F363="I"),-1,1),"")</f>
        <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22"/>
        <v>H12001</v>
      </c>
      <c r="AU363" s="599" t="str">
        <f t="shared" si="22"/>
        <v>RECLAMATION GAR. AUTRES</v>
      </c>
      <c r="AV363" s="1030" t="str">
        <f>IFERROR(INDEX(V363:AG363,1,MATCH(Parametres!$B$3,V$1:AG$1,0)-1)*IF(OR(C363="L",C363="S",C363="I"),-1,1),"")</f>
        <v/>
      </c>
      <c r="AW363" s="1030">
        <f t="shared" si="23"/>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20"/>
        <v>H12090</v>
      </c>
      <c r="AK364" s="1030" t="str">
        <f t="shared" si="20"/>
        <v>NE PAS UTILISER</v>
      </c>
      <c r="AL364" s="1030" t="str">
        <f>IFERROR(INDEX(G364:R364,1,MATCH(Parametres!$B$3,G$1:R$1,0)-1)*IF(OR(F364="L",F364="S",F364="I"),-1,1),"")</f>
        <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22"/>
        <v>H12090</v>
      </c>
      <c r="AU364" s="599" t="str">
        <f t="shared" si="22"/>
        <v>NE PAS UTILISER</v>
      </c>
      <c r="AV364" s="1030" t="str">
        <f>IFERROR(INDEX(V364:AG364,1,MATCH(Parametres!$B$3,V$1:AG$1,0)-1)*IF(OR(C364="L",C364="S",C364="I"),-1,1),"")</f>
        <v/>
      </c>
      <c r="AW364" s="1030">
        <f t="shared" si="23"/>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20"/>
        <v>H12100</v>
      </c>
      <c r="AK365" s="1030" t="str">
        <f t="shared" si="20"/>
        <v>RECLAMATION DE TRANSPORT</v>
      </c>
      <c r="AL365" s="1030" t="str">
        <f>IFERROR(INDEX(G365:R365,1,MATCH(Parametres!$B$3,G$1:R$1,0)-1)*IF(OR(F365="L",F365="S",F365="I"),-1,1),"")</f>
        <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22"/>
        <v>H12100</v>
      </c>
      <c r="AU365" s="599" t="str">
        <f t="shared" si="22"/>
        <v>RECLAMATION DE TRANSPORT</v>
      </c>
      <c r="AV365" s="1030" t="str">
        <f>IFERROR(INDEX(V365:AG365,1,MATCH(Parametres!$B$3,V$1:AG$1,0)-1)*IF(OR(C365="L",C365="S",C365="I"),-1,1),"")</f>
        <v/>
      </c>
      <c r="AW365" s="1030">
        <f t="shared" si="23"/>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20"/>
        <v>H12200</v>
      </c>
      <c r="AK366" s="1030" t="str">
        <f t="shared" si="20"/>
        <v>CARTES DE CREDIT</v>
      </c>
      <c r="AL366" s="1030" t="str">
        <f>IFERROR(INDEX(G366:R366,1,MATCH(Parametres!$B$3,G$1:R$1,0)-1)*IF(OR(F366="L",F366="S",F366="I"),-1,1),"")</f>
        <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22"/>
        <v>H12200</v>
      </c>
      <c r="AU366" s="599" t="str">
        <f t="shared" si="22"/>
        <v>CARTES DE CREDIT</v>
      </c>
      <c r="AV366" s="1030" t="str">
        <f>IFERROR(INDEX(V366:AG366,1,MATCH(Parametres!$B$3,V$1:AG$1,0)-1)*IF(OR(C366="L",C366="S",C366="I"),-1,1),"")</f>
        <v/>
      </c>
      <c r="AW366" s="1030">
        <f t="shared" si="23"/>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20"/>
        <v>H12300</v>
      </c>
      <c r="AK367" s="1030" t="str">
        <f t="shared" si="20"/>
        <v>VOIR COMPTE 126</v>
      </c>
      <c r="AL367" s="1030" t="str">
        <f>IFERROR(INDEX(G367:R367,1,MATCH(Parametres!$B$3,G$1:R$1,0)-1)*IF(OR(F367="L",F367="S",F367="I"),-1,1),"")</f>
        <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22"/>
        <v>H12300</v>
      </c>
      <c r="AU367" s="599" t="str">
        <f t="shared" si="22"/>
        <v>VOIR COMPTE 126</v>
      </c>
      <c r="AV367" s="1030" t="str">
        <f>IFERROR(INDEX(V367:AG367,1,MATCH(Parametres!$B$3,V$1:AG$1,0)-1)*IF(OR(C367="L",C367="S",C367="I"),-1,1),"")</f>
        <v/>
      </c>
      <c r="AW367" s="1030">
        <f t="shared" si="23"/>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20"/>
        <v>H12500</v>
      </c>
      <c r="AK368" s="1030" t="str">
        <f t="shared" si="20"/>
        <v>PROV. CREANCES DOUTEUSES</v>
      </c>
      <c r="AL368" s="1030" t="str">
        <f>IFERROR(INDEX(G368:R368,1,MATCH(Parametres!$B$3,G$1:R$1,0)-1)*IF(OR(F368="L",F368="S",F368="I"),-1,1),"")</f>
        <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22"/>
        <v>H12500</v>
      </c>
      <c r="AU368" s="599" t="str">
        <f t="shared" si="22"/>
        <v>PROV. CREANCES DOUTEUSES</v>
      </c>
      <c r="AV368" s="1030" t="str">
        <f>IFERROR(INDEX(V368:AG368,1,MATCH(Parametres!$B$3,V$1:AG$1,0)-1)*IF(OR(C368="L",C368="S",C368="I"),-1,1),"")</f>
        <v/>
      </c>
      <c r="AW368" s="1030">
        <f t="shared" si="23"/>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20"/>
        <v>H12600</v>
      </c>
      <c r="AK369" s="1030" t="str">
        <f t="shared" si="20"/>
        <v>RISTOURNE DE FINANCES</v>
      </c>
      <c r="AL369" s="1030" t="str">
        <f>IFERROR(INDEX(G369:R369,1,MATCH(Parametres!$B$3,G$1:R$1,0)-1)*IF(OR(F369="L",F369="S",F369="I"),-1,1),"")</f>
        <v/>
      </c>
      <c r="AM369" s="1030">
        <f t="shared" si="21"/>
        <v>597.84</v>
      </c>
      <c r="AN369" s="1030">
        <f>INDEX(G369:R369,1,MATCH(Parametres!$B$3,G$1:R$1,0))*IF(OR(F369="L",F369="S",F369="I"),-1,1)</f>
        <v>597.84</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22"/>
        <v>H12600</v>
      </c>
      <c r="AU369" s="599" t="str">
        <f t="shared" si="22"/>
        <v>RISTOURNE DE FINANCES</v>
      </c>
      <c r="AV369" s="1030" t="str">
        <f>IFERROR(INDEX(V369:AG369,1,MATCH(Parametres!$B$3,V$1:AG$1,0)-1)*IF(OR(C369="L",C369="S",C369="I"),-1,1),"")</f>
        <v/>
      </c>
      <c r="AW369" s="1030">
        <f t="shared" si="23"/>
        <v>0</v>
      </c>
      <c r="AX369" s="1030">
        <f>INDEX(V369:AG369,1,MATCH(Parametres!$B$3,V$1:AG$1,0))*IF(OR(C369="L",C369="S",C369="I"),-1,1)</f>
        <v>0</v>
      </c>
      <c r="AY369" s="598" t="s">
        <v>337</v>
      </c>
      <c r="AZ369" s="598" t="e">
        <f>+VLOOKUP($AJ369,Data_Validation!$A:$E,5,0)</f>
        <v>#N/A</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20"/>
        <v>H13000</v>
      </c>
      <c r="AK370" s="1030" t="str">
        <f t="shared" si="20"/>
        <v>VEHICULES NEUFS - HYUNDAI</v>
      </c>
      <c r="AL370" s="1030" t="str">
        <f>IFERROR(INDEX(G370:R370,1,MATCH(Parametres!$B$3,G$1:R$1,0)-1)*IF(OR(F370="L",F370="S",F370="I"),-1,1),"")</f>
        <v/>
      </c>
      <c r="AM370" s="1030">
        <f t="shared" si="21"/>
        <v>759720.89</v>
      </c>
      <c r="AN370" s="1030">
        <f>INDEX(G370:R370,1,MATCH(Parametres!$B$3,G$1:R$1,0))*IF(OR(F370="L",F370="S",F370="I"),-1,1)</f>
        <v>759720.89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22"/>
        <v>H13000</v>
      </c>
      <c r="AU370" s="599" t="str">
        <f t="shared" si="22"/>
        <v>VEHICULES NEUFS - HYUNDAI</v>
      </c>
      <c r="AV370" s="1030" t="str">
        <f>IFERROR(INDEX(V370:AG370,1,MATCH(Parametres!$B$3,V$1:AG$1,0)-1)*IF(OR(C370="L",C370="S",C370="I"),-1,1),"")</f>
        <v/>
      </c>
      <c r="AW370" s="1030">
        <f t="shared" si="23"/>
        <v>0</v>
      </c>
      <c r="AX370" s="1030">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20"/>
        <v>H13001</v>
      </c>
      <c r="AK371" s="1030" t="str">
        <f t="shared" si="20"/>
        <v>NEUF CAMIONS HYUNDAI</v>
      </c>
      <c r="AL371" s="1030" t="str">
        <f>IFERROR(INDEX(G371:R371,1,MATCH(Parametres!$B$3,G$1:R$1,0)-1)*IF(OR(F371="L",F371="S",F371="I"),-1,1),"")</f>
        <v/>
      </c>
      <c r="AM371" s="1030">
        <f t="shared" si="21"/>
        <v>914190.78</v>
      </c>
      <c r="AN371" s="1030">
        <f>INDEX(G371:R371,1,MATCH(Parametres!$B$3,G$1:R$1,0))*IF(OR(F371="L",F371="S",F371="I"),-1,1)</f>
        <v>914190.78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22"/>
        <v>H13001</v>
      </c>
      <c r="AU371" s="599" t="str">
        <f t="shared" si="22"/>
        <v>NEUF CAMIONS HYUNDAI</v>
      </c>
      <c r="AV371" s="1030" t="str">
        <f>IFERROR(INDEX(V371:AG371,1,MATCH(Parametres!$B$3,V$1:AG$1,0)-1)*IF(OR(C371="L",C371="S",C371="I"),-1,1),"")</f>
        <v/>
      </c>
      <c r="AW371" s="1030">
        <f t="shared" si="23"/>
        <v>0</v>
      </c>
      <c r="AX371" s="1030">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20"/>
        <v>H13003</v>
      </c>
      <c r="AK372" s="1030" t="str">
        <f t="shared" si="20"/>
        <v>VEH. VERT HYUNDAI</v>
      </c>
      <c r="AL372" s="1030" t="str">
        <f>IFERROR(INDEX(G372:R372,1,MATCH(Parametres!$B$3,G$1:R$1,0)-1)*IF(OR(F372="L",F372="S",F372="I"),-1,1),"")</f>
        <v/>
      </c>
      <c r="AM372" s="1030">
        <f t="shared" si="21"/>
        <v>5195537.6500000004</v>
      </c>
      <c r="AN372" s="1030">
        <f>INDEX(G372:R372,1,MATCH(Parametres!$B$3,G$1:R$1,0))*IF(OR(F372="L",F372="S",F372="I"),-1,1)</f>
        <v>5195537.6500000004</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22"/>
        <v>H13003</v>
      </c>
      <c r="AU372" s="599" t="str">
        <f t="shared" si="22"/>
        <v>VEH. VERT HYUNDAI</v>
      </c>
      <c r="AV372" s="1030" t="str">
        <f>IFERROR(INDEX(V372:AG372,1,MATCH(Parametres!$B$3,V$1:AG$1,0)-1)*IF(OR(C372="L",C372="S",C372="I"),-1,1),"")</f>
        <v/>
      </c>
      <c r="AW372" s="1030">
        <f t="shared" si="23"/>
        <v>0</v>
      </c>
      <c r="AX372" s="1030">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20"/>
        <v>H13100</v>
      </c>
      <c r="AK373" s="1030" t="str">
        <f t="shared" si="20"/>
        <v>VEHICULES NEUFS AUTRES</v>
      </c>
      <c r="AL373" s="1030" t="str">
        <f>IFERROR(INDEX(G373:R373,1,MATCH(Parametres!$B$3,G$1:R$1,0)-1)*IF(OR(F373="L",F373="S",F373="I"),-1,1),"")</f>
        <v/>
      </c>
      <c r="AM373" s="1030">
        <f t="shared" si="21"/>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22"/>
        <v>H13100</v>
      </c>
      <c r="AU373" s="599" t="str">
        <f t="shared" si="22"/>
        <v>VEHICULES NEUFS AUTRES</v>
      </c>
      <c r="AV373" s="1030" t="str">
        <f>IFERROR(INDEX(V373:AG373,1,MATCH(Parametres!$B$3,V$1:AG$1,0)-1)*IF(OR(C373="L",C373="S",C373="I"),-1,1),"")</f>
        <v/>
      </c>
      <c r="AW373" s="1030">
        <f t="shared" si="23"/>
        <v>0</v>
      </c>
      <c r="AX373" s="1030">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20"/>
        <v>H13600</v>
      </c>
      <c r="AK374" s="1030" t="str">
        <f t="shared" si="20"/>
        <v>DEMONSTRATEUR - HYUNDAI</v>
      </c>
      <c r="AL374" s="1030" t="str">
        <f>IFERROR(INDEX(G374:R374,1,MATCH(Parametres!$B$3,G$1:R$1,0)-1)*IF(OR(F374="L",F374="S",F374="I"),-1,1),"")</f>
        <v/>
      </c>
      <c r="AM374" s="1030">
        <f t="shared" si="21"/>
        <v>287439.53999999998</v>
      </c>
      <c r="AN374" s="1030">
        <f>INDEX(G374:R374,1,MATCH(Parametres!$B$3,G$1:R$1,0))*IF(OR(F374="L",F374="S",F374="I"),-1,1)</f>
        <v>287439.53999999998</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22"/>
        <v>H13600</v>
      </c>
      <c r="AU374" s="599" t="str">
        <f t="shared" si="22"/>
        <v>DEMONSTRATEUR - HYUNDAI</v>
      </c>
      <c r="AV374" s="1030" t="str">
        <f>IFERROR(INDEX(V374:AG374,1,MATCH(Parametres!$B$3,V$1:AG$1,0)-1)*IF(OR(C374="L",C374="S",C374="I"),-1,1),"")</f>
        <v/>
      </c>
      <c r="AW374" s="1030">
        <f t="shared" si="23"/>
        <v>0</v>
      </c>
      <c r="AX374" s="1030">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20"/>
        <v>H13700</v>
      </c>
      <c r="AK375" s="1030" t="str">
        <f t="shared" si="20"/>
        <v>VEHICULES LOUE A L/T</v>
      </c>
      <c r="AL375" s="1030" t="str">
        <f>IFERROR(INDEX(G375:R375,1,MATCH(Parametres!$B$3,G$1:R$1,0)-1)*IF(OR(F375="L",F375="S",F375="I"),-1,1),"")</f>
        <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22"/>
        <v>H13700</v>
      </c>
      <c r="AU375" s="599" t="str">
        <f t="shared" si="22"/>
        <v>VEHICULES LOUE A L/T</v>
      </c>
      <c r="AV375" s="1030" t="str">
        <f>IFERROR(INDEX(V375:AG375,1,MATCH(Parametres!$B$3,V$1:AG$1,0)-1)*IF(OR(C375="L",C375="S",C375="I"),-1,1),"")</f>
        <v/>
      </c>
      <c r="AW375" s="1030">
        <f t="shared" si="23"/>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20"/>
        <v>H13800</v>
      </c>
      <c r="AK376" s="1030" t="str">
        <f t="shared" si="20"/>
        <v>VEHICULES D OCCASSION</v>
      </c>
      <c r="AL376" s="1030" t="str">
        <f>IFERROR(INDEX(G376:R376,1,MATCH(Parametres!$B$3,G$1:R$1,0)-1)*IF(OR(F376="L",F376="S",F376="I"),-1,1),"")</f>
        <v/>
      </c>
      <c r="AM376" s="1030">
        <f t="shared" si="21"/>
        <v>420958.11</v>
      </c>
      <c r="AN376" s="1030">
        <f>INDEX(G376:R376,1,MATCH(Parametres!$B$3,G$1:R$1,0))*IF(OR(F376="L",F376="S",F376="I"),-1,1)</f>
        <v>420958.11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22"/>
        <v>H13800</v>
      </c>
      <c r="AU376" s="599" t="str">
        <f t="shared" si="22"/>
        <v>VEHICULES D OCCASSION</v>
      </c>
      <c r="AV376" s="1030" t="str">
        <f>IFERROR(INDEX(V376:AG376,1,MATCH(Parametres!$B$3,V$1:AG$1,0)-1)*IF(OR(C376="L",C376="S",C376="I"),-1,1),"")</f>
        <v/>
      </c>
      <c r="AW376" s="1030">
        <f t="shared" si="23"/>
        <v>0</v>
      </c>
      <c r="AX376" s="1030">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20"/>
        <v>H13801</v>
      </c>
      <c r="AK377" s="1030" t="str">
        <f t="shared" si="20"/>
        <v>VEHICULES OCC AUTRES</v>
      </c>
      <c r="AL377" s="1030" t="str">
        <f>IFERROR(INDEX(G377:R377,1,MATCH(Parametres!$B$3,G$1:R$1,0)-1)*IF(OR(F377="L",F377="S",F377="I"),-1,1),"")</f>
        <v/>
      </c>
      <c r="AM377" s="1030">
        <f t="shared" si="21"/>
        <v>84691</v>
      </c>
      <c r="AN377" s="1030">
        <f>INDEX(G377:R377,1,MATCH(Parametres!$B$3,G$1:R$1,0))*IF(OR(F377="L",F377="S",F377="I"),-1,1)</f>
        <v>84691</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22"/>
        <v>H13801</v>
      </c>
      <c r="AU377" s="599" t="str">
        <f t="shared" si="22"/>
        <v>VEHICULES OCC AUTRES</v>
      </c>
      <c r="AV377" s="1030" t="str">
        <f>IFERROR(INDEX(V377:AG377,1,MATCH(Parametres!$B$3,V$1:AG$1,0)-1)*IF(OR(C377="L",C377="S",C377="I"),-1,1),"")</f>
        <v/>
      </c>
      <c r="AW377" s="1030">
        <f t="shared" si="23"/>
        <v>0</v>
      </c>
      <c r="AX377" s="1030">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20"/>
        <v>H13802</v>
      </c>
      <c r="AK378" s="1030" t="str">
        <f t="shared" si="20"/>
        <v>VEHICULES OCC CERTIF HYUN</v>
      </c>
      <c r="AL378" s="1030" t="str">
        <f>IFERROR(INDEX(G378:R378,1,MATCH(Parametres!$B$3,G$1:R$1,0)-1)*IF(OR(F378="L",F378="S",F378="I"),-1,1),"")</f>
        <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22"/>
        <v>H13802</v>
      </c>
      <c r="AU378" s="599" t="str">
        <f t="shared" si="22"/>
        <v>VEHICULES OCC CERTIF HYUN</v>
      </c>
      <c r="AV378" s="1030" t="str">
        <f>IFERROR(INDEX(V378:AG378,1,MATCH(Parametres!$B$3,V$1:AG$1,0)-1)*IF(OR(C378="L",C378="S",C378="I"),-1,1),"")</f>
        <v/>
      </c>
      <c r="AW378" s="1030">
        <f t="shared" si="23"/>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20"/>
        <v>H13900</v>
      </c>
      <c r="AK379" s="1030" t="str">
        <f t="shared" si="20"/>
        <v>VEHICULE LOCATION A C.T</v>
      </c>
      <c r="AL379" s="1030" t="str">
        <f>IFERROR(INDEX(G379:R379,1,MATCH(Parametres!$B$3,G$1:R$1,0)-1)*IF(OR(F379="L",F379="S",F379="I"),-1,1),"")</f>
        <v/>
      </c>
      <c r="AM379" s="1030">
        <f t="shared" si="21"/>
        <v>660162.22</v>
      </c>
      <c r="AN379" s="1030">
        <f>INDEX(G379:R379,1,MATCH(Parametres!$B$3,G$1:R$1,0))*IF(OR(F379="L",F379="S",F379="I"),-1,1)</f>
        <v>660162.22</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22"/>
        <v>H13900</v>
      </c>
      <c r="AU379" s="599" t="str">
        <f t="shared" si="22"/>
        <v>VEHICULE LOCATION A C.T</v>
      </c>
      <c r="AV379" s="1030" t="str">
        <f>IFERROR(INDEX(V379:AG379,1,MATCH(Parametres!$B$3,V$1:AG$1,0)-1)*IF(OR(C379="L",C379="S",C379="I"),-1,1),"")</f>
        <v/>
      </c>
      <c r="AW379" s="1030">
        <f t="shared" si="23"/>
        <v>0</v>
      </c>
      <c r="AX379" s="1030">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20"/>
        <v>H14100</v>
      </c>
      <c r="AK380" s="1030" t="str">
        <f t="shared" si="20"/>
        <v>ESSENCE INV. EN GROS</v>
      </c>
      <c r="AL380" s="1030" t="str">
        <f>IFERROR(INDEX(G380:R380,1,MATCH(Parametres!$B$3,G$1:R$1,0)-1)*IF(OR(F380="L",F380="S",F380="I"),-1,1),"")</f>
        <v/>
      </c>
      <c r="AM380" s="1030">
        <f t="shared" si="21"/>
        <v>6009.31</v>
      </c>
      <c r="AN380" s="1030">
        <f>INDEX(G380:R380,1,MATCH(Parametres!$B$3,G$1:R$1,0))*IF(OR(F380="L",F380="S",F380="I"),-1,1)</f>
        <v>6009.31</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22"/>
        <v>H14100</v>
      </c>
      <c r="AU380" s="599" t="str">
        <f t="shared" si="22"/>
        <v>ESSENCE INV. EN GROS</v>
      </c>
      <c r="AV380" s="1030" t="str">
        <f>IFERROR(INDEX(V380:AG380,1,MATCH(Parametres!$B$3,V$1:AG$1,0)-1)*IF(OR(C380="L",C380="S",C380="I"),-1,1),"")</f>
        <v/>
      </c>
      <c r="AW380" s="1030">
        <f t="shared" si="23"/>
        <v>0</v>
      </c>
      <c r="AX380" s="1030">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20"/>
        <v>H14400</v>
      </c>
      <c r="AK381" s="1030" t="str">
        <f t="shared" si="20"/>
        <v>PIECES &amp; ACCESS.-HYUNDAI</v>
      </c>
      <c r="AL381" s="1030" t="str">
        <f>IFERROR(INDEX(G381:R381,1,MATCH(Parametres!$B$3,G$1:R$1,0)-1)*IF(OR(F381="L",F381="S",F381="I"),-1,1),"")</f>
        <v/>
      </c>
      <c r="AM381" s="1030">
        <f t="shared" si="21"/>
        <v>177423.2</v>
      </c>
      <c r="AN381" s="1030">
        <f>INDEX(G381:R381,1,MATCH(Parametres!$B$3,G$1:R$1,0))*IF(OR(F381="L",F381="S",F381="I"),-1,1)</f>
        <v>177423.2</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22"/>
        <v>H14400</v>
      </c>
      <c r="AU381" s="599" t="str">
        <f t="shared" si="22"/>
        <v>PIECES &amp; ACCESS.-HYUNDAI</v>
      </c>
      <c r="AV381" s="1030" t="str">
        <f>IFERROR(INDEX(V381:AG381,1,MATCH(Parametres!$B$3,V$1:AG$1,0)-1)*IF(OR(C381="L",C381="S",C381="I"),-1,1),"")</f>
        <v/>
      </c>
      <c r="AW381" s="1030">
        <f t="shared" si="23"/>
        <v>0</v>
      </c>
      <c r="AX381" s="1030">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20"/>
        <v>H14401</v>
      </c>
      <c r="AK382" s="1030" t="str">
        <f t="shared" si="20"/>
        <v>ACCESSOIRES HYUNDAI</v>
      </c>
      <c r="AL382" s="1030" t="str">
        <f>IFERROR(INDEX(G382:R382,1,MATCH(Parametres!$B$3,G$1:R$1,0)-1)*IF(OR(F382="L",F382="S",F382="I"),-1,1),"")</f>
        <v/>
      </c>
      <c r="AM382" s="1030">
        <f t="shared" si="21"/>
        <v>2758.7</v>
      </c>
      <c r="AN382" s="1030">
        <f>INDEX(G382:R382,1,MATCH(Parametres!$B$3,G$1:R$1,0))*IF(OR(F382="L",F382="S",F382="I"),-1,1)</f>
        <v>2758.7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22"/>
        <v>H14401</v>
      </c>
      <c r="AU382" s="599" t="str">
        <f t="shared" si="22"/>
        <v>ACCESSOIRES HYUNDAI</v>
      </c>
      <c r="AV382" s="1030" t="str">
        <f>IFERROR(INDEX(V382:AG382,1,MATCH(Parametres!$B$3,V$1:AG$1,0)-1)*IF(OR(C382="L",C382="S",C382="I"),-1,1),"")</f>
        <v/>
      </c>
      <c r="AW382" s="1030">
        <f t="shared" si="23"/>
        <v>0</v>
      </c>
      <c r="AX382" s="1030">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20"/>
        <v>H14500</v>
      </c>
      <c r="AK383" s="1030" t="str">
        <f t="shared" si="20"/>
        <v>PIECES &amp; ACCESS.-F&amp;I</v>
      </c>
      <c r="AL383" s="1030" t="str">
        <f>IFERROR(INDEX(G383:R383,1,MATCH(Parametres!$B$3,G$1:R$1,0)-1)*IF(OR(F383="L",F383="S",F383="I"),-1,1),"")</f>
        <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22"/>
        <v>H14500</v>
      </c>
      <c r="AU383" s="599" t="str">
        <f t="shared" si="22"/>
        <v>PIECES &amp; ACCESS.-F&amp;I</v>
      </c>
      <c r="AV383" s="1030" t="str">
        <f>IFERROR(INDEX(V383:AG383,1,MATCH(Parametres!$B$3,V$1:AG$1,0)-1)*IF(OR(C383="L",C383="S",C383="I"),-1,1),"")</f>
        <v/>
      </c>
      <c r="AW383" s="1030">
        <f t="shared" si="23"/>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20"/>
        <v>H14501</v>
      </c>
      <c r="AK384" s="1030" t="str">
        <f t="shared" si="20"/>
        <v>ACCESSOIRES AUTRES</v>
      </c>
      <c r="AL384" s="1030" t="str">
        <f>IFERROR(INDEX(G384:R384,1,MATCH(Parametres!$B$3,G$1:R$1,0)-1)*IF(OR(F384="L",F384="S",F384="I"),-1,1),"")</f>
        <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22"/>
        <v>H14501</v>
      </c>
      <c r="AU384" s="599" t="str">
        <f t="shared" si="22"/>
        <v>ACCESSOIRES AUTRES</v>
      </c>
      <c r="AV384" s="1030" t="str">
        <f>IFERROR(INDEX(V384:AG384,1,MATCH(Parametres!$B$3,V$1:AG$1,0)-1)*IF(OR(C384="L",C384="S",C384="I"),-1,1),"")</f>
        <v/>
      </c>
      <c r="AW384" s="1030">
        <f t="shared" si="23"/>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20"/>
        <v>H14800</v>
      </c>
      <c r="AK385" s="1030" t="str">
        <f t="shared" si="20"/>
        <v>PNEUS</v>
      </c>
      <c r="AL385" s="1030" t="str">
        <f>IFERROR(INDEX(G385:R385,1,MATCH(Parametres!$B$3,G$1:R$1,0)-1)*IF(OR(F385="L",F385="S",F385="I"),-1,1),"")</f>
        <v/>
      </c>
      <c r="AM385" s="1030">
        <f t="shared" si="21"/>
        <v>24795.71</v>
      </c>
      <c r="AN385" s="1030">
        <f>INDEX(G385:R385,1,MATCH(Parametres!$B$3,G$1:R$1,0))*IF(OR(F385="L",F385="S",F385="I"),-1,1)</f>
        <v>24795.71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22"/>
        <v>H14800</v>
      </c>
      <c r="AU385" s="599" t="str">
        <f t="shared" si="22"/>
        <v>PNEUS</v>
      </c>
      <c r="AV385" s="1030" t="str">
        <f>IFERROR(INDEX(V385:AG385,1,MATCH(Parametres!$B$3,V$1:AG$1,0)-1)*IF(OR(C385="L",C385="S",C385="I"),-1,1),"")</f>
        <v/>
      </c>
      <c r="AW385" s="1030">
        <f t="shared" si="23"/>
        <v>0</v>
      </c>
      <c r="AX385" s="1030">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20"/>
        <v>H14900</v>
      </c>
      <c r="AK386" s="1030" t="str">
        <f t="shared" si="20"/>
        <v>REPARATION SOUSTRAITTANCE</v>
      </c>
      <c r="AL386" s="1030" t="str">
        <f>IFERROR(INDEX(G386:R386,1,MATCH(Parametres!$B$3,G$1:R$1,0)-1)*IF(OR(F386="L",F386="S",F386="I"),-1,1),"")</f>
        <v/>
      </c>
      <c r="AM386" s="1030">
        <f t="shared" si="21"/>
        <v>-9196.5499999999993</v>
      </c>
      <c r="AN386" s="1030">
        <f>INDEX(G386:R386,1,MATCH(Parametres!$B$3,G$1:R$1,0))*IF(OR(F386="L",F386="S",F386="I"),-1,1)</f>
        <v>-9196.5499999999993</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22"/>
        <v>H14900</v>
      </c>
      <c r="AU386" s="599" t="str">
        <f t="shared" si="22"/>
        <v>REPARATION SOUSTRAITTANCE</v>
      </c>
      <c r="AV386" s="1030" t="str">
        <f>IFERROR(INDEX(V386:AG386,1,MATCH(Parametres!$B$3,V$1:AG$1,0)-1)*IF(OR(C386="L",C386="S",C386="I"),-1,1),"")</f>
        <v/>
      </c>
      <c r="AW386" s="1030">
        <f t="shared" si="23"/>
        <v>0</v>
      </c>
      <c r="AX386" s="1030">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20"/>
        <v>H15000</v>
      </c>
      <c r="AK387" s="1030" t="str">
        <f t="shared" si="20"/>
        <v>MAIN-D'OEUVRE - MECANO</v>
      </c>
      <c r="AL387" s="1030" t="str">
        <f>IFERROR(INDEX(G387:R387,1,MATCH(Parametres!$B$3,G$1:R$1,0)-1)*IF(OR(F387="L",F387="S",F387="I"),-1,1),"")</f>
        <v/>
      </c>
      <c r="AM387" s="1030">
        <f t="shared" si="21"/>
        <v>20536.580000000002</v>
      </c>
      <c r="AN387" s="1030">
        <f>INDEX(G387:R387,1,MATCH(Parametres!$B$3,G$1:R$1,0))*IF(OR(F387="L",F387="S",F387="I"),-1,1)</f>
        <v>20536.580000000002</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22"/>
        <v>H15000</v>
      </c>
      <c r="AU387" s="599" t="str">
        <f t="shared" si="22"/>
        <v>MAIN-D'OEUVRE - MECANO</v>
      </c>
      <c r="AV387" s="1030" t="str">
        <f>IFERROR(INDEX(V387:AG387,1,MATCH(Parametres!$B$3,V$1:AG$1,0)-1)*IF(OR(C387="L",C387="S",C387="I"),-1,1),"")</f>
        <v/>
      </c>
      <c r="AW387" s="1030">
        <f t="shared" si="23"/>
        <v>0</v>
      </c>
      <c r="AX387" s="1030">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K451" si="24">C388</f>
        <v>H15100</v>
      </c>
      <c r="AK388" s="1030" t="str">
        <f t="shared" si="24"/>
        <v>ESSENCE-HUILE-GRAISSE</v>
      </c>
      <c r="AL388" s="1030" t="str">
        <f>IFERROR(INDEX(G388:R388,1,MATCH(Parametres!$B$3,G$1:R$1,0)-1)*IF(OR(F388="L",F388="S",F388="I"),-1,1),"")</f>
        <v/>
      </c>
      <c r="AM388" s="1030">
        <f t="shared" ref="AM388:AM451" si="25">AN388-N(AL388)</f>
        <v>-908.23</v>
      </c>
      <c r="AN388" s="1030">
        <f>INDEX(G388:R388,1,MATCH(Parametres!$B$3,G$1:R$1,0))*IF(OR(F388="L",F388="S",F388="I"),-1,1)</f>
        <v>-908.23</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U451" si="26">C388</f>
        <v>H15100</v>
      </c>
      <c r="AU388" s="599" t="str">
        <f t="shared" si="26"/>
        <v>ESSENCE-HUILE-GRAISSE</v>
      </c>
      <c r="AV388" s="1030" t="str">
        <f>IFERROR(INDEX(V388:AG388,1,MATCH(Parametres!$B$3,V$1:AG$1,0)-1)*IF(OR(C388="L",C388="S",C388="I"),-1,1),"")</f>
        <v/>
      </c>
      <c r="AW388" s="1030">
        <f t="shared" ref="AW388:AW451" si="27">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24"/>
        <v>H15200</v>
      </c>
      <c r="AK389" s="1030" t="str">
        <f t="shared" si="24"/>
        <v>FOURN. ATELIER &amp; PEINTURE</v>
      </c>
      <c r="AL389" s="1030" t="str">
        <f>IFERROR(INDEX(G389:R389,1,MATCH(Parametres!$B$3,G$1:R$1,0)-1)*IF(OR(F389="L",F389="S",F389="I"),-1,1),"")</f>
        <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26"/>
        <v>H15200</v>
      </c>
      <c r="AU389" s="599" t="str">
        <f t="shared" si="26"/>
        <v>FOURN. ATELIER &amp; PEINTURE</v>
      </c>
      <c r="AV389" s="1030" t="str">
        <f>IFERROR(INDEX(V389:AG389,1,MATCH(Parametres!$B$3,V$1:AG$1,0)-1)*IF(OR(C389="L",C389="S",C389="I"),-1,1),"")</f>
        <v/>
      </c>
      <c r="AW389" s="1030">
        <f t="shared" si="27"/>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24"/>
        <v>H15400</v>
      </c>
      <c r="AK390" s="1030" t="str">
        <f t="shared" si="24"/>
        <v>LOYER PAYE D'AVANCE</v>
      </c>
      <c r="AL390" s="1030" t="str">
        <f>IFERROR(INDEX(G390:R390,1,MATCH(Parametres!$B$3,G$1:R$1,0)-1)*IF(OR(F390="L",F390="S",F390="I"),-1,1),"")</f>
        <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26"/>
        <v>H15400</v>
      </c>
      <c r="AU390" s="599" t="str">
        <f t="shared" si="26"/>
        <v>LOYER PAYE D'AVANCE</v>
      </c>
      <c r="AV390" s="1030" t="str">
        <f>IFERROR(INDEX(V390:AG390,1,MATCH(Parametres!$B$3,V$1:AG$1,0)-1)*IF(OR(C390="L",C390="S",C390="I"),-1,1),"")</f>
        <v/>
      </c>
      <c r="AW390" s="1030">
        <f t="shared" si="27"/>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24"/>
        <v>H15500</v>
      </c>
      <c r="AK391" s="1030" t="str">
        <f t="shared" si="24"/>
        <v>IMPOT PAYE D'AVANCE</v>
      </c>
      <c r="AL391" s="1030" t="str">
        <f>IFERROR(INDEX(G391:R391,1,MATCH(Parametres!$B$3,G$1:R$1,0)-1)*IF(OR(F391="L",F391="S",F391="I"),-1,1),"")</f>
        <v/>
      </c>
      <c r="AM391" s="1030">
        <f t="shared" si="25"/>
        <v>-95272.77</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26"/>
        <v>H15500</v>
      </c>
      <c r="AU391" s="599" t="str">
        <f t="shared" si="26"/>
        <v>IMPOT PAYE D'AVANCE</v>
      </c>
      <c r="AV391" s="1030" t="str">
        <f>IFERROR(INDEX(V391:AG391,1,MATCH(Parametres!$B$3,V$1:AG$1,0)-1)*IF(OR(C391="L",C391="S",C391="I"),-1,1),"")</f>
        <v/>
      </c>
      <c r="AW391" s="1030">
        <f t="shared" si="27"/>
        <v>0</v>
      </c>
      <c r="AX391" s="1030">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24"/>
        <v>H15510</v>
      </c>
      <c r="AK392" s="1030" t="str">
        <f t="shared" si="24"/>
        <v>TAXES PAYÉ D'AVANCE</v>
      </c>
      <c r="AL392" s="1030" t="str">
        <f>IFERROR(INDEX(G392:R392,1,MATCH(Parametres!$B$3,G$1:R$1,0)-1)*IF(OR(F392="L",F392="S",F392="I"),-1,1),"")</f>
        <v/>
      </c>
      <c r="AM392" s="1030">
        <f t="shared" si="25"/>
        <v>575251.26</v>
      </c>
      <c r="AN392" s="1030">
        <f>INDEX(G392:R392,1,MATCH(Parametres!$B$3,G$1:R$1,0))*IF(OR(F392="L",F392="S",F392="I"),-1,1)</f>
        <v>575251.26</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26"/>
        <v>H15510</v>
      </c>
      <c r="AU392" s="599" t="str">
        <f t="shared" si="26"/>
        <v>TAXES PAYÉ D'AVANCE</v>
      </c>
      <c r="AV392" s="1030" t="str">
        <f>IFERROR(INDEX(V392:AG392,1,MATCH(Parametres!$B$3,V$1:AG$1,0)-1)*IF(OR(C392="L",C392="S",C392="I"),-1,1),"")</f>
        <v/>
      </c>
      <c r="AW392" s="1030">
        <f t="shared" si="27"/>
        <v>0</v>
      </c>
      <c r="AX392" s="1030">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24"/>
        <v>H15600</v>
      </c>
      <c r="AK393" s="1030" t="str">
        <f t="shared" si="24"/>
        <v>ASSURANCE PAYÉ D'AVANCE</v>
      </c>
      <c r="AL393" s="1030" t="str">
        <f>IFERROR(INDEX(G393:R393,1,MATCH(Parametres!$B$3,G$1:R$1,0)-1)*IF(OR(F393="L",F393="S",F393="I"),-1,1),"")</f>
        <v/>
      </c>
      <c r="AM393" s="1030">
        <f t="shared" si="25"/>
        <v>25689.43</v>
      </c>
      <c r="AN393" s="1030">
        <f>INDEX(G393:R393,1,MATCH(Parametres!$B$3,G$1:R$1,0))*IF(OR(F393="L",F393="S",F393="I"),-1,1)</f>
        <v>25689.43</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26"/>
        <v>H15600</v>
      </c>
      <c r="AU393" s="599" t="str">
        <f t="shared" si="26"/>
        <v>ASSURANCE PAYÉ D'AVANCE</v>
      </c>
      <c r="AV393" s="1030" t="str">
        <f>IFERROR(INDEX(V393:AG393,1,MATCH(Parametres!$B$3,V$1:AG$1,0)-1)*IF(OR(C393="L",C393="S",C393="I"),-1,1),"")</f>
        <v/>
      </c>
      <c r="AW393" s="1030">
        <f t="shared" si="27"/>
        <v>0</v>
      </c>
      <c r="AX393" s="1030">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24"/>
        <v>H15610</v>
      </c>
      <c r="AK394" s="1030" t="str">
        <f t="shared" si="24"/>
        <v>ASSURANCE</v>
      </c>
      <c r="AL394" s="1030" t="str">
        <f>IFERROR(INDEX(G394:R394,1,MATCH(Parametres!$B$3,G$1:R$1,0)-1)*IF(OR(F394="L",F394="S",F394="I"),-1,1),"")</f>
        <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26"/>
        <v>H15610</v>
      </c>
      <c r="AU394" s="599" t="str">
        <f t="shared" si="26"/>
        <v>ASSURANCE</v>
      </c>
      <c r="AV394" s="1030" t="str">
        <f>IFERROR(INDEX(V394:AG394,1,MATCH(Parametres!$B$3,V$1:AG$1,0)-1)*IF(OR(C394="L",C394="S",C394="I"),-1,1),"")</f>
        <v/>
      </c>
      <c r="AW394" s="1030">
        <f t="shared" si="27"/>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24"/>
        <v>H15700</v>
      </c>
      <c r="AK395" s="1030" t="str">
        <f t="shared" si="24"/>
        <v>C.S.S.T.</v>
      </c>
      <c r="AL395" s="1030" t="str">
        <f>IFERROR(INDEX(G395:R395,1,MATCH(Parametres!$B$3,G$1:R$1,0)-1)*IF(OR(F395="L",F395="S",F395="I"),-1,1),"")</f>
        <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26"/>
        <v>H15700</v>
      </c>
      <c r="AU395" s="599" t="str">
        <f t="shared" si="26"/>
        <v>C.S.S.T.</v>
      </c>
      <c r="AV395" s="1030" t="str">
        <f>IFERROR(INDEX(V395:AG395,1,MATCH(Parametres!$B$3,V$1:AG$1,0)-1)*IF(OR(C395="L",C395="S",C395="I"),-1,1),"")</f>
        <v/>
      </c>
      <c r="AW395" s="1030">
        <f t="shared" si="27"/>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24"/>
        <v>H15800</v>
      </c>
      <c r="AK396" s="1030" t="str">
        <f t="shared" si="24"/>
        <v>DIVERS PAYÉ D'AVANCE</v>
      </c>
      <c r="AL396" s="1030" t="str">
        <f>IFERROR(INDEX(G396:R396,1,MATCH(Parametres!$B$3,G$1:R$1,0)-1)*IF(OR(F396="L",F396="S",F396="I"),-1,1),"")</f>
        <v/>
      </c>
      <c r="AM396" s="1030">
        <f t="shared" si="25"/>
        <v>1275.31</v>
      </c>
      <c r="AN396" s="1030">
        <f>INDEX(G396:R396,1,MATCH(Parametres!$B$3,G$1:R$1,0))*IF(OR(F396="L",F396="S",F396="I"),-1,1)</f>
        <v>1275.31</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26"/>
        <v>H15800</v>
      </c>
      <c r="AU396" s="599" t="str">
        <f t="shared" si="26"/>
        <v>DIVERS PAYÉ D'AVANCE</v>
      </c>
      <c r="AV396" s="1030" t="str">
        <f>IFERROR(INDEX(V396:AG396,1,MATCH(Parametres!$B$3,V$1:AG$1,0)-1)*IF(OR(C396="L",C396="S",C396="I"),-1,1),"")</f>
        <v/>
      </c>
      <c r="AW396" s="1030">
        <f t="shared" si="27"/>
        <v>0</v>
      </c>
      <c r="AX396" s="1030">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24"/>
        <v>H15801</v>
      </c>
      <c r="AK397" s="1030" t="str">
        <f t="shared" si="24"/>
        <v>PLAQUES PAYÉ D'AVANCE</v>
      </c>
      <c r="AL397" s="1030" t="str">
        <f>IFERROR(INDEX(G397:R397,1,MATCH(Parametres!$B$3,G$1:R$1,0)-1)*IF(OR(F397="L",F397="S",F397="I"),-1,1),"")</f>
        <v/>
      </c>
      <c r="AM397" s="1030">
        <f t="shared" si="25"/>
        <v>0</v>
      </c>
      <c r="AN397" s="1030">
        <f>INDEX(G397:R397,1,MATCH(Parametres!$B$3,G$1:R$1,0))*IF(OR(F397="L",F397="S",F397="I"),-1,1)</f>
        <v>0</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26"/>
        <v>H15801</v>
      </c>
      <c r="AU397" s="599" t="str">
        <f t="shared" si="26"/>
        <v>PLAQUES PAYÉ D'AVANCE</v>
      </c>
      <c r="AV397" s="1030" t="str">
        <f>IFERROR(INDEX(V397:AG397,1,MATCH(Parametres!$B$3,V$1:AG$1,0)-1)*IF(OR(C397="L",C397="S",C397="I"),-1,1),"")</f>
        <v/>
      </c>
      <c r="AW397" s="1030">
        <f t="shared" si="27"/>
        <v>0</v>
      </c>
      <c r="AX397" s="1030">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24"/>
        <v>H15900</v>
      </c>
      <c r="AK398" s="1030" t="str">
        <f t="shared" si="24"/>
        <v>AVOCAT PAYÉ D'AVANCE</v>
      </c>
      <c r="AL398" s="1030" t="str">
        <f>IFERROR(INDEX(G398:R398,1,MATCH(Parametres!$B$3,G$1:R$1,0)-1)*IF(OR(F398="L",F398="S",F398="I"),-1,1),"")</f>
        <v/>
      </c>
      <c r="AM398" s="1030">
        <f t="shared" si="25"/>
        <v>94160.14</v>
      </c>
      <c r="AN398" s="1030">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6" t="str">
        <f t="shared" si="26"/>
        <v>H15900</v>
      </c>
      <c r="AU398" s="599" t="str">
        <f t="shared" si="26"/>
        <v>AVOCAT PAYÉ D'AVANCE</v>
      </c>
      <c r="AV398" s="1030" t="str">
        <f>IFERROR(INDEX(V398:AG398,1,MATCH(Parametres!$B$3,V$1:AG$1,0)-1)*IF(OR(C398="L",C398="S",C398="I"),-1,1),"")</f>
        <v/>
      </c>
      <c r="AW398" s="1030">
        <f t="shared" si="27"/>
        <v>0</v>
      </c>
      <c r="AX398" s="1030">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24"/>
        <v>H16000</v>
      </c>
      <c r="AK399" s="1030" t="str">
        <f t="shared" si="24"/>
        <v>VÉRIF PAYÉ D'AVANCE</v>
      </c>
      <c r="AL399" s="1030" t="str">
        <f>IFERROR(INDEX(G399:R399,1,MATCH(Parametres!$B$3,G$1:R$1,0)-1)*IF(OR(F399="L",F399="S",F399="I"),-1,1),"")</f>
        <v/>
      </c>
      <c r="AM399" s="1030">
        <f t="shared" si="25"/>
        <v>0</v>
      </c>
      <c r="AN399" s="1030">
        <f>INDEX(G399:R399,1,MATCH(Parametres!$B$3,G$1:R$1,0))*IF(OR(F399="L",F399="S",F399="I"),-1,1)</f>
        <v>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26"/>
        <v>H16000</v>
      </c>
      <c r="AU399" s="599" t="str">
        <f t="shared" si="26"/>
        <v>VÉRIF PAYÉ D'AVANCE</v>
      </c>
      <c r="AV399" s="1030" t="str">
        <f>IFERROR(INDEX(V399:AG399,1,MATCH(Parametres!$B$3,V$1:AG$1,0)-1)*IF(OR(C399="L",C399="S",C399="I"),-1,1),"")</f>
        <v/>
      </c>
      <c r="AW399" s="1030">
        <f t="shared" si="27"/>
        <v>0</v>
      </c>
      <c r="AX399" s="1030">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24"/>
        <v>H16100</v>
      </c>
      <c r="AK400" s="1030" t="str">
        <f t="shared" si="24"/>
        <v>OTHER CURRENT ASSETS</v>
      </c>
      <c r="AL400" s="1030" t="str">
        <f>IFERROR(INDEX(G400:R400,1,MATCH(Parametres!$B$3,G$1:R$1,0)-1)*IF(OR(F400="L",F400="S",F400="I"),-1,1),"")</f>
        <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26"/>
        <v>H16100</v>
      </c>
      <c r="AU400" s="599" t="str">
        <f t="shared" si="26"/>
        <v>OTHER CURRENT ASSETS</v>
      </c>
      <c r="AV400" s="1030" t="str">
        <f>IFERROR(INDEX(V400:AG400,1,MATCH(Parametres!$B$3,V$1:AG$1,0)-1)*IF(OR(C400="L",C400="S",C400="I"),-1,1),"")</f>
        <v/>
      </c>
      <c r="AW400" s="1030">
        <f t="shared" si="27"/>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24"/>
        <v>H16500</v>
      </c>
      <c r="AK401" s="1030" t="str">
        <f t="shared" si="24"/>
        <v>TERRAIN</v>
      </c>
      <c r="AL401" s="1030" t="str">
        <f>IFERROR(INDEX(G401:R401,1,MATCH(Parametres!$B$3,G$1:R$1,0)-1)*IF(OR(F401="L",F401="S",F401="I"),-1,1),"")</f>
        <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26"/>
        <v>H16500</v>
      </c>
      <c r="AU401" s="599" t="str">
        <f t="shared" si="26"/>
        <v>TERRAIN</v>
      </c>
      <c r="AV401" s="1030" t="str">
        <f>IFERROR(INDEX(V401:AG401,1,MATCH(Parametres!$B$3,V$1:AG$1,0)-1)*IF(OR(C401="L",C401="S",C401="I"),-1,1),"")</f>
        <v/>
      </c>
      <c r="AW401" s="1030">
        <f t="shared" si="27"/>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24"/>
        <v>H16700</v>
      </c>
      <c r="AK402" s="1030" t="str">
        <f t="shared" si="24"/>
        <v>BATIMENTS</v>
      </c>
      <c r="AL402" s="1030" t="str">
        <f>IFERROR(INDEX(G402:R402,1,MATCH(Parametres!$B$3,G$1:R$1,0)-1)*IF(OR(F402="L",F402="S",F402="I"),-1,1),"")</f>
        <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26"/>
        <v>H16700</v>
      </c>
      <c r="AU402" s="599" t="str">
        <f t="shared" si="26"/>
        <v>BATIMENTS</v>
      </c>
      <c r="AV402" s="1030" t="str">
        <f>IFERROR(INDEX(V402:AG402,1,MATCH(Parametres!$B$3,V$1:AG$1,0)-1)*IF(OR(C402="L",C402="S",C402="I"),-1,1),"")</f>
        <v/>
      </c>
      <c r="AW402" s="1030">
        <f t="shared" si="27"/>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24"/>
        <v>H16800</v>
      </c>
      <c r="AK403" s="1030" t="str">
        <f t="shared" si="24"/>
        <v>AMORT-BATIMENTS</v>
      </c>
      <c r="AL403" s="1030" t="str">
        <f>IFERROR(INDEX(G403:R403,1,MATCH(Parametres!$B$3,G$1:R$1,0)-1)*IF(OR(F403="L",F403="S",F403="I"),-1,1),"")</f>
        <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26"/>
        <v>H16800</v>
      </c>
      <c r="AU403" s="599" t="str">
        <f t="shared" si="26"/>
        <v>AMORT-BATIMENTS</v>
      </c>
      <c r="AV403" s="1030" t="str">
        <f>IFERROR(INDEX(V403:AG403,1,MATCH(Parametres!$B$3,V$1:AG$1,0)-1)*IF(OR(C403="L",C403="S",C403="I"),-1,1),"")</f>
        <v/>
      </c>
      <c r="AW403" s="1030">
        <f t="shared" si="27"/>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24"/>
        <v>H17000</v>
      </c>
      <c r="AK404" s="1030" t="str">
        <f t="shared" si="24"/>
        <v>INSTALLATIONS FIXES</v>
      </c>
      <c r="AL404" s="1030" t="str">
        <f>IFERROR(INDEX(G404:R404,1,MATCH(Parametres!$B$3,G$1:R$1,0)-1)*IF(OR(F404="L",F404="S",F404="I"),-1,1),"")</f>
        <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26"/>
        <v>H17000</v>
      </c>
      <c r="AU404" s="599" t="str">
        <f t="shared" si="26"/>
        <v>INSTALLATIONS FIXES</v>
      </c>
      <c r="AV404" s="1030" t="str">
        <f>IFERROR(INDEX(V404:AG404,1,MATCH(Parametres!$B$3,V$1:AG$1,0)-1)*IF(OR(C404="L",C404="S",C404="I"),-1,1),"")</f>
        <v/>
      </c>
      <c r="AW404" s="1030">
        <f t="shared" si="27"/>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24"/>
        <v>H17100</v>
      </c>
      <c r="AK405" s="1030" t="str">
        <f t="shared" si="24"/>
        <v>AMORT-INSTALLATIONS FIXES</v>
      </c>
      <c r="AL405" s="1030" t="str">
        <f>IFERROR(INDEX(G405:R405,1,MATCH(Parametres!$B$3,G$1:R$1,0)-1)*IF(OR(F405="L",F405="S",F405="I"),-1,1),"")</f>
        <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26"/>
        <v>H17100</v>
      </c>
      <c r="AU405" s="599" t="str">
        <f t="shared" si="26"/>
        <v>AMORT-INSTALLATIONS FIXES</v>
      </c>
      <c r="AV405" s="1030" t="str">
        <f>IFERROR(INDEX(V405:AG405,1,MATCH(Parametres!$B$3,V$1:AG$1,0)-1)*IF(OR(C405="L",C405="S",C405="I"),-1,1),"")</f>
        <v/>
      </c>
      <c r="AW405" s="1030">
        <f t="shared" si="27"/>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24"/>
        <v>H17200</v>
      </c>
      <c r="AK406" s="1030" t="str">
        <f t="shared" si="24"/>
        <v>AMELIORATIONS LOCATIVES</v>
      </c>
      <c r="AL406" s="1030" t="str">
        <f>IFERROR(INDEX(G406:R406,1,MATCH(Parametres!$B$3,G$1:R$1,0)-1)*IF(OR(F406="L",F406="S",F406="I"),-1,1),"")</f>
        <v/>
      </c>
      <c r="AM406" s="1030">
        <f t="shared" si="25"/>
        <v>132559.74</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26"/>
        <v>H17200</v>
      </c>
      <c r="AU406" s="599" t="str">
        <f t="shared" si="26"/>
        <v>AMELIORATIONS LOCATIVES</v>
      </c>
      <c r="AV406" s="1030" t="str">
        <f>IFERROR(INDEX(V406:AG406,1,MATCH(Parametres!$B$3,V$1:AG$1,0)-1)*IF(OR(C406="L",C406="S",C406="I"),-1,1),"")</f>
        <v/>
      </c>
      <c r="AW406" s="1030">
        <f t="shared" si="27"/>
        <v>0</v>
      </c>
      <c r="AX406" s="1030">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24"/>
        <v>H17300</v>
      </c>
      <c r="AK407" s="1030" t="str">
        <f t="shared" si="24"/>
        <v>AMORT-AMELIORATIONS LOC.</v>
      </c>
      <c r="AL407" s="1030" t="str">
        <f>IFERROR(INDEX(G407:R407,1,MATCH(Parametres!$B$3,G$1:R$1,0)-1)*IF(OR(F407="L",F407="S",F407="I"),-1,1),"")</f>
        <v/>
      </c>
      <c r="AM407" s="1030">
        <f t="shared" si="25"/>
        <v>-103170.53</v>
      </c>
      <c r="AN407" s="1030">
        <f>INDEX(G407:R407,1,MATCH(Parametres!$B$3,G$1:R$1,0))*IF(OR(F407="L",F407="S",F407="I"),-1,1)</f>
        <v>-103170.53</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26"/>
        <v>H17300</v>
      </c>
      <c r="AU407" s="599" t="str">
        <f t="shared" si="26"/>
        <v>AMORT-AMELIORATIONS LOC.</v>
      </c>
      <c r="AV407" s="1030" t="str">
        <f>IFERROR(INDEX(V407:AG407,1,MATCH(Parametres!$B$3,V$1:AG$1,0)-1)*IF(OR(C407="L",C407="S",C407="I"),-1,1),"")</f>
        <v/>
      </c>
      <c r="AW407" s="1030">
        <f t="shared" si="27"/>
        <v>0</v>
      </c>
      <c r="AX407" s="1030">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24"/>
        <v>H17400</v>
      </c>
      <c r="AK408" s="1030" t="str">
        <f t="shared" si="24"/>
        <v>EQUIPEMENT DE BUREAU</v>
      </c>
      <c r="AL408" s="1030" t="str">
        <f>IFERROR(INDEX(G408:R408,1,MATCH(Parametres!$B$3,G$1:R$1,0)-1)*IF(OR(F408="L",F408="S",F408="I"),-1,1),"")</f>
        <v/>
      </c>
      <c r="AM408" s="1030">
        <f t="shared" si="25"/>
        <v>295882.26</v>
      </c>
      <c r="AN408" s="1030">
        <f>INDEX(G408:R408,1,MATCH(Parametres!$B$3,G$1:R$1,0))*IF(OR(F408="L",F408="S",F408="I"),-1,1)</f>
        <v>295882.26</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26"/>
        <v>H17400</v>
      </c>
      <c r="AU408" s="599" t="str">
        <f t="shared" si="26"/>
        <v>EQUIPEMENT DE BUREAU</v>
      </c>
      <c r="AV408" s="1030" t="str">
        <f>IFERROR(INDEX(V408:AG408,1,MATCH(Parametres!$B$3,V$1:AG$1,0)-1)*IF(OR(C408="L",C408="S",C408="I"),-1,1),"")</f>
        <v/>
      </c>
      <c r="AW408" s="1030">
        <f t="shared" si="27"/>
        <v>0</v>
      </c>
      <c r="AX408" s="1030">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24"/>
        <v>H17500</v>
      </c>
      <c r="AK409" s="1030" t="str">
        <f t="shared" si="24"/>
        <v>AMORT-EQUIP DE BUREAU</v>
      </c>
      <c r="AL409" s="1030" t="str">
        <f>IFERROR(INDEX(G409:R409,1,MATCH(Parametres!$B$3,G$1:R$1,0)-1)*IF(OR(F409="L",F409="S",F409="I"),-1,1),"")</f>
        <v/>
      </c>
      <c r="AM409" s="1030">
        <f t="shared" si="25"/>
        <v>-254427.78</v>
      </c>
      <c r="AN409" s="1030">
        <f>INDEX(G409:R409,1,MATCH(Parametres!$B$3,G$1:R$1,0))*IF(OR(F409="L",F409="S",F409="I"),-1,1)</f>
        <v>-254427.78</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26"/>
        <v>H17500</v>
      </c>
      <c r="AU409" s="599" t="str">
        <f t="shared" si="26"/>
        <v>AMORT-EQUIP DE BUREAU</v>
      </c>
      <c r="AV409" s="1030" t="str">
        <f>IFERROR(INDEX(V409:AG409,1,MATCH(Parametres!$B$3,V$1:AG$1,0)-1)*IF(OR(C409="L",C409="S",C409="I"),-1,1),"")</f>
        <v/>
      </c>
      <c r="AW409" s="1030">
        <f t="shared" si="27"/>
        <v>0</v>
      </c>
      <c r="AX409" s="1030">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24"/>
        <v>H17600</v>
      </c>
      <c r="AK410" s="1030" t="str">
        <f t="shared" si="24"/>
        <v>EQUIP DU SERVICE PIECES</v>
      </c>
      <c r="AL410" s="1030" t="str">
        <f>IFERROR(INDEX(G410:R410,1,MATCH(Parametres!$B$3,G$1:R$1,0)-1)*IF(OR(F410="L",F410="S",F410="I"),-1,1),"")</f>
        <v/>
      </c>
      <c r="AM410" s="1030">
        <f t="shared" si="25"/>
        <v>12656.55</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26"/>
        <v>H17600</v>
      </c>
      <c r="AU410" s="599" t="str">
        <f t="shared" si="26"/>
        <v>EQUIP DU SERVICE PIECES</v>
      </c>
      <c r="AV410" s="1030" t="str">
        <f>IFERROR(INDEX(V410:AG410,1,MATCH(Parametres!$B$3,V$1:AG$1,0)-1)*IF(OR(C410="L",C410="S",C410="I"),-1,1),"")</f>
        <v/>
      </c>
      <c r="AW410" s="1030">
        <f t="shared" si="27"/>
        <v>0</v>
      </c>
      <c r="AX410" s="1030">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24"/>
        <v>H17700</v>
      </c>
      <c r="AK411" s="1030" t="str">
        <f t="shared" si="24"/>
        <v>AMORT- EQUIP DES PIECES</v>
      </c>
      <c r="AL411" s="1030" t="str">
        <f>IFERROR(INDEX(G411:R411,1,MATCH(Parametres!$B$3,G$1:R$1,0)-1)*IF(OR(F411="L",F411="S",F411="I"),-1,1),"")</f>
        <v/>
      </c>
      <c r="AM411" s="1030">
        <f t="shared" si="25"/>
        <v>-12637.43</v>
      </c>
      <c r="AN411" s="1030">
        <f>INDEX(G411:R411,1,MATCH(Parametres!$B$3,G$1:R$1,0))*IF(OR(F411="L",F411="S",F411="I"),-1,1)</f>
        <v>-12637.43</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26"/>
        <v>H17700</v>
      </c>
      <c r="AU411" s="599" t="str">
        <f t="shared" si="26"/>
        <v>AMORT- EQUIP DES PIECES</v>
      </c>
      <c r="AV411" s="1030" t="str">
        <f>IFERROR(INDEX(V411:AG411,1,MATCH(Parametres!$B$3,V$1:AG$1,0)-1)*IF(OR(C411="L",C411="S",C411="I"),-1,1),"")</f>
        <v/>
      </c>
      <c r="AW411" s="1030">
        <f t="shared" si="27"/>
        <v>0</v>
      </c>
      <c r="AX411" s="1030">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24"/>
        <v>H17800</v>
      </c>
      <c r="AK412" s="1030" t="str">
        <f t="shared" si="24"/>
        <v>EQUIPEMENT DU SERVICE</v>
      </c>
      <c r="AL412" s="1030" t="str">
        <f>IFERROR(INDEX(G412:R412,1,MATCH(Parametres!$B$3,G$1:R$1,0)-1)*IF(OR(F412="L",F412="S",F412="I"),-1,1),"")</f>
        <v/>
      </c>
      <c r="AM412" s="1030">
        <f t="shared" si="25"/>
        <v>740727.05</v>
      </c>
      <c r="AN412" s="1030">
        <f>INDEX(G412:R412,1,MATCH(Parametres!$B$3,G$1:R$1,0))*IF(OR(F412="L",F412="S",F412="I"),-1,1)</f>
        <v>740727.05</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26"/>
        <v>H17800</v>
      </c>
      <c r="AU412" s="599" t="str">
        <f t="shared" si="26"/>
        <v>EQUIPEMENT DU SERVICE</v>
      </c>
      <c r="AV412" s="1030" t="str">
        <f>IFERROR(INDEX(V412:AG412,1,MATCH(Parametres!$B$3,V$1:AG$1,0)-1)*IF(OR(C412="L",C412="S",C412="I"),-1,1),"")</f>
        <v/>
      </c>
      <c r="AW412" s="1030">
        <f t="shared" si="27"/>
        <v>0</v>
      </c>
      <c r="AX412" s="1030">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24"/>
        <v>H17900</v>
      </c>
      <c r="AK413" s="1030" t="str">
        <f t="shared" si="24"/>
        <v>AMORT-EQUIPEMENT DU SERV</v>
      </c>
      <c r="AL413" s="1030" t="str">
        <f>IFERROR(INDEX(G413:R413,1,MATCH(Parametres!$B$3,G$1:R$1,0)-1)*IF(OR(F413="L",F413="S",F413="I"),-1,1),"")</f>
        <v/>
      </c>
      <c r="AM413" s="1030">
        <f t="shared" si="25"/>
        <v>-630823.15</v>
      </c>
      <c r="AN413" s="1030">
        <f>INDEX(G413:R413,1,MATCH(Parametres!$B$3,G$1:R$1,0))*IF(OR(F413="L",F413="S",F413="I"),-1,1)</f>
        <v>-630823.15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26"/>
        <v>H17900</v>
      </c>
      <c r="AU413" s="599" t="str">
        <f t="shared" si="26"/>
        <v>AMORT-EQUIPEMENT DU SERV</v>
      </c>
      <c r="AV413" s="1030" t="str">
        <f>IFERROR(INDEX(V413:AG413,1,MATCH(Parametres!$B$3,V$1:AG$1,0)-1)*IF(OR(C413="L",C413="S",C413="I"),-1,1),"")</f>
        <v/>
      </c>
      <c r="AW413" s="1030">
        <f t="shared" si="27"/>
        <v>0</v>
      </c>
      <c r="AX413" s="1030">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24"/>
        <v>H18100</v>
      </c>
      <c r="AK414" s="1030" t="str">
        <f t="shared" si="24"/>
        <v>ENSEIGNES</v>
      </c>
      <c r="AL414" s="1030" t="str">
        <f>IFERROR(INDEX(G414:R414,1,MATCH(Parametres!$B$3,G$1:R$1,0)-1)*IF(OR(F414="L",F414="S",F414="I"),-1,1),"")</f>
        <v/>
      </c>
      <c r="AM414" s="1030">
        <f t="shared" si="25"/>
        <v>77476.800000000003</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26"/>
        <v>H18100</v>
      </c>
      <c r="AU414" s="599" t="str">
        <f t="shared" si="26"/>
        <v>ENSEIGNES</v>
      </c>
      <c r="AV414" s="1030" t="str">
        <f>IFERROR(INDEX(V414:AG414,1,MATCH(Parametres!$B$3,V$1:AG$1,0)-1)*IF(OR(C414="L",C414="S",C414="I"),-1,1),"")</f>
        <v/>
      </c>
      <c r="AW414" s="1030">
        <f t="shared" si="27"/>
        <v>0</v>
      </c>
      <c r="AX414" s="1030">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24"/>
        <v>H18200</v>
      </c>
      <c r="AK415" s="1030" t="str">
        <f t="shared" si="24"/>
        <v>AMORT-ENSEIGNES</v>
      </c>
      <c r="AL415" s="1030" t="str">
        <f>IFERROR(INDEX(G415:R415,1,MATCH(Parametres!$B$3,G$1:R$1,0)-1)*IF(OR(F415="L",F415="S",F415="I"),-1,1),"")</f>
        <v/>
      </c>
      <c r="AM415" s="1030">
        <f t="shared" si="25"/>
        <v>-66843.67</v>
      </c>
      <c r="AN415" s="1030">
        <f>INDEX(G415:R415,1,MATCH(Parametres!$B$3,G$1:R$1,0))*IF(OR(F415="L",F415="S",F415="I"),-1,1)</f>
        <v>-66843.67</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26"/>
        <v>H18200</v>
      </c>
      <c r="AU415" s="599" t="str">
        <f t="shared" si="26"/>
        <v>AMORT-ENSEIGNES</v>
      </c>
      <c r="AV415" s="1030" t="str">
        <f>IFERROR(INDEX(V415:AG415,1,MATCH(Parametres!$B$3,V$1:AG$1,0)-1)*IF(OR(C415="L",C415="S",C415="I"),-1,1),"")</f>
        <v/>
      </c>
      <c r="AW415" s="1030">
        <f t="shared" si="27"/>
        <v>0</v>
      </c>
      <c r="AX415" s="1030">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24"/>
        <v>H18300</v>
      </c>
      <c r="AK416" s="1030" t="str">
        <f t="shared" si="24"/>
        <v>VEHICULES DE SERVITUDE</v>
      </c>
      <c r="AL416" s="1030" t="str">
        <f>IFERROR(INDEX(G416:R416,1,MATCH(Parametres!$B$3,G$1:R$1,0)-1)*IF(OR(F416="L",F416="S",F416="I"),-1,1),"")</f>
        <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26"/>
        <v>H18300</v>
      </c>
      <c r="AU416" s="599" t="str">
        <f t="shared" si="26"/>
        <v>VEHICULES DE SERVITUDE</v>
      </c>
      <c r="AV416" s="1030" t="str">
        <f>IFERROR(INDEX(V416:AG416,1,MATCH(Parametres!$B$3,V$1:AG$1,0)-1)*IF(OR(C416="L",C416="S",C416="I"),-1,1),"")</f>
        <v/>
      </c>
      <c r="AW416" s="1030">
        <f t="shared" si="27"/>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24"/>
        <v>H18400</v>
      </c>
      <c r="AK417" s="1030" t="str">
        <f t="shared" si="24"/>
        <v>AMORT- VEHICULES SERVICE</v>
      </c>
      <c r="AL417" s="1030" t="str">
        <f>IFERROR(INDEX(G417:R417,1,MATCH(Parametres!$B$3,G$1:R$1,0)-1)*IF(OR(F417="L",F417="S",F417="I"),-1,1),"")</f>
        <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26"/>
        <v>H18400</v>
      </c>
      <c r="AU417" s="599" t="str">
        <f t="shared" si="26"/>
        <v>AMORT- VEHICULES SERVICE</v>
      </c>
      <c r="AV417" s="1030" t="str">
        <f>IFERROR(INDEX(V417:AG417,1,MATCH(Parametres!$B$3,V$1:AG$1,0)-1)*IF(OR(C417="L",C417="S",C417="I"),-1,1),"")</f>
        <v/>
      </c>
      <c r="AW417" s="1030">
        <f t="shared" si="27"/>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24"/>
        <v>H18500</v>
      </c>
      <c r="AK418" s="1030" t="str">
        <f t="shared" si="24"/>
        <v>EQUIPEMENT INFORMATIQUE</v>
      </c>
      <c r="AL418" s="1030" t="str">
        <f>IFERROR(INDEX(G418:R418,1,MATCH(Parametres!$B$3,G$1:R$1,0)-1)*IF(OR(F418="L",F418="S",F418="I"),-1,1),"")</f>
        <v/>
      </c>
      <c r="AM418" s="1030">
        <f t="shared" si="25"/>
        <v>209715.93</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26"/>
        <v>H18500</v>
      </c>
      <c r="AU418" s="599" t="str">
        <f t="shared" si="26"/>
        <v>EQUIPEMENT INFORMATIQUE</v>
      </c>
      <c r="AV418" s="1030" t="str">
        <f>IFERROR(INDEX(V418:AG418,1,MATCH(Parametres!$B$3,V$1:AG$1,0)-1)*IF(OR(C418="L",C418="S",C418="I"),-1,1),"")</f>
        <v/>
      </c>
      <c r="AW418" s="1030">
        <f t="shared" si="27"/>
        <v>0</v>
      </c>
      <c r="AX418" s="1030">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24"/>
        <v>H18600</v>
      </c>
      <c r="AK419" s="1030" t="str">
        <f t="shared" si="24"/>
        <v>AMORT-EQUIPEMENT INFO.</v>
      </c>
      <c r="AL419" s="1030" t="str">
        <f>IFERROR(INDEX(G419:R419,1,MATCH(Parametres!$B$3,G$1:R$1,0)-1)*IF(OR(F419="L",F419="S",F419="I"),-1,1),"")</f>
        <v/>
      </c>
      <c r="AM419" s="1030">
        <f t="shared" si="25"/>
        <v>-195924.56</v>
      </c>
      <c r="AN419" s="1030">
        <f>INDEX(G419:R419,1,MATCH(Parametres!$B$3,G$1:R$1,0))*IF(OR(F419="L",F419="S",F419="I"),-1,1)</f>
        <v>-195924.56</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26"/>
        <v>H18600</v>
      </c>
      <c r="AU419" s="599" t="str">
        <f t="shared" si="26"/>
        <v>AMORT-EQUIPEMENT INFO.</v>
      </c>
      <c r="AV419" s="1030" t="str">
        <f>IFERROR(INDEX(V419:AG419,1,MATCH(Parametres!$B$3,V$1:AG$1,0)-1)*IF(OR(C419="L",C419="S",C419="I"),-1,1),"")</f>
        <v/>
      </c>
      <c r="AW419" s="1030">
        <f t="shared" si="27"/>
        <v>0</v>
      </c>
      <c r="AX419" s="1030">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24"/>
        <v>H18700</v>
      </c>
      <c r="AK420" s="1030" t="str">
        <f t="shared" si="24"/>
        <v>PAVAGE</v>
      </c>
      <c r="AL420" s="1030" t="str">
        <f>IFERROR(INDEX(G420:R420,1,MATCH(Parametres!$B$3,G$1:R$1,0)-1)*IF(OR(F420="L",F420="S",F420="I"),-1,1),"")</f>
        <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26"/>
        <v>H18700</v>
      </c>
      <c r="AU420" s="599" t="str">
        <f t="shared" si="26"/>
        <v>PAVAGE</v>
      </c>
      <c r="AV420" s="1030" t="str">
        <f>IFERROR(INDEX(V420:AG420,1,MATCH(Parametres!$B$3,V$1:AG$1,0)-1)*IF(OR(C420="L",C420="S",C420="I"),-1,1),"")</f>
        <v/>
      </c>
      <c r="AW420" s="1030">
        <f t="shared" si="27"/>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24"/>
        <v>H18710</v>
      </c>
      <c r="AK421" s="1030" t="str">
        <f t="shared" si="24"/>
        <v>AMORT - PAVAGE</v>
      </c>
      <c r="AL421" s="1030" t="str">
        <f>IFERROR(INDEX(G421:R421,1,MATCH(Parametres!$B$3,G$1:R$1,0)-1)*IF(OR(F421="L",F421="S",F421="I"),-1,1),"")</f>
        <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26"/>
        <v>H18710</v>
      </c>
      <c r="AU421" s="599" t="str">
        <f t="shared" si="26"/>
        <v>AMORT - PAVAGE</v>
      </c>
      <c r="AV421" s="1030" t="str">
        <f>IFERROR(INDEX(V421:AG421,1,MATCH(Parametres!$B$3,V$1:AG$1,0)-1)*IF(OR(C421="L",C421="S",C421="I"),-1,1),"")</f>
        <v/>
      </c>
      <c r="AW421" s="1030">
        <f t="shared" si="27"/>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24"/>
        <v>H18800</v>
      </c>
      <c r="AK422" s="1030" t="str">
        <f t="shared" si="24"/>
        <v>CAUTIONNEMENT REMBOURS.</v>
      </c>
      <c r="AL422" s="1030" t="str">
        <f>IFERROR(INDEX(G422:R422,1,MATCH(Parametres!$B$3,G$1:R$1,0)-1)*IF(OR(F422="L",F422="S",F422="I"),-1,1),"")</f>
        <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26"/>
        <v>H18800</v>
      </c>
      <c r="AU422" s="599" t="str">
        <f t="shared" si="26"/>
        <v>CAUTIONNEMENT REMBOURS.</v>
      </c>
      <c r="AV422" s="1030" t="str">
        <f>IFERROR(INDEX(V422:AG422,1,MATCH(Parametres!$B$3,V$1:AG$1,0)-1)*IF(OR(C422="L",C422="S",C422="I"),-1,1),"")</f>
        <v/>
      </c>
      <c r="AW422" s="1030">
        <f t="shared" si="27"/>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24"/>
        <v>H18900</v>
      </c>
      <c r="AK423" s="1030" t="str">
        <f t="shared" si="24"/>
        <v>TITRES DE PLACEMENT</v>
      </c>
      <c r="AL423" s="1030" t="str">
        <f>IFERROR(INDEX(G423:R423,1,MATCH(Parametres!$B$3,G$1:R$1,0)-1)*IF(OR(F423="L",F423="S",F423="I"),-1,1),"")</f>
        <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26"/>
        <v>H18900</v>
      </c>
      <c r="AU423" s="599" t="str">
        <f t="shared" si="26"/>
        <v>TITRES DE PLACEMENT</v>
      </c>
      <c r="AV423" s="1030" t="str">
        <f>IFERROR(INDEX(V423:AG423,1,MATCH(Parametres!$B$3,V$1:AG$1,0)-1)*IF(OR(C423="L",C423="S",C423="I"),-1,1),"")</f>
        <v/>
      </c>
      <c r="AW423" s="1030">
        <f t="shared" si="27"/>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24"/>
        <v>H19000</v>
      </c>
      <c r="AK424" s="1030" t="str">
        <f t="shared" si="24"/>
        <v>FRAIS DE CONSTITUTION</v>
      </c>
      <c r="AL424" s="1030" t="str">
        <f>IFERROR(INDEX(G424:R424,1,MATCH(Parametres!$B$3,G$1:R$1,0)-1)*IF(OR(F424="L",F424="S",F424="I"),-1,1),"")</f>
        <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26"/>
        <v>H19000</v>
      </c>
      <c r="AU424" s="599" t="str">
        <f t="shared" si="26"/>
        <v>FRAIS DE CONSTITUTION</v>
      </c>
      <c r="AV424" s="1030" t="str">
        <f>IFERROR(INDEX(V424:AG424,1,MATCH(Parametres!$B$3,V$1:AG$1,0)-1)*IF(OR(C424="L",C424="S",C424="I"),-1,1),"")</f>
        <v/>
      </c>
      <c r="AW424" s="1030">
        <f t="shared" si="27"/>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24"/>
        <v>H19200</v>
      </c>
      <c r="AK425" s="1030" t="str">
        <f t="shared" si="24"/>
        <v>AVANCE AUX ADMINISTRATEUR</v>
      </c>
      <c r="AL425" s="1030" t="str">
        <f>IFERROR(INDEX(G425:R425,1,MATCH(Parametres!$B$3,G$1:R$1,0)-1)*IF(OR(F425="L",F425="S",F425="I"),-1,1),"")</f>
        <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26"/>
        <v>H19200</v>
      </c>
      <c r="AU425" s="599" t="str">
        <f t="shared" si="26"/>
        <v>AVANCE AUX ADMINISTRATEUR</v>
      </c>
      <c r="AV425" s="1030" t="str">
        <f>IFERROR(INDEX(V425:AG425,1,MATCH(Parametres!$B$3,V$1:AG$1,0)-1)*IF(OR(C425="L",C425="S",C425="I"),-1,1),"")</f>
        <v/>
      </c>
      <c r="AW425" s="1030">
        <f t="shared" si="27"/>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24"/>
        <v>H19500</v>
      </c>
      <c r="AK426" s="1030" t="str">
        <f t="shared" si="24"/>
        <v>ACHALANDAGE</v>
      </c>
      <c r="AL426" s="1030" t="str">
        <f>IFERROR(INDEX(G426:R426,1,MATCH(Parametres!$B$3,G$1:R$1,0)-1)*IF(OR(F426="L",F426="S",F426="I"),-1,1),"")</f>
        <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26"/>
        <v>H19500</v>
      </c>
      <c r="AU426" s="599" t="str">
        <f t="shared" si="26"/>
        <v>ACHALANDAGE</v>
      </c>
      <c r="AV426" s="1030" t="str">
        <f>IFERROR(INDEX(V426:AG426,1,MATCH(Parametres!$B$3,V$1:AG$1,0)-1)*IF(OR(C426="L",C426="S",C426="I"),-1,1),"")</f>
        <v/>
      </c>
      <c r="AW426" s="1030">
        <f t="shared" si="27"/>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24"/>
        <v>H19600</v>
      </c>
      <c r="AK427" s="1030" t="str">
        <f t="shared" si="24"/>
        <v>PARTICIPATION SOC. FIN.</v>
      </c>
      <c r="AL427" s="1030" t="str">
        <f>IFERROR(INDEX(G427:R427,1,MATCH(Parametres!$B$3,G$1:R$1,0)-1)*IF(OR(F427="L",F427="S",F427="I"),-1,1),"")</f>
        <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26"/>
        <v>H19600</v>
      </c>
      <c r="AU427" s="599" t="str">
        <f t="shared" si="26"/>
        <v>PARTICIPATION SOC. FIN.</v>
      </c>
      <c r="AV427" s="1030" t="str">
        <f>IFERROR(INDEX(V427:AG427,1,MATCH(Parametres!$B$3,V$1:AG$1,0)-1)*IF(OR(C427="L",C427="S",C427="I"),-1,1),"")</f>
        <v/>
      </c>
      <c r="AW427" s="1030">
        <f t="shared" si="27"/>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24"/>
        <v>H19900</v>
      </c>
      <c r="AK428" s="1030" t="str">
        <f t="shared" si="24"/>
        <v>AUTES ACTIF GESTION IMMO</v>
      </c>
      <c r="AL428" s="1030" t="str">
        <f>IFERROR(INDEX(G428:R428,1,MATCH(Parametres!$B$3,G$1:R$1,0)-1)*IF(OR(F428="L",F428="S",F428="I"),-1,1),"")</f>
        <v/>
      </c>
      <c r="AM428" s="1030">
        <f t="shared" si="25"/>
        <v>4650000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26"/>
        <v>H19900</v>
      </c>
      <c r="AU428" s="599" t="str">
        <f t="shared" si="26"/>
        <v>AUTES ACTIF GESTION IMMO</v>
      </c>
      <c r="AV428" s="1030" t="str">
        <f>IFERROR(INDEX(V428:AG428,1,MATCH(Parametres!$B$3,V$1:AG$1,0)-1)*IF(OR(C428="L",C428="S",C428="I"),-1,1),"")</f>
        <v/>
      </c>
      <c r="AW428" s="1030">
        <f t="shared" si="27"/>
        <v>0</v>
      </c>
      <c r="AX428" s="1030">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24"/>
        <v>H19902</v>
      </c>
      <c r="AK429" s="1030" t="str">
        <f t="shared" si="24"/>
        <v>AMORT CUMULE-RELATION CLI</v>
      </c>
      <c r="AL429" s="1030" t="str">
        <f>IFERROR(INDEX(G429:R429,1,MATCH(Parametres!$B$3,G$1:R$1,0)-1)*IF(OR(F429="L",F429="S",F429="I"),-1,1),"")</f>
        <v/>
      </c>
      <c r="AM429" s="1030">
        <f t="shared" si="25"/>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26"/>
        <v>H19902</v>
      </c>
      <c r="AU429" s="599" t="str">
        <f t="shared" si="26"/>
        <v>AMORT CUMULE-RELATION CLI</v>
      </c>
      <c r="AV429" s="1030" t="str">
        <f>IFERROR(INDEX(V429:AG429,1,MATCH(Parametres!$B$3,V$1:AG$1,0)-1)*IF(OR(C429="L",C429="S",C429="I"),-1,1),"")</f>
        <v/>
      </c>
      <c r="AW429" s="1030">
        <f t="shared" si="27"/>
        <v>0</v>
      </c>
      <c r="AX429" s="1030">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24"/>
        <v>H20100</v>
      </c>
      <c r="AK430" s="1030" t="str">
        <f t="shared" si="24"/>
        <v>PRET BANCAIRE</v>
      </c>
      <c r="AL430" s="1030" t="str">
        <f>IFERROR(INDEX(G430:R430,1,MATCH(Parametres!$B$3,G$1:R$1,0)-1)*IF(OR(F430="L",F430="S",F430="I"),-1,1),"")</f>
        <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26"/>
        <v>H20100</v>
      </c>
      <c r="AU430" s="599" t="str">
        <f t="shared" si="26"/>
        <v>PRET BANCAIRE</v>
      </c>
      <c r="AV430" s="1030" t="str">
        <f>IFERROR(INDEX(V430:AG430,1,MATCH(Parametres!$B$3,V$1:AG$1,0)-1)*IF(OR(C430="L",C430="S",C430="I"),-1,1),"")</f>
        <v/>
      </c>
      <c r="AW430" s="1030">
        <f t="shared" si="27"/>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24"/>
        <v>H20200</v>
      </c>
      <c r="AK431" s="1030" t="str">
        <f t="shared" si="24"/>
        <v>BULK</v>
      </c>
      <c r="AL431" s="1030" t="str">
        <f>IFERROR(INDEX(G431:R431,1,MATCH(Parametres!$B$3,G$1:R$1,0)-1)*IF(OR(F431="L",F431="S",F431="I"),-1,1),"")</f>
        <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26"/>
        <v>H20200</v>
      </c>
      <c r="AU431" s="599" t="str">
        <f t="shared" si="26"/>
        <v>BULK</v>
      </c>
      <c r="AV431" s="1030" t="str">
        <f>IFERROR(INDEX(V431:AG431,1,MATCH(Parametres!$B$3,V$1:AG$1,0)-1)*IF(OR(C431="L",C431="S",C431="I"),-1,1),"")</f>
        <v/>
      </c>
      <c r="AW431" s="1030">
        <f t="shared" si="27"/>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24"/>
        <v>H20500</v>
      </c>
      <c r="AK432" s="1030" t="str">
        <f t="shared" si="24"/>
        <v>FLOOR PLAN - NEUF</v>
      </c>
      <c r="AL432" s="1030" t="str">
        <f>IFERROR(INDEX(G432:R432,1,MATCH(Parametres!$B$3,G$1:R$1,0)-1)*IF(OR(F432="L",F432="S",F432="I"),-1,1),"")</f>
        <v/>
      </c>
      <c r="AM432" s="1030">
        <f t="shared" si="25"/>
        <v>-8309801.5099999998</v>
      </c>
      <c r="AN432" s="1030">
        <f>INDEX(G432:R432,1,MATCH(Parametres!$B$3,G$1:R$1,0))*IF(OR(F432="L",F432="S",F432="I"),-1,1)</f>
        <v>-8309801.5099999998</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26"/>
        <v>H20500</v>
      </c>
      <c r="AU432" s="599" t="str">
        <f t="shared" si="26"/>
        <v>FLOOR PLAN - NEUF</v>
      </c>
      <c r="AV432" s="1030" t="str">
        <f>IFERROR(INDEX(V432:AG432,1,MATCH(Parametres!$B$3,V$1:AG$1,0)-1)*IF(OR(C432="L",C432="S",C432="I"),-1,1),"")</f>
        <v/>
      </c>
      <c r="AW432" s="1030">
        <f t="shared" si="27"/>
        <v>0</v>
      </c>
      <c r="AX432" s="1030">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24"/>
        <v>H20700</v>
      </c>
      <c r="AK433" s="1030" t="str">
        <f t="shared" si="24"/>
        <v>FLOOR PLAN - OCCASION</v>
      </c>
      <c r="AL433" s="1030" t="str">
        <f>IFERROR(INDEX(G433:R433,1,MATCH(Parametres!$B$3,G$1:R$1,0)-1)*IF(OR(F433="L",F433="S",F433="I"),-1,1),"")</f>
        <v/>
      </c>
      <c r="AM433" s="1030">
        <f t="shared" si="25"/>
        <v>-198578</v>
      </c>
      <c r="AN433" s="1030">
        <f>INDEX(G433:R433,1,MATCH(Parametres!$B$3,G$1:R$1,0))*IF(OR(F433="L",F433="S",F433="I"),-1,1)</f>
        <v>-198578</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26"/>
        <v>H20700</v>
      </c>
      <c r="AU433" s="599" t="str">
        <f t="shared" si="26"/>
        <v>FLOOR PLAN - OCCASION</v>
      </c>
      <c r="AV433" s="1030" t="str">
        <f>IFERROR(INDEX(V433:AG433,1,MATCH(Parametres!$B$3,V$1:AG$1,0)-1)*IF(OR(C433="L",C433="S",C433="I"),-1,1),"")</f>
        <v/>
      </c>
      <c r="AW433" s="1030">
        <f t="shared" si="27"/>
        <v>0</v>
      </c>
      <c r="AX433" s="1030">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24"/>
        <v>H20800</v>
      </c>
      <c r="AK434" s="1030" t="str">
        <f t="shared" si="24"/>
        <v>FLOOR PLAN - DEMO &amp; COURT</v>
      </c>
      <c r="AL434" s="1030" t="str">
        <f>IFERROR(INDEX(G434:R434,1,MATCH(Parametres!$B$3,G$1:R$1,0)-1)*IF(OR(F434="L",F434="S",F434="I"),-1,1),"")</f>
        <v/>
      </c>
      <c r="AM434" s="1030">
        <f t="shared" si="25"/>
        <v>-875516.25</v>
      </c>
      <c r="AN434" s="1030">
        <f>INDEX(G434:R434,1,MATCH(Parametres!$B$3,G$1:R$1,0))*IF(OR(F434="L",F434="S",F434="I"),-1,1)</f>
        <v>-875516.25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26"/>
        <v>H20800</v>
      </c>
      <c r="AU434" s="599" t="str">
        <f t="shared" si="26"/>
        <v>FLOOR PLAN - DEMO &amp; COURT</v>
      </c>
      <c r="AV434" s="1030" t="str">
        <f>IFERROR(INDEX(V434:AG434,1,MATCH(Parametres!$B$3,V$1:AG$1,0)-1)*IF(OR(C434="L",C434="S",C434="I"),-1,1),"")</f>
        <v/>
      </c>
      <c r="AW434" s="1030">
        <f t="shared" si="27"/>
        <v>0</v>
      </c>
      <c r="AX434" s="1030">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24"/>
        <v>H20900</v>
      </c>
      <c r="AK435" s="1030" t="str">
        <f t="shared" si="24"/>
        <v>FLOOR PLAN - AUTRES</v>
      </c>
      <c r="AL435" s="1030" t="str">
        <f>IFERROR(INDEX(G435:R435,1,MATCH(Parametres!$B$3,G$1:R$1,0)-1)*IF(OR(F435="L",F435="S",F435="I"),-1,1),"")</f>
        <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26"/>
        <v>H20900</v>
      </c>
      <c r="AU435" s="599" t="str">
        <f t="shared" si="26"/>
        <v>FLOOR PLAN - AUTRES</v>
      </c>
      <c r="AV435" s="1030" t="str">
        <f>IFERROR(INDEX(V435:AG435,1,MATCH(Parametres!$B$3,V$1:AG$1,0)-1)*IF(OR(C435="L",C435="S",C435="I"),-1,1),"")</f>
        <v/>
      </c>
      <c r="AW435" s="1030">
        <f t="shared" si="27"/>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24"/>
        <v>H21000</v>
      </c>
      <c r="AK436" s="1030" t="str">
        <f t="shared" si="24"/>
        <v>DROITS DE RETENTION VEH.</v>
      </c>
      <c r="AL436" s="1030" t="str">
        <f>IFERROR(INDEX(G436:R436,1,MATCH(Parametres!$B$3,G$1:R$1,0)-1)*IF(OR(F436="L",F436="S",F436="I"),-1,1),"")</f>
        <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26"/>
        <v>H21000</v>
      </c>
      <c r="AU436" s="599" t="str">
        <f t="shared" si="26"/>
        <v>DROITS DE RETENTION VEH.</v>
      </c>
      <c r="AV436" s="1030" t="str">
        <f>IFERROR(INDEX(V436:AG436,1,MATCH(Parametres!$B$3,V$1:AG$1,0)-1)*IF(OR(C436="L",C436="S",C436="I"),-1,1),"")</f>
        <v/>
      </c>
      <c r="AW436" s="1030">
        <f t="shared" si="27"/>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24"/>
        <v>H21100</v>
      </c>
      <c r="AK437" s="1030" t="str">
        <f t="shared" si="24"/>
        <v>AUTRES NOTES A PAYER</v>
      </c>
      <c r="AL437" s="1030" t="str">
        <f>IFERROR(INDEX(G437:R437,1,MATCH(Parametres!$B$3,G$1:R$1,0)-1)*IF(OR(F437="L",F437="S",F437="I"),-1,1),"")</f>
        <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26"/>
        <v>H21100</v>
      </c>
      <c r="AU437" s="599" t="str">
        <f t="shared" si="26"/>
        <v>AUTRES NOTES A PAYER</v>
      </c>
      <c r="AV437" s="1030" t="str">
        <f>IFERROR(INDEX(V437:AG437,1,MATCH(Parametres!$B$3,V$1:AG$1,0)-1)*IF(OR(C437="L",C437="S",C437="I"),-1,1),"")</f>
        <v/>
      </c>
      <c r="AW437" s="1030">
        <f t="shared" si="27"/>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24"/>
        <v>H21200</v>
      </c>
      <c r="AK438" s="1030" t="str">
        <f t="shared" si="24"/>
        <v>EXIGIBLE SUR LES REPOSS.</v>
      </c>
      <c r="AL438" s="1030" t="str">
        <f>IFERROR(INDEX(G438:R438,1,MATCH(Parametres!$B$3,G$1:R$1,0)-1)*IF(OR(F438="L",F438="S",F438="I"),-1,1),"")</f>
        <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26"/>
        <v>H21200</v>
      </c>
      <c r="AU438" s="599" t="str">
        <f t="shared" si="26"/>
        <v>EXIGIBLE SUR LES REPOSS.</v>
      </c>
      <c r="AV438" s="1030" t="str">
        <f>IFERROR(INDEX(V438:AG438,1,MATCH(Parametres!$B$3,V$1:AG$1,0)-1)*IF(OR(C438="L",C438="S",C438="I"),-1,1),"")</f>
        <v/>
      </c>
      <c r="AW438" s="1030">
        <f t="shared" si="27"/>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24"/>
        <v>H21300</v>
      </c>
      <c r="AK439" s="1030" t="str">
        <f t="shared" si="24"/>
        <v>GAR. PROLONGEES A PAYER</v>
      </c>
      <c r="AL439" s="1030" t="str">
        <f>IFERROR(INDEX(G439:R439,1,MATCH(Parametres!$B$3,G$1:R$1,0)-1)*IF(OR(F439="L",F439="S",F439="I"),-1,1),"")</f>
        <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26"/>
        <v>H21300</v>
      </c>
      <c r="AU439" s="599" t="str">
        <f t="shared" si="26"/>
        <v>GAR. PROLONGEES A PAYER</v>
      </c>
      <c r="AV439" s="1030" t="str">
        <f>IFERROR(INDEX(V439:AG439,1,MATCH(Parametres!$B$3,V$1:AG$1,0)-1)*IF(OR(C439="L",C439="S",C439="I"),-1,1),"")</f>
        <v/>
      </c>
      <c r="AW439" s="1030">
        <f t="shared" si="27"/>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24"/>
        <v>H21400</v>
      </c>
      <c r="AK440" s="1030" t="str">
        <f t="shared" si="24"/>
        <v>PAIEMENT EFF. PAR CLIENT</v>
      </c>
      <c r="AL440" s="1030" t="str">
        <f>IFERROR(INDEX(G440:R440,1,MATCH(Parametres!$B$3,G$1:R$1,0)-1)*IF(OR(F440="L",F440="S",F440="I"),-1,1),"")</f>
        <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26"/>
        <v>H21400</v>
      </c>
      <c r="AU440" s="599" t="str">
        <f t="shared" si="26"/>
        <v>PAIEMENT EFF. PAR CLIENT</v>
      </c>
      <c r="AV440" s="1030" t="str">
        <f>IFERROR(INDEX(V440:AG440,1,MATCH(Parametres!$B$3,V$1:AG$1,0)-1)*IF(OR(C440="L",C440="S",C440="I"),-1,1),"")</f>
        <v/>
      </c>
      <c r="AW440" s="1030">
        <f t="shared" si="27"/>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24"/>
        <v>H21500</v>
      </c>
      <c r="AK441" s="1030" t="str">
        <f t="shared" si="24"/>
        <v>COMPTE FOURNISSEUR</v>
      </c>
      <c r="AL441" s="1030" t="str">
        <f>IFERROR(INDEX(G441:R441,1,MATCH(Parametres!$B$3,G$1:R$1,0)-1)*IF(OR(F441="L",F441="S",F441="I"),-1,1),"")</f>
        <v/>
      </c>
      <c r="AM441" s="1030">
        <f t="shared" si="25"/>
        <v>-698197.4</v>
      </c>
      <c r="AN441" s="1030">
        <f>INDEX(G441:R441,1,MATCH(Parametres!$B$3,G$1:R$1,0))*IF(OR(F441="L",F441="S",F441="I"),-1,1)</f>
        <v>-698197.4</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26"/>
        <v>H21500</v>
      </c>
      <c r="AU441" s="599" t="str">
        <f t="shared" si="26"/>
        <v>COMPTE FOURNISSEUR</v>
      </c>
      <c r="AV441" s="1030" t="str">
        <f>IFERROR(INDEX(V441:AG441,1,MATCH(Parametres!$B$3,V$1:AG$1,0)-1)*IF(OR(C441="L",C441="S",C441="I"),-1,1),"")</f>
        <v/>
      </c>
      <c r="AW441" s="1030">
        <f t="shared" si="27"/>
        <v>0</v>
      </c>
      <c r="AX441" s="1030">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24"/>
        <v>H21510</v>
      </c>
      <c r="AK442" s="1030" t="str">
        <f t="shared" si="24"/>
        <v>COMPTE FOURNISSEUR AUTRE</v>
      </c>
      <c r="AL442" s="1030" t="str">
        <f>IFERROR(INDEX(G442:R442,1,MATCH(Parametres!$B$3,G$1:R$1,0)-1)*IF(OR(F442="L",F442="S",F442="I"),-1,1),"")</f>
        <v/>
      </c>
      <c r="AM442" s="1030">
        <f t="shared" si="25"/>
        <v>-18314.07</v>
      </c>
      <c r="AN442" s="1030">
        <f>INDEX(G442:R442,1,MATCH(Parametres!$B$3,G$1:R$1,0))*IF(OR(F442="L",F442="S",F442="I"),-1,1)</f>
        <v>-18314.07</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26"/>
        <v>H21510</v>
      </c>
      <c r="AU442" s="599" t="str">
        <f t="shared" si="26"/>
        <v>COMPTE FOURNISSEUR AUTRE</v>
      </c>
      <c r="AV442" s="1030" t="str">
        <f>IFERROR(INDEX(V442:AG442,1,MATCH(Parametres!$B$3,V$1:AG$1,0)-1)*IF(OR(C442="L",C442="S",C442="I"),-1,1),"")</f>
        <v/>
      </c>
      <c r="AW442" s="1030">
        <f t="shared" si="27"/>
        <v>0</v>
      </c>
      <c r="AX442" s="1030">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24"/>
        <v>H21520</v>
      </c>
      <c r="AK443" s="1030" t="str">
        <f t="shared" si="24"/>
        <v>COMPTE A PAYER - IA</v>
      </c>
      <c r="AL443" s="1030" t="str">
        <f>IFERROR(INDEX(G443:R443,1,MATCH(Parametres!$B$3,G$1:R$1,0)-1)*IF(OR(F443="L",F443="S",F443="I"),-1,1),"")</f>
        <v/>
      </c>
      <c r="AM443" s="1030">
        <f t="shared" si="25"/>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26"/>
        <v>H21520</v>
      </c>
      <c r="AU443" s="599" t="str">
        <f t="shared" si="26"/>
        <v>COMPTE A PAYER - IA</v>
      </c>
      <c r="AV443" s="1030" t="str">
        <f>IFERROR(INDEX(V443:AG443,1,MATCH(Parametres!$B$3,V$1:AG$1,0)-1)*IF(OR(C443="L",C443="S",C443="I"),-1,1),"")</f>
        <v/>
      </c>
      <c r="AW443" s="1030">
        <f t="shared" si="27"/>
        <v>0</v>
      </c>
      <c r="AX443" s="1030">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24"/>
        <v>H21530</v>
      </c>
      <c r="AK444" s="1030" t="str">
        <f t="shared" si="24"/>
        <v>COMPTE A PAYER - SYM-TECH</v>
      </c>
      <c r="AL444" s="1030" t="str">
        <f>IFERROR(INDEX(G444:R444,1,MATCH(Parametres!$B$3,G$1:R$1,0)-1)*IF(OR(F444="L",F444="S",F444="I"),-1,1),"")</f>
        <v/>
      </c>
      <c r="AM444" s="1030">
        <f t="shared" si="25"/>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26"/>
        <v>H21530</v>
      </c>
      <c r="AU444" s="599" t="str">
        <f t="shared" si="26"/>
        <v>COMPTE A PAYER - SYM-TECH</v>
      </c>
      <c r="AV444" s="1030" t="str">
        <f>IFERROR(INDEX(V444:AG444,1,MATCH(Parametres!$B$3,V$1:AG$1,0)-1)*IF(OR(C444="L",C444="S",C444="I"),-1,1),"")</f>
        <v/>
      </c>
      <c r="AW444" s="1030">
        <f t="shared" si="27"/>
        <v>0</v>
      </c>
      <c r="AX444" s="1030">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24"/>
        <v>H21600</v>
      </c>
      <c r="AK445" s="1030" t="str">
        <f t="shared" si="24"/>
        <v>COMPTE FOURN HYUNDAI CAN</v>
      </c>
      <c r="AL445" s="1030" t="str">
        <f>IFERROR(INDEX(G445:R445,1,MATCH(Parametres!$B$3,G$1:R$1,0)-1)*IF(OR(F445="L",F445="S",F445="I"),-1,1),"")</f>
        <v/>
      </c>
      <c r="AM445" s="1030">
        <f t="shared" si="25"/>
        <v>-71344.41</v>
      </c>
      <c r="AN445" s="1030">
        <f>INDEX(G445:R445,1,MATCH(Parametres!$B$3,G$1:R$1,0))*IF(OR(F445="L",F445="S",F445="I"),-1,1)</f>
        <v>-71344.41</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26"/>
        <v>H21600</v>
      </c>
      <c r="AU445" s="599" t="str">
        <f t="shared" si="26"/>
        <v>COMPTE FOURN HYUNDAI CAN</v>
      </c>
      <c r="AV445" s="1030" t="str">
        <f>IFERROR(INDEX(V445:AG445,1,MATCH(Parametres!$B$3,V$1:AG$1,0)-1)*IF(OR(C445="L",C445="S",C445="I"),-1,1),"")</f>
        <v/>
      </c>
      <c r="AW445" s="1030">
        <f t="shared" si="27"/>
        <v>0</v>
      </c>
      <c r="AX445" s="1030">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24"/>
        <v>H21601</v>
      </c>
      <c r="AK446" s="1030" t="str">
        <f t="shared" si="24"/>
        <v>COMPTE FOURN BAL FORWARD</v>
      </c>
      <c r="AL446" s="1030" t="str">
        <f>IFERROR(INDEX(G446:R446,1,MATCH(Parametres!$B$3,G$1:R$1,0)-1)*IF(OR(F446="L",F446="S",F446="I"),-1,1),"")</f>
        <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26"/>
        <v>H21601</v>
      </c>
      <c r="AU446" s="599" t="str">
        <f t="shared" si="26"/>
        <v>COMPTE FOURN BAL FORWARD</v>
      </c>
      <c r="AV446" s="1030" t="str">
        <f>IFERROR(INDEX(V446:AG446,1,MATCH(Parametres!$B$3,V$1:AG$1,0)-1)*IF(OR(C446="L",C446="S",C446="I"),-1,1),"")</f>
        <v/>
      </c>
      <c r="AW446" s="1030">
        <f t="shared" si="27"/>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24"/>
        <v>H21700</v>
      </c>
      <c r="AK447" s="1030" t="str">
        <f t="shared" si="24"/>
        <v>RETENUE FISCALES-EMPLOYES</v>
      </c>
      <c r="AL447" s="1030" t="str">
        <f>IFERROR(INDEX(G447:R447,1,MATCH(Parametres!$B$3,G$1:R$1,0)-1)*IF(OR(F447="L",F447="S",F447="I"),-1,1),"")</f>
        <v/>
      </c>
      <c r="AM447" s="1030">
        <f t="shared" si="25"/>
        <v>4825.55</v>
      </c>
      <c r="AN447" s="1030">
        <f>INDEX(G447:R447,1,MATCH(Parametres!$B$3,G$1:R$1,0))*IF(OR(F447="L",F447="S",F447="I"),-1,1)</f>
        <v>4825.55</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26"/>
        <v>H21700</v>
      </c>
      <c r="AU447" s="599" t="str">
        <f t="shared" si="26"/>
        <v>RETENUE FISCALES-EMPLOYES</v>
      </c>
      <c r="AV447" s="1030" t="str">
        <f>IFERROR(INDEX(V447:AG447,1,MATCH(Parametres!$B$3,V$1:AG$1,0)-1)*IF(OR(C447="L",C447="S",C447="I"),-1,1),"")</f>
        <v/>
      </c>
      <c r="AW447" s="1030">
        <f t="shared" si="27"/>
        <v>0</v>
      </c>
      <c r="AX447" s="1030">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24"/>
        <v>H21710</v>
      </c>
      <c r="AK448" s="1030" t="str">
        <f t="shared" si="24"/>
        <v>PENSION ALIMENTAIRE PAYER</v>
      </c>
      <c r="AL448" s="1030" t="str">
        <f>IFERROR(INDEX(G448:R448,1,MATCH(Parametres!$B$3,G$1:R$1,0)-1)*IF(OR(F448="L",F448="S",F448="I"),-1,1),"")</f>
        <v/>
      </c>
      <c r="AM448" s="1030">
        <f t="shared" si="25"/>
        <v>147.06</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26"/>
        <v>H21710</v>
      </c>
      <c r="AU448" s="599" t="str">
        <f t="shared" si="26"/>
        <v>PENSION ALIMENTAIRE PAYER</v>
      </c>
      <c r="AV448" s="1030" t="str">
        <f>IFERROR(INDEX(V448:AG448,1,MATCH(Parametres!$B$3,V$1:AG$1,0)-1)*IF(OR(C448="L",C448="S",C448="I"),-1,1),"")</f>
        <v/>
      </c>
      <c r="AW448" s="1030">
        <f t="shared" si="27"/>
        <v>0</v>
      </c>
      <c r="AX448" s="1030">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24"/>
        <v>H21800</v>
      </c>
      <c r="AK449" s="1030" t="str">
        <f t="shared" si="24"/>
        <v>RPDB- REER COLLECTIF</v>
      </c>
      <c r="AL449" s="1030" t="str">
        <f>IFERROR(INDEX(G449:R449,1,MATCH(Parametres!$B$3,G$1:R$1,0)-1)*IF(OR(F449="L",F449="S",F449="I"),-1,1),"")</f>
        <v/>
      </c>
      <c r="AM449" s="1030">
        <f t="shared" si="25"/>
        <v>-1756.22</v>
      </c>
      <c r="AN449" s="1030">
        <f>INDEX(G449:R449,1,MATCH(Parametres!$B$3,G$1:R$1,0))*IF(OR(F449="L",F449="S",F449="I"),-1,1)</f>
        <v>-1756.22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26"/>
        <v>H21800</v>
      </c>
      <c r="AU449" s="599" t="str">
        <f t="shared" si="26"/>
        <v>RPDB- REER COLLECTIF</v>
      </c>
      <c r="AV449" s="1030" t="str">
        <f>IFERROR(INDEX(V449:AG449,1,MATCH(Parametres!$B$3,V$1:AG$1,0)-1)*IF(OR(C449="L",C449="S",C449="I"),-1,1),"")</f>
        <v/>
      </c>
      <c r="AW449" s="1030">
        <f t="shared" si="27"/>
        <v>0</v>
      </c>
      <c r="AX449" s="1030">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24"/>
        <v>H21810</v>
      </c>
      <c r="AK450" s="1030" t="str">
        <f t="shared" si="24"/>
        <v>DEDUCTIBLE DEMO</v>
      </c>
      <c r="AL450" s="1030" t="str">
        <f>IFERROR(INDEX(G450:R450,1,MATCH(Parametres!$B$3,G$1:R$1,0)-1)*IF(OR(F450="L",F450="S",F450="I"),-1,1),"")</f>
        <v/>
      </c>
      <c r="AM450" s="1030">
        <f t="shared" si="25"/>
        <v>-5621.06</v>
      </c>
      <c r="AN450" s="1030">
        <f>INDEX(G450:R450,1,MATCH(Parametres!$B$3,G$1:R$1,0))*IF(OR(F450="L",F450="S",F450="I"),-1,1)</f>
        <v>-5621.06</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26"/>
        <v>H21810</v>
      </c>
      <c r="AU450" s="599" t="str">
        <f t="shared" si="26"/>
        <v>DEDUCTIBLE DEMO</v>
      </c>
      <c r="AV450" s="1030" t="str">
        <f>IFERROR(INDEX(V450:AG450,1,MATCH(Parametres!$B$3,V$1:AG$1,0)-1)*IF(OR(C450="L",C450="S",C450="I"),-1,1),"")</f>
        <v/>
      </c>
      <c r="AW450" s="1030">
        <f t="shared" si="27"/>
        <v>0</v>
      </c>
      <c r="AX450" s="1030">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24"/>
        <v>H21900</v>
      </c>
      <c r="AK451" s="1030" t="str">
        <f t="shared" si="24"/>
        <v>COMITE PARITAIRE IND AUTO</v>
      </c>
      <c r="AL451" s="1030" t="str">
        <f>IFERROR(INDEX(G451:R451,1,MATCH(Parametres!$B$3,G$1:R$1,0)-1)*IF(OR(F451="L",F451="S",F451="I"),-1,1),"")</f>
        <v/>
      </c>
      <c r="AM451" s="1030">
        <f t="shared" si="25"/>
        <v>1132.99</v>
      </c>
      <c r="AN451" s="1030">
        <f>INDEX(G451:R451,1,MATCH(Parametres!$B$3,G$1:R$1,0))*IF(OR(F451="L",F451="S",F451="I"),-1,1)</f>
        <v>1132.99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26"/>
        <v>H21900</v>
      </c>
      <c r="AU451" s="599" t="str">
        <f t="shared" si="26"/>
        <v>COMITE PARITAIRE IND AUTO</v>
      </c>
      <c r="AV451" s="1030" t="str">
        <f>IFERROR(INDEX(V451:AG451,1,MATCH(Parametres!$B$3,V$1:AG$1,0)-1)*IF(OR(C451="L",C451="S",C451="I"),-1,1),"")</f>
        <v/>
      </c>
      <c r="AW451" s="1030">
        <f t="shared" si="27"/>
        <v>0</v>
      </c>
      <c r="AX451" s="1030">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K467" si="28">C452</f>
        <v>H21910</v>
      </c>
      <c r="AK452" s="1030" t="str">
        <f t="shared" si="28"/>
        <v>ASSURANCE GROUPE</v>
      </c>
      <c r="AL452" s="1030" t="str">
        <f>IFERROR(INDEX(G452:R452,1,MATCH(Parametres!$B$3,G$1:R$1,0)-1)*IF(OR(F452="L",F452="S",F452="I"),-1,1),"")</f>
        <v/>
      </c>
      <c r="AM452" s="1030">
        <f t="shared" ref="AM452:AM515" si="29">AN452-N(AL452)</f>
        <v>3441.85</v>
      </c>
      <c r="AN452" s="1030">
        <f>INDEX(G452:R452,1,MATCH(Parametres!$B$3,G$1:R$1,0))*IF(OR(F452="L",F452="S",F452="I"),-1,1)</f>
        <v>3441.85</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U515" si="30">C452</f>
        <v>H21910</v>
      </c>
      <c r="AU452" s="599" t="str">
        <f t="shared" si="30"/>
        <v>ASSURANCE GROUPE</v>
      </c>
      <c r="AV452" s="1030" t="str">
        <f>IFERROR(INDEX(V452:AG452,1,MATCH(Parametres!$B$3,V$1:AG$1,0)-1)*IF(OR(C452="L",C452="S",C452="I"),-1,1),"")</f>
        <v/>
      </c>
      <c r="AW452" s="1030">
        <f t="shared" ref="AW452:AW515" si="31">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28"/>
        <v>H22000</v>
      </c>
      <c r="AK453" s="1030" t="str">
        <f t="shared" si="28"/>
        <v>TVQ A PAYER</v>
      </c>
      <c r="AL453" s="1030" t="str">
        <f>IFERROR(INDEX(G453:R453,1,MATCH(Parametres!$B$3,G$1:R$1,0)-1)*IF(OR(F453="L",F453="S",F453="I"),-1,1),"")</f>
        <v/>
      </c>
      <c r="AM453" s="1030">
        <f t="shared" si="29"/>
        <v>-112582.5</v>
      </c>
      <c r="AN453" s="1030">
        <f>INDEX(G453:R453,1,MATCH(Parametres!$B$3,G$1:R$1,0))*IF(OR(F453="L",F453="S",F453="I"),-1,1)</f>
        <v>-112582.5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30"/>
        <v>H22000</v>
      </c>
      <c r="AU453" s="599" t="str">
        <f t="shared" si="30"/>
        <v>TVQ A PAYER</v>
      </c>
      <c r="AV453" s="1030" t="str">
        <f>IFERROR(INDEX(V453:AG453,1,MATCH(Parametres!$B$3,V$1:AG$1,0)-1)*IF(OR(C453="L",C453="S",C453="I"),-1,1),"")</f>
        <v/>
      </c>
      <c r="AW453" s="1030">
        <f t="shared" si="31"/>
        <v>0</v>
      </c>
      <c r="AX453" s="1030">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28"/>
        <v>H22010</v>
      </c>
      <c r="AK454" s="1030" t="str">
        <f t="shared" si="28"/>
        <v>RTI(TVQ) A RECEVOIR</v>
      </c>
      <c r="AL454" s="1030" t="str">
        <f>IFERROR(INDEX(G454:R454,1,MATCH(Parametres!$B$3,G$1:R$1,0)-1)*IF(OR(F454="L",F454="S",F454="I"),-1,1),"")</f>
        <v/>
      </c>
      <c r="AM454" s="1030">
        <f t="shared" si="29"/>
        <v>71712.87</v>
      </c>
      <c r="AN454" s="1030">
        <f>INDEX(G454:R454,1,MATCH(Parametres!$B$3,G$1:R$1,0))*IF(OR(F454="L",F454="S",F454="I"),-1,1)</f>
        <v>71712.87</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30"/>
        <v>H22010</v>
      </c>
      <c r="AU454" s="599" t="str">
        <f t="shared" si="30"/>
        <v>RTI(TVQ) A RECEVOIR</v>
      </c>
      <c r="AV454" s="1030" t="str">
        <f>IFERROR(INDEX(V454:AG454,1,MATCH(Parametres!$B$3,V$1:AG$1,0)-1)*IF(OR(C454="L",C454="S",C454="I"),-1,1),"")</f>
        <v/>
      </c>
      <c r="AW454" s="1030">
        <f t="shared" si="31"/>
        <v>0</v>
      </c>
      <c r="AX454" s="1030">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28"/>
        <v>H22020</v>
      </c>
      <c r="AK455" s="1030" t="str">
        <f t="shared" si="28"/>
        <v>TAXES DE PNEUS</v>
      </c>
      <c r="AL455" s="1030" t="str">
        <f>IFERROR(INDEX(G455:R455,1,MATCH(Parametres!$B$3,G$1:R$1,0)-1)*IF(OR(F455="L",F455="S",F455="I"),-1,1),"")</f>
        <v/>
      </c>
      <c r="AM455" s="1030">
        <f t="shared" si="29"/>
        <v>-2992.5</v>
      </c>
      <c r="AN455" s="1030">
        <f>INDEX(G455:R455,1,MATCH(Parametres!$B$3,G$1:R$1,0))*IF(OR(F455="L",F455="S",F455="I"),-1,1)</f>
        <v>-2992.5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30"/>
        <v>H22020</v>
      </c>
      <c r="AU455" s="599" t="str">
        <f t="shared" si="30"/>
        <v>TAXES DE PNEUS</v>
      </c>
      <c r="AV455" s="1030" t="str">
        <f>IFERROR(INDEX(V455:AG455,1,MATCH(Parametres!$B$3,V$1:AG$1,0)-1)*IF(OR(C455="L",C455="S",C455="I"),-1,1),"")</f>
        <v/>
      </c>
      <c r="AW455" s="1030">
        <f t="shared" si="31"/>
        <v>0</v>
      </c>
      <c r="AX455" s="1030">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28"/>
        <v>H22050</v>
      </c>
      <c r="AK456" s="1030" t="str">
        <f t="shared" si="28"/>
        <v>TPS &amp; TVQ A RECEVOIR</v>
      </c>
      <c r="AL456" s="1030" t="str">
        <f>IFERROR(INDEX(G456:R456,1,MATCH(Parametres!$B$3,G$1:R$1,0)-1)*IF(OR(F456="L",F456="S",F456="I"),-1,1),"")</f>
        <v/>
      </c>
      <c r="AM456" s="1030">
        <f t="shared" si="29"/>
        <v>-20638.41</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30"/>
        <v>H22050</v>
      </c>
      <c r="AU456" s="599" t="str">
        <f t="shared" si="30"/>
        <v>TPS &amp; TVQ A RECEVOIR</v>
      </c>
      <c r="AV456" s="1030" t="str">
        <f>IFERROR(INDEX(V456:AG456,1,MATCH(Parametres!$B$3,V$1:AG$1,0)-1)*IF(OR(C456="L",C456="S",C456="I"),-1,1),"")</f>
        <v/>
      </c>
      <c r="AW456" s="1030">
        <f t="shared" si="31"/>
        <v>0</v>
      </c>
      <c r="AX456" s="1030">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28"/>
        <v>H22060</v>
      </c>
      <c r="AK457" s="1030" t="str">
        <f t="shared" si="28"/>
        <v>TPS &amp; TVQ A PAYER</v>
      </c>
      <c r="AL457" s="1030" t="str">
        <f>IFERROR(INDEX(G457:R457,1,MATCH(Parametres!$B$3,G$1:R$1,0)-1)*IF(OR(F457="L",F457="S",F457="I"),-1,1),"")</f>
        <v/>
      </c>
      <c r="AM457" s="1030">
        <f t="shared" si="29"/>
        <v>28226.32</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30"/>
        <v>H22060</v>
      </c>
      <c r="AU457" s="599" t="str">
        <f t="shared" si="30"/>
        <v>TPS &amp; TVQ A PAYER</v>
      </c>
      <c r="AV457" s="1030" t="str">
        <f>IFERROR(INDEX(V457:AG457,1,MATCH(Parametres!$B$3,V$1:AG$1,0)-1)*IF(OR(C457="L",C457="S",C457="I"),-1,1),"")</f>
        <v/>
      </c>
      <c r="AW457" s="1030">
        <f t="shared" si="31"/>
        <v>0</v>
      </c>
      <c r="AX457" s="1030">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28"/>
        <v>H22070</v>
      </c>
      <c r="AK458" s="1030" t="str">
        <f t="shared" si="28"/>
        <v>TPA - ASS REMPLACEMENT</v>
      </c>
      <c r="AL458" s="1030" t="str">
        <f>IFERROR(INDEX(G458:R458,1,MATCH(Parametres!$B$3,G$1:R$1,0)-1)*IF(OR(F458="L",F458="S",F458="I"),-1,1),"")</f>
        <v/>
      </c>
      <c r="AM458" s="1030">
        <f t="shared" si="29"/>
        <v>-3281.58</v>
      </c>
      <c r="AN458" s="1030">
        <f>INDEX(G458:R458,1,MATCH(Parametres!$B$3,G$1:R$1,0))*IF(OR(F458="L",F458="S",F458="I"),-1,1)</f>
        <v>-3281.58</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30"/>
        <v>H22070</v>
      </c>
      <c r="AU458" s="599" t="str">
        <f t="shared" si="30"/>
        <v>TPA - ASS REMPLACEMENT</v>
      </c>
      <c r="AV458" s="1030" t="str">
        <f>IFERROR(INDEX(V458:AG458,1,MATCH(Parametres!$B$3,V$1:AG$1,0)-1)*IF(OR(C458="L",C458="S",C458="I"),-1,1),"")</f>
        <v/>
      </c>
      <c r="AW458" s="1030">
        <f t="shared" si="31"/>
        <v>0</v>
      </c>
      <c r="AX458" s="1030">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28"/>
        <v>H22080</v>
      </c>
      <c r="AK459" s="1030" t="str">
        <f t="shared" si="28"/>
        <v>TVQ SAAQ</v>
      </c>
      <c r="AL459" s="1030" t="str">
        <f>IFERROR(INDEX(G459:R459,1,MATCH(Parametres!$B$3,G$1:R$1,0)-1)*IF(OR(F459="L",F459="S",F459="I"),-1,1),"")</f>
        <v/>
      </c>
      <c r="AM459" s="1030">
        <f t="shared" si="29"/>
        <v>0</v>
      </c>
      <c r="AN459" s="1030">
        <f>INDEX(G459:R459,1,MATCH(Parametres!$B$3,G$1:R$1,0))*IF(OR(F459="L",F459="S",F459="I"),-1,1)</f>
        <v>0</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30"/>
        <v>H22080</v>
      </c>
      <c r="AU459" s="599" t="str">
        <f t="shared" si="30"/>
        <v>TVQ SAAQ</v>
      </c>
      <c r="AV459" s="1030" t="str">
        <f>IFERROR(INDEX(V459:AG459,1,MATCH(Parametres!$B$3,V$1:AG$1,0)-1)*IF(OR(C459="L",C459="S",C459="I"),-1,1),"")</f>
        <v/>
      </c>
      <c r="AW459" s="1030">
        <f t="shared" si="31"/>
        <v>0</v>
      </c>
      <c r="AX459" s="1030">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28"/>
        <v>H22100</v>
      </c>
      <c r="AK460" s="1030" t="str">
        <f t="shared" si="28"/>
        <v>COMMISSIONS VENDEURS</v>
      </c>
      <c r="AL460" s="1030" t="str">
        <f>IFERROR(INDEX(G460:R460,1,MATCH(Parametres!$B$3,G$1:R$1,0)-1)*IF(OR(F460="L",F460="S",F460="I"),-1,1),"")</f>
        <v/>
      </c>
      <c r="AM460" s="1030">
        <f t="shared" si="29"/>
        <v>-143613.9</v>
      </c>
      <c r="AN460" s="1030">
        <f>INDEX(G460:R460,1,MATCH(Parametres!$B$3,G$1:R$1,0))*IF(OR(F460="L",F460="S",F460="I"),-1,1)</f>
        <v>-143613.9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30"/>
        <v>H22100</v>
      </c>
      <c r="AU460" s="599" t="str">
        <f t="shared" si="30"/>
        <v>COMMISSIONS VENDEURS</v>
      </c>
      <c r="AV460" s="1030" t="str">
        <f>IFERROR(INDEX(V460:AG460,1,MATCH(Parametres!$B$3,V$1:AG$1,0)-1)*IF(OR(C460="L",C460="S",C460="I"),-1,1),"")</f>
        <v/>
      </c>
      <c r="AW460" s="1030">
        <f t="shared" si="31"/>
        <v>0</v>
      </c>
      <c r="AX460" s="1030">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28"/>
        <v>H22101</v>
      </c>
      <c r="AK461" s="1030" t="str">
        <f t="shared" si="28"/>
        <v>BONI A PAYER</v>
      </c>
      <c r="AL461" s="1030" t="str">
        <f>IFERROR(INDEX(G461:R461,1,MATCH(Parametres!$B$3,G$1:R$1,0)-1)*IF(OR(F461="L",F461="S",F461="I"),-1,1),"")</f>
        <v/>
      </c>
      <c r="AM461" s="1030">
        <f t="shared" si="29"/>
        <v>0</v>
      </c>
      <c r="AN461" s="1030">
        <f>INDEX(G461:R461,1,MATCH(Parametres!$B$3,G$1:R$1,0))*IF(OR(F461="L",F461="S",F461="I"),-1,1)</f>
        <v>0</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30"/>
        <v>H22101</v>
      </c>
      <c r="AU461" s="599" t="str">
        <f t="shared" si="30"/>
        <v>BONI A PAYER</v>
      </c>
      <c r="AV461" s="1030" t="str">
        <f>IFERROR(INDEX(V461:AG461,1,MATCH(Parametres!$B$3,V$1:AG$1,0)-1)*IF(OR(C461="L",C461="S",C461="I"),-1,1),"")</f>
        <v/>
      </c>
      <c r="AW461" s="1030">
        <f t="shared" si="31"/>
        <v>0</v>
      </c>
      <c r="AX461" s="1030">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28"/>
        <v>H22110</v>
      </c>
      <c r="AK462" s="1030" t="str">
        <f t="shared" si="28"/>
        <v>COMMISSIONS F&amp;I</v>
      </c>
      <c r="AL462" s="1030" t="str">
        <f>IFERROR(INDEX(G462:R462,1,MATCH(Parametres!$B$3,G$1:R$1,0)-1)*IF(OR(F462="L",F462="S",F462="I"),-1,1),"")</f>
        <v/>
      </c>
      <c r="AM462" s="1030">
        <f t="shared" si="29"/>
        <v>-33122.949999999997</v>
      </c>
      <c r="AN462" s="1030">
        <f>INDEX(G462:R462,1,MATCH(Parametres!$B$3,G$1:R$1,0))*IF(OR(F462="L",F462="S",F462="I"),-1,1)</f>
        <v>-33122.949999999997</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30"/>
        <v>H22110</v>
      </c>
      <c r="AU462" s="599" t="str">
        <f t="shared" si="30"/>
        <v>COMMISSIONS F&amp;I</v>
      </c>
      <c r="AV462" s="1030" t="str">
        <f>IFERROR(INDEX(V462:AG462,1,MATCH(Parametres!$B$3,V$1:AG$1,0)-1)*IF(OR(C462="L",C462="S",C462="I"),-1,1),"")</f>
        <v/>
      </c>
      <c r="AW462" s="1030">
        <f t="shared" si="31"/>
        <v>0</v>
      </c>
      <c r="AX462" s="1030">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28"/>
        <v>H22120</v>
      </c>
      <c r="AK463" s="1030" t="str">
        <f t="shared" si="28"/>
        <v>COMM. A PAYER FORTUNE</v>
      </c>
      <c r="AL463" s="1030" t="str">
        <f>IFERROR(INDEX(G463:R463,1,MATCH(Parametres!$B$3,G$1:R$1,0)-1)*IF(OR(F463="L",F463="S",F463="I"),-1,1),"")</f>
        <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30"/>
        <v>H22120</v>
      </c>
      <c r="AU463" s="599" t="str">
        <f t="shared" si="30"/>
        <v>COMM. A PAYER FORTUNE</v>
      </c>
      <c r="AV463" s="1030" t="str">
        <f>IFERROR(INDEX(V463:AG463,1,MATCH(Parametres!$B$3,V$1:AG$1,0)-1)*IF(OR(C463="L",C463="S",C463="I"),-1,1),"")</f>
        <v/>
      </c>
      <c r="AW463" s="1030">
        <f t="shared" si="31"/>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28"/>
        <v>H22200</v>
      </c>
      <c r="AK464" s="1030" t="str">
        <f t="shared" si="28"/>
        <v>DEPOTS CLIENTS</v>
      </c>
      <c r="AL464" s="1030" t="str">
        <f>IFERROR(INDEX(G464:R464,1,MATCH(Parametres!$B$3,G$1:R$1,0)-1)*IF(OR(F464="L",F464="S",F464="I"),-1,1),"")</f>
        <v/>
      </c>
      <c r="AM464" s="1030">
        <f t="shared" si="29"/>
        <v>-22267.759999999998</v>
      </c>
      <c r="AN464" s="1030">
        <f>INDEX(G464:R464,1,MATCH(Parametres!$B$3,G$1:R$1,0))*IF(OR(F464="L",F464="S",F464="I"),-1,1)</f>
        <v>-22267.759999999998</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30"/>
        <v>H22200</v>
      </c>
      <c r="AU464" s="599" t="str">
        <f t="shared" si="30"/>
        <v>DEPOTS CLIENTS</v>
      </c>
      <c r="AV464" s="1030" t="str">
        <f>IFERROR(INDEX(V464:AG464,1,MATCH(Parametres!$B$3,V$1:AG$1,0)-1)*IF(OR(C464="L",C464="S",C464="I"),-1,1),"")</f>
        <v/>
      </c>
      <c r="AW464" s="1030">
        <f t="shared" si="31"/>
        <v>0</v>
      </c>
      <c r="AX464" s="1030">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28"/>
        <v>H22300</v>
      </c>
      <c r="AK465" s="1030" t="str">
        <f t="shared" si="28"/>
        <v>TPS A PAYER</v>
      </c>
      <c r="AL465" s="1030" t="str">
        <f>IFERROR(INDEX(G465:R465,1,MATCH(Parametres!$B$3,G$1:R$1,0)-1)*IF(OR(F465="L",F465="S",F465="I"),-1,1),"")</f>
        <v/>
      </c>
      <c r="AM465" s="1030">
        <f t="shared" si="29"/>
        <v>-296192.71999999997</v>
      </c>
      <c r="AN465" s="1030">
        <f>INDEX(G465:R465,1,MATCH(Parametres!$B$3,G$1:R$1,0))*IF(OR(F465="L",F465="S",F465="I"),-1,1)</f>
        <v>-296192.71999999997</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30"/>
        <v>H22300</v>
      </c>
      <c r="AU465" s="599" t="str">
        <f t="shared" si="30"/>
        <v>TPS A PAYER</v>
      </c>
      <c r="AV465" s="1030" t="str">
        <f>IFERROR(INDEX(V465:AG465,1,MATCH(Parametres!$B$3,V$1:AG$1,0)-1)*IF(OR(C465="L",C465="S",C465="I"),-1,1),"")</f>
        <v/>
      </c>
      <c r="AW465" s="1030">
        <f t="shared" si="31"/>
        <v>0</v>
      </c>
      <c r="AX465" s="1030">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28"/>
        <v>H22310</v>
      </c>
      <c r="AK466" s="1030" t="str">
        <f t="shared" si="28"/>
        <v>CTI(TPS) A RECEVOIR</v>
      </c>
      <c r="AL466" s="1030" t="str">
        <f>IFERROR(INDEX(G466:R466,1,MATCH(Parametres!$B$3,G$1:R$1,0)-1)*IF(OR(F466="L",F466="S",F466="I"),-1,1),"")</f>
        <v/>
      </c>
      <c r="AM466" s="1030">
        <f t="shared" si="29"/>
        <v>265573.90000000002</v>
      </c>
      <c r="AN466" s="1030">
        <f>INDEX(G466:R466,1,MATCH(Parametres!$B$3,G$1:R$1,0))*IF(OR(F466="L",F466="S",F466="I"),-1,1)</f>
        <v>265573.90000000002</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30"/>
        <v>H22310</v>
      </c>
      <c r="AU466" s="599" t="str">
        <f t="shared" si="30"/>
        <v>CTI(TPS) A RECEVOIR</v>
      </c>
      <c r="AV466" s="1030" t="str">
        <f>IFERROR(INDEX(V466:AG466,1,MATCH(Parametres!$B$3,V$1:AG$1,0)-1)*IF(OR(C466="L",C466="S",C466="I"),-1,1),"")</f>
        <v/>
      </c>
      <c r="AW466" s="1030">
        <f t="shared" si="31"/>
        <v>0</v>
      </c>
      <c r="AX466" s="1030">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si="28"/>
        <v>H22330</v>
      </c>
      <c r="AK467" s="1030" t="str">
        <f t="shared" si="28"/>
        <v>TAXE DE LUXE</v>
      </c>
      <c r="AL467" s="1030" t="str">
        <f>IFERROR(INDEX(G467:R467,1,MATCH(Parametres!$B$3,G$1:R$1,0)-1)*IF(OR(F467="L",F467="S",F467="I"),-1,1),"")</f>
        <v/>
      </c>
      <c r="AM467" s="1030">
        <f t="shared" si="29"/>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30"/>
        <v>H22330</v>
      </c>
      <c r="AU467" s="599" t="str">
        <f t="shared" si="30"/>
        <v>TAXE DE LUXE</v>
      </c>
      <c r="AV467" s="1030" t="str">
        <f>IFERROR(INDEX(V467:AG467,1,MATCH(Parametres!$B$3,V$1:AG$1,0)-1)*IF(OR(C467="L",C467="S",C467="I"),-1,1),"")</f>
        <v/>
      </c>
      <c r="AW467" s="1030">
        <f t="shared" si="31"/>
        <v>0</v>
      </c>
      <c r="AX467" s="1030">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ref="AJ468:AK531" si="32">C468</f>
        <v>H22350</v>
      </c>
      <c r="AK468" s="1030" t="str">
        <f t="shared" si="32"/>
        <v>TPS A RECEVOIR</v>
      </c>
      <c r="AL468" s="1030" t="str">
        <f>IFERROR(INDEX(G468:R468,1,MATCH(Parametres!$B$3,G$1:R$1,0)-1)*IF(OR(F468="L",F468="S",F468="I"),-1,1),"")</f>
        <v/>
      </c>
      <c r="AM468" s="1030">
        <f t="shared" si="29"/>
        <v>-28896.55</v>
      </c>
      <c r="AN468" s="1030">
        <f>INDEX(G468:R468,1,MATCH(Parametres!$B$3,G$1:R$1,0))*IF(OR(F468="L",F468="S",F468="I"),-1,1)</f>
        <v>-28896.55</v>
      </c>
      <c r="AO468" s="598" t="e">
        <f>+VLOOKUP($AJ468,Data_Validation!$A:$D,1,0)</f>
        <v>#N/A</v>
      </c>
      <c r="AP468" s="598" t="e">
        <f>+VLOOKUP($AJ468,Data_Validation!$A:$D,3,0)</f>
        <v>#N/A</v>
      </c>
      <c r="AQ468" s="598" t="e">
        <f>+VLOOKUP($AJ468,Data_Validation!$A:$D,4,0)</f>
        <v>#N/A</v>
      </c>
      <c r="AR468" s="598" t="s">
        <v>299</v>
      </c>
      <c r="AS468" s="598" t="e">
        <f>+VLOOKUP($AJ468,Data_Validation!$A:$E,5,0)</f>
        <v>#N/A</v>
      </c>
      <c r="AT468" s="1036" t="str">
        <f t="shared" si="30"/>
        <v>H22350</v>
      </c>
      <c r="AU468" s="599" t="str">
        <f t="shared" si="30"/>
        <v>TPS A RECEVOIR</v>
      </c>
      <c r="AV468" s="1030" t="str">
        <f>IFERROR(INDEX(V468:AG468,1,MATCH(Parametres!$B$3,V$1:AG$1,0)-1)*IF(OR(C468="L",C468="S",C468="I"),-1,1),"")</f>
        <v/>
      </c>
      <c r="AW468" s="1030">
        <f t="shared" si="31"/>
        <v>0</v>
      </c>
      <c r="AX468" s="1030">
        <f>INDEX(V468:AG468,1,MATCH(Parametres!$B$3,V$1:AG$1,0))*IF(OR(C468="L",C468="S",C468="I"),-1,1)</f>
        <v>0</v>
      </c>
      <c r="AY468" s="598" t="s">
        <v>337</v>
      </c>
      <c r="AZ468" s="598" t="e">
        <f>+VLOOKUP($AJ468,Data_Validation!$A:$E,5,0)</f>
        <v>#N/A</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32"/>
        <v>H22360</v>
      </c>
      <c r="AK469" s="1030" t="str">
        <f t="shared" si="32"/>
        <v>TPS A PAYER</v>
      </c>
      <c r="AL469" s="1030" t="str">
        <f>IFERROR(INDEX(G469:R469,1,MATCH(Parametres!$B$3,G$1:R$1,0)-1)*IF(OR(F469="L",F469="S",F469="I"),-1,1),"")</f>
        <v/>
      </c>
      <c r="AM469" s="1030">
        <f t="shared" si="29"/>
        <v>44761.27</v>
      </c>
      <c r="AN469" s="1030">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6" t="str">
        <f t="shared" si="30"/>
        <v>H22360</v>
      </c>
      <c r="AU469" s="599" t="str">
        <f t="shared" si="30"/>
        <v>TPS A PAYER</v>
      </c>
      <c r="AV469" s="1030" t="str">
        <f>IFERROR(INDEX(V469:AG469,1,MATCH(Parametres!$B$3,V$1:AG$1,0)-1)*IF(OR(C469="L",C469="S",C469="I"),-1,1),"")</f>
        <v/>
      </c>
      <c r="AW469" s="1030">
        <f t="shared" si="31"/>
        <v>0</v>
      </c>
      <c r="AX469" s="1030">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32"/>
        <v>H22370</v>
      </c>
      <c r="AK470" s="1030" t="str">
        <f t="shared" si="32"/>
        <v>TVH ONTARIO 13%</v>
      </c>
      <c r="AL470" s="1030" t="str">
        <f>IFERROR(INDEX(G470:R470,1,MATCH(Parametres!$B$3,G$1:R$1,0)-1)*IF(OR(F470="L",F470="S",F470="I"),-1,1),"")</f>
        <v/>
      </c>
      <c r="AM470" s="1030">
        <f t="shared" si="29"/>
        <v>41.72</v>
      </c>
      <c r="AN470" s="1030">
        <f>INDEX(G470:R470,1,MATCH(Parametres!$B$3,G$1:R$1,0))*IF(OR(F470="L",F470="S",F470="I"),-1,1)</f>
        <v>41.72</v>
      </c>
      <c r="AO470" s="598" t="e">
        <f>+VLOOKUP($AJ470,Data_Validation!$A:$D,1,0)</f>
        <v>#N/A</v>
      </c>
      <c r="AP470" s="598" t="e">
        <f>+VLOOKUP($AJ470,Data_Validation!$A:$D,3,0)</f>
        <v>#N/A</v>
      </c>
      <c r="AQ470" s="598" t="e">
        <f>+VLOOKUP($AJ470,Data_Validation!$A:$D,4,0)</f>
        <v>#N/A</v>
      </c>
      <c r="AR470" s="598" t="s">
        <v>299</v>
      </c>
      <c r="AS470" s="598" t="e">
        <f>+VLOOKUP($AJ470,Data_Validation!$A:$E,5,0)</f>
        <v>#N/A</v>
      </c>
      <c r="AT470" s="1036" t="str">
        <f t="shared" si="30"/>
        <v>H22370</v>
      </c>
      <c r="AU470" s="599" t="str">
        <f t="shared" si="30"/>
        <v>TVH ONTARIO 13%</v>
      </c>
      <c r="AV470" s="1030" t="str">
        <f>IFERROR(INDEX(V470:AG470,1,MATCH(Parametres!$B$3,V$1:AG$1,0)-1)*IF(OR(C470="L",C470="S",C470="I"),-1,1),"")</f>
        <v/>
      </c>
      <c r="AW470" s="1030">
        <f t="shared" si="31"/>
        <v>0</v>
      </c>
      <c r="AX470" s="1030">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32"/>
        <v>H22400</v>
      </c>
      <c r="AK471" s="1030" t="str">
        <f t="shared" si="32"/>
        <v>PPH A PAYER</v>
      </c>
      <c r="AL471" s="1030" t="str">
        <f>IFERROR(INDEX(G471:R471,1,MATCH(Parametres!$B$3,G$1:R$1,0)-1)*IF(OR(F471="L",F471="S",F471="I"),-1,1),"")</f>
        <v/>
      </c>
      <c r="AM471" s="1030">
        <f t="shared" si="29"/>
        <v>-26387.55</v>
      </c>
      <c r="AN471" s="1030">
        <f>INDEX(G471:R471,1,MATCH(Parametres!$B$3,G$1:R$1,0))*IF(OR(F471="L",F471="S",F471="I"),-1,1)</f>
        <v>-26387.55</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30"/>
        <v>H22400</v>
      </c>
      <c r="AU471" s="599" t="str">
        <f t="shared" si="30"/>
        <v>PPH A PAYER</v>
      </c>
      <c r="AV471" s="1030" t="str">
        <f>IFERROR(INDEX(V471:AG471,1,MATCH(Parametres!$B$3,V$1:AG$1,0)-1)*IF(OR(C471="L",C471="S",C471="I"),-1,1),"")</f>
        <v/>
      </c>
      <c r="AW471" s="1030">
        <f t="shared" si="31"/>
        <v>0</v>
      </c>
      <c r="AX471" s="1030">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32"/>
        <v>H22410</v>
      </c>
      <c r="AK472" s="1030" t="str">
        <f t="shared" si="32"/>
        <v>RESERVE DOMMAGE VEH NEUF</v>
      </c>
      <c r="AL472" s="1030" t="str">
        <f>IFERROR(INDEX(G472:R472,1,MATCH(Parametres!$B$3,G$1:R$1,0)-1)*IF(OR(F472="L",F472="S",F472="I"),-1,1),"")</f>
        <v/>
      </c>
      <c r="AM472" s="1030">
        <f t="shared" si="29"/>
        <v>0</v>
      </c>
      <c r="AN472" s="1030">
        <f>INDEX(G472:R472,1,MATCH(Parametres!$B$3,G$1:R$1,0))*IF(OR(F472="L",F472="S",F472="I"),-1,1)</f>
        <v>0</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30"/>
        <v>H22410</v>
      </c>
      <c r="AU472" s="599" t="str">
        <f t="shared" si="30"/>
        <v>RESERVE DOMMAGE VEH NEUF</v>
      </c>
      <c r="AV472" s="1030" t="str">
        <f>IFERROR(INDEX(V472:AG472,1,MATCH(Parametres!$B$3,V$1:AG$1,0)-1)*IF(OR(C472="L",C472="S",C472="I"),-1,1),"")</f>
        <v/>
      </c>
      <c r="AW472" s="1030">
        <f t="shared" si="31"/>
        <v>0</v>
      </c>
      <c r="AX472" s="1030">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32"/>
        <v>H22415</v>
      </c>
      <c r="AK473" s="1030" t="str">
        <f t="shared" si="32"/>
        <v>RESERVE F&amp;I NEUF + USED</v>
      </c>
      <c r="AL473" s="1030" t="str">
        <f>IFERROR(INDEX(G473:R473,1,MATCH(Parametres!$B$3,G$1:R$1,0)-1)*IF(OR(F473="L",F473="S",F473="I"),-1,1),"")</f>
        <v/>
      </c>
      <c r="AM473" s="1030">
        <f t="shared" si="29"/>
        <v>0</v>
      </c>
      <c r="AN473" s="1030">
        <f>INDEX(G473:R473,1,MATCH(Parametres!$B$3,G$1:R$1,0))*IF(OR(F473="L",F473="S",F473="I"),-1,1)</f>
        <v>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30"/>
        <v>H22415</v>
      </c>
      <c r="AU473" s="599" t="str">
        <f t="shared" si="30"/>
        <v>RESERVE F&amp;I NEUF + USED</v>
      </c>
      <c r="AV473" s="1030" t="str">
        <f>IFERROR(INDEX(V473:AG473,1,MATCH(Parametres!$B$3,V$1:AG$1,0)-1)*IF(OR(C473="L",C473="S",C473="I"),-1,1),"")</f>
        <v/>
      </c>
      <c r="AW473" s="1030">
        <f t="shared" si="31"/>
        <v>0</v>
      </c>
      <c r="AX473" s="1030">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32"/>
        <v>H22416</v>
      </c>
      <c r="AK474" s="1030" t="str">
        <f t="shared" si="32"/>
        <v>RESERVE DOMMAGE SERVICE</v>
      </c>
      <c r="AL474" s="1030" t="str">
        <f>IFERROR(INDEX(G474:R474,1,MATCH(Parametres!$B$3,G$1:R$1,0)-1)*IF(OR(F474="L",F474="S",F474="I"),-1,1),"")</f>
        <v/>
      </c>
      <c r="AM474" s="1030">
        <f t="shared" si="29"/>
        <v>0</v>
      </c>
      <c r="AN474" s="1030">
        <f>INDEX(G474:R474,1,MATCH(Parametres!$B$3,G$1:R$1,0))*IF(OR(F474="L",F474="S",F474="I"),-1,1)</f>
        <v>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30"/>
        <v>H22416</v>
      </c>
      <c r="AU474" s="599" t="str">
        <f t="shared" si="30"/>
        <v>RESERVE DOMMAGE SERVICE</v>
      </c>
      <c r="AV474" s="1030" t="str">
        <f>IFERROR(INDEX(V474:AG474,1,MATCH(Parametres!$B$3,V$1:AG$1,0)-1)*IF(OR(C474="L",C474="S",C474="I"),-1,1),"")</f>
        <v/>
      </c>
      <c r="AW474" s="1030">
        <f t="shared" si="31"/>
        <v>0</v>
      </c>
      <c r="AX474" s="1030">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32"/>
        <v>H22417</v>
      </c>
      <c r="AK475" s="1030" t="str">
        <f t="shared" si="32"/>
        <v>RESERVE PARTY-EMPLOYES</v>
      </c>
      <c r="AL475" s="1030" t="str">
        <f>IFERROR(INDEX(G475:R475,1,MATCH(Parametres!$B$3,G$1:R$1,0)-1)*IF(OR(F475="L",F475="S",F475="I"),-1,1),"")</f>
        <v/>
      </c>
      <c r="AM475" s="1030">
        <f t="shared" si="29"/>
        <v>0</v>
      </c>
      <c r="AN475" s="1030">
        <f>INDEX(G475:R475,1,MATCH(Parametres!$B$3,G$1:R$1,0))*IF(OR(F475="L",F475="S",F475="I"),-1,1)</f>
        <v>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30"/>
        <v>H22417</v>
      </c>
      <c r="AU475" s="599" t="str">
        <f t="shared" si="30"/>
        <v>RESERVE PARTY-EMPLOYES</v>
      </c>
      <c r="AV475" s="1030" t="str">
        <f>IFERROR(INDEX(V475:AG475,1,MATCH(Parametres!$B$3,V$1:AG$1,0)-1)*IF(OR(C475="L",C475="S",C475="I"),-1,1),"")</f>
        <v/>
      </c>
      <c r="AW475" s="1030">
        <f t="shared" si="31"/>
        <v>0</v>
      </c>
      <c r="AX475" s="1030">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32"/>
        <v>H22420</v>
      </c>
      <c r="AK476" s="1030" t="str">
        <f t="shared" si="32"/>
        <v>PROGRAMME ENTRETIEN</v>
      </c>
      <c r="AL476" s="1030" t="str">
        <f>IFERROR(INDEX(G476:R476,1,MATCH(Parametres!$B$3,G$1:R$1,0)-1)*IF(OR(F476="L",F476="S",F476="I"),-1,1),"")</f>
        <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30"/>
        <v>H22420</v>
      </c>
      <c r="AU476" s="599" t="str">
        <f t="shared" si="30"/>
        <v>PROGRAMME ENTRETIEN</v>
      </c>
      <c r="AV476" s="1030" t="str">
        <f>IFERROR(INDEX(V476:AG476,1,MATCH(Parametres!$B$3,V$1:AG$1,0)-1)*IF(OR(C476="L",C476="S",C476="I"),-1,1),"")</f>
        <v/>
      </c>
      <c r="AW476" s="1030">
        <f t="shared" si="31"/>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32"/>
        <v>H22430</v>
      </c>
      <c r="AK477" s="1030" t="str">
        <f t="shared" si="32"/>
        <v>DEDUCTIBLE DEMOS</v>
      </c>
      <c r="AL477" s="1030" t="str">
        <f>IFERROR(INDEX(G477:R477,1,MATCH(Parametres!$B$3,G$1:R$1,0)-1)*IF(OR(F477="L",F477="S",F477="I"),-1,1),"")</f>
        <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30"/>
        <v>H22430</v>
      </c>
      <c r="AU477" s="599" t="str">
        <f t="shared" si="30"/>
        <v>DEDUCTIBLE DEMOS</v>
      </c>
      <c r="AV477" s="1030" t="str">
        <f>IFERROR(INDEX(V477:AG477,1,MATCH(Parametres!$B$3,V$1:AG$1,0)-1)*IF(OR(C477="L",C477="S",C477="I"),-1,1),"")</f>
        <v/>
      </c>
      <c r="AW477" s="1030">
        <f t="shared" si="31"/>
        <v>0</v>
      </c>
      <c r="AX477" s="1030">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32"/>
        <v>H22440</v>
      </c>
      <c r="AK478" s="1030" t="str">
        <f t="shared" si="32"/>
        <v>RES FRAIS DEMO FONC</v>
      </c>
      <c r="AL478" s="1030" t="str">
        <f>IFERROR(INDEX(G478:R478,1,MATCH(Parametres!$B$3,G$1:R$1,0)-1)*IF(OR(F478="L",F478="S",F478="I"),-1,1),"")</f>
        <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30"/>
        <v>H22440</v>
      </c>
      <c r="AU478" s="599" t="str">
        <f t="shared" si="30"/>
        <v>RES FRAIS DEMO FONC</v>
      </c>
      <c r="AV478" s="1030" t="str">
        <f>IFERROR(INDEX(V478:AG478,1,MATCH(Parametres!$B$3,V$1:AG$1,0)-1)*IF(OR(C478="L",C478="S",C478="I"),-1,1),"")</f>
        <v/>
      </c>
      <c r="AW478" s="1030">
        <f t="shared" si="31"/>
        <v>0</v>
      </c>
      <c r="AX478" s="1030">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32"/>
        <v>H22450</v>
      </c>
      <c r="AK479" s="1030" t="str">
        <f t="shared" si="32"/>
        <v>TAXES</v>
      </c>
      <c r="AL479" s="1030" t="str">
        <f>IFERROR(INDEX(G479:R479,1,MATCH(Parametres!$B$3,G$1:R$1,0)-1)*IF(OR(F479="L",F479="S",F479="I"),-1,1),"")</f>
        <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30"/>
        <v>H22450</v>
      </c>
      <c r="AU479" s="599" t="str">
        <f t="shared" si="30"/>
        <v>TAXES</v>
      </c>
      <c r="AV479" s="1030" t="str">
        <f>IFERROR(INDEX(V479:AG479,1,MATCH(Parametres!$B$3,V$1:AG$1,0)-1)*IF(OR(C479="L",C479="S",C479="I"),-1,1),"")</f>
        <v/>
      </c>
      <c r="AW479" s="1030">
        <f t="shared" si="31"/>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32"/>
        <v>H22460</v>
      </c>
      <c r="AK480" s="1030" t="str">
        <f t="shared" si="32"/>
        <v>ASSURANCES</v>
      </c>
      <c r="AL480" s="1030" t="str">
        <f>IFERROR(INDEX(G480:R480,1,MATCH(Parametres!$B$3,G$1:R$1,0)-1)*IF(OR(F480="L",F480="S",F480="I"),-1,1),"")</f>
        <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30"/>
        <v>H22460</v>
      </c>
      <c r="AU480" s="599" t="str">
        <f t="shared" si="30"/>
        <v>ASSURANCES</v>
      </c>
      <c r="AV480" s="1030" t="str">
        <f>IFERROR(INDEX(V480:AG480,1,MATCH(Parametres!$B$3,V$1:AG$1,0)-1)*IF(OR(C480="L",C480="S",C480="I"),-1,1),"")</f>
        <v/>
      </c>
      <c r="AW480" s="1030">
        <f t="shared" si="31"/>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32"/>
        <v>H22490</v>
      </c>
      <c r="AK481" s="1030" t="str">
        <f t="shared" si="32"/>
        <v>ACCESS VENDU NON INSTALLÉ</v>
      </c>
      <c r="AL481" s="1030" t="str">
        <f>IFERROR(INDEX(G481:R481,1,MATCH(Parametres!$B$3,G$1:R$1,0)-1)*IF(OR(F481="L",F481="S",F481="I"),-1,1),"")</f>
        <v/>
      </c>
      <c r="AM481" s="1030">
        <f t="shared" si="29"/>
        <v>-2879.61</v>
      </c>
      <c r="AN481" s="1030">
        <f>INDEX(G481:R481,1,MATCH(Parametres!$B$3,G$1:R$1,0))*IF(OR(F481="L",F481="S",F481="I"),-1,1)</f>
        <v>-2879.61</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30"/>
        <v>H22490</v>
      </c>
      <c r="AU481" s="599" t="str">
        <f t="shared" si="30"/>
        <v>ACCESS VENDU NON INSTALLÉ</v>
      </c>
      <c r="AV481" s="1030" t="str">
        <f>IFERROR(INDEX(V481:AG481,1,MATCH(Parametres!$B$3,V$1:AG$1,0)-1)*IF(OR(C481="L",C481="S",C481="I"),-1,1),"")</f>
        <v/>
      </c>
      <c r="AW481" s="1030">
        <f t="shared" si="31"/>
        <v>0</v>
      </c>
      <c r="AX481" s="1030">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32"/>
        <v>H22500</v>
      </c>
      <c r="AK482" s="1030" t="str">
        <f t="shared" si="32"/>
        <v>PAIE NET A PAYER</v>
      </c>
      <c r="AL482" s="1030" t="str">
        <f>IFERROR(INDEX(G482:R482,1,MATCH(Parametres!$B$3,G$1:R$1,0)-1)*IF(OR(F482="L",F482="S",F482="I"),-1,1),"")</f>
        <v/>
      </c>
      <c r="AM482" s="1030">
        <f t="shared" si="29"/>
        <v>249653.62</v>
      </c>
      <c r="AN482" s="1030">
        <f>INDEX(G482:R482,1,MATCH(Parametres!$B$3,G$1:R$1,0))*IF(OR(F482="L",F482="S",F482="I"),-1,1)</f>
        <v>249653.62</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30"/>
        <v>H22500</v>
      </c>
      <c r="AU482" s="599" t="str">
        <f t="shared" si="30"/>
        <v>PAIE NET A PAYER</v>
      </c>
      <c r="AV482" s="1030" t="str">
        <f>IFERROR(INDEX(V482:AG482,1,MATCH(Parametres!$B$3,V$1:AG$1,0)-1)*IF(OR(C482="L",C482="S",C482="I"),-1,1),"")</f>
        <v/>
      </c>
      <c r="AW482" s="1030">
        <f t="shared" si="31"/>
        <v>0</v>
      </c>
      <c r="AX482" s="1030">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32"/>
        <v>H22500E</v>
      </c>
      <c r="AK483" s="1030" t="str">
        <f t="shared" si="32"/>
        <v>SALAIRES A PAYER - IN/OUT</v>
      </c>
      <c r="AL483" s="1030" t="str">
        <f>IFERROR(INDEX(G483:R483,1,MATCH(Parametres!$B$3,G$1:R$1,0)-1)*IF(OR(F483="L",F483="S",F483="I"),-1,1),"")</f>
        <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30"/>
        <v>H22500E</v>
      </c>
      <c r="AU483" s="599" t="str">
        <f t="shared" si="30"/>
        <v>SALAIRES A PAYER - IN/OUT</v>
      </c>
      <c r="AV483" s="1030" t="str">
        <f>IFERROR(INDEX(V483:AG483,1,MATCH(Parametres!$B$3,V$1:AG$1,0)-1)*IF(OR(C483="L",C483="S",C483="I"),-1,1),"")</f>
        <v/>
      </c>
      <c r="AW483" s="1030">
        <f t="shared" si="31"/>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32"/>
        <v>H22500G</v>
      </c>
      <c r="AK484" s="1030" t="str">
        <f t="shared" si="32"/>
        <v>DEDUCTIONS A PAYER/IN-OUT</v>
      </c>
      <c r="AL484" s="1030" t="str">
        <f>IFERROR(INDEX(G484:R484,1,MATCH(Parametres!$B$3,G$1:R$1,0)-1)*IF(OR(F484="L",F484="S",F484="I"),-1,1),"")</f>
        <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30"/>
        <v>H22500G</v>
      </c>
      <c r="AU484" s="599" t="str">
        <f t="shared" si="30"/>
        <v>DEDUCTIONS A PAYER/IN-OUT</v>
      </c>
      <c r="AV484" s="1030" t="str">
        <f>IFERROR(INDEX(V484:AG484,1,MATCH(Parametres!$B$3,V$1:AG$1,0)-1)*IF(OR(C484="L",C484="S",C484="I"),-1,1),"")</f>
        <v/>
      </c>
      <c r="AW484" s="1030">
        <f t="shared" si="31"/>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32"/>
        <v>H22600</v>
      </c>
      <c r="AK485" s="1030" t="str">
        <f t="shared" si="32"/>
        <v>VACANCES &amp; CONGES A PAYES</v>
      </c>
      <c r="AL485" s="1030" t="str">
        <f>IFERROR(INDEX(G485:R485,1,MATCH(Parametres!$B$3,G$1:R$1,0)-1)*IF(OR(F485="L",F485="S",F485="I"),-1,1),"")</f>
        <v/>
      </c>
      <c r="AM485" s="1030">
        <f t="shared" si="29"/>
        <v>-167163.49</v>
      </c>
      <c r="AN485" s="1030">
        <f>INDEX(G485:R485,1,MATCH(Parametres!$B$3,G$1:R$1,0))*IF(OR(F485="L",F485="S",F485="I"),-1,1)</f>
        <v>-167163.49</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30"/>
        <v>H22600</v>
      </c>
      <c r="AU485" s="599" t="str">
        <f t="shared" si="30"/>
        <v>VACANCES &amp; CONGES A PAYES</v>
      </c>
      <c r="AV485" s="1030" t="str">
        <f>IFERROR(INDEX(V485:AG485,1,MATCH(Parametres!$B$3,V$1:AG$1,0)-1)*IF(OR(C485="L",C485="S",C485="I"),-1,1),"")</f>
        <v/>
      </c>
      <c r="AW485" s="1030">
        <f t="shared" si="31"/>
        <v>0</v>
      </c>
      <c r="AX485" s="1030">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32"/>
        <v>H22700</v>
      </c>
      <c r="AK486" s="1030" t="str">
        <f t="shared" si="32"/>
        <v>INTERETS COURUS</v>
      </c>
      <c r="AL486" s="1030" t="str">
        <f>IFERROR(INDEX(G486:R486,1,MATCH(Parametres!$B$3,G$1:R$1,0)-1)*IF(OR(F486="L",F486="S",F486="I"),-1,1),"")</f>
        <v/>
      </c>
      <c r="AM486" s="1030">
        <f t="shared" si="29"/>
        <v>1165.54</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30"/>
        <v>H22700</v>
      </c>
      <c r="AU486" s="599" t="str">
        <f t="shared" si="30"/>
        <v>INTERETS COURUS</v>
      </c>
      <c r="AV486" s="1030" t="str">
        <f>IFERROR(INDEX(V486:AG486,1,MATCH(Parametres!$B$3,V$1:AG$1,0)-1)*IF(OR(C486="L",C486="S",C486="I"),-1,1),"")</f>
        <v/>
      </c>
      <c r="AW486" s="1030">
        <f t="shared" si="31"/>
        <v>0</v>
      </c>
      <c r="AX486" s="1030">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32"/>
        <v>H22800</v>
      </c>
      <c r="AK487" s="1030" t="str">
        <f t="shared" si="32"/>
        <v>RESERVE DIVERS</v>
      </c>
      <c r="AL487" s="1030" t="str">
        <f>IFERROR(INDEX(G487:R487,1,MATCH(Parametres!$B$3,G$1:R$1,0)-1)*IF(OR(F487="L",F487="S",F487="I"),-1,1),"")</f>
        <v/>
      </c>
      <c r="AM487" s="1030">
        <f t="shared" si="29"/>
        <v>-578076.74</v>
      </c>
      <c r="AN487" s="1030">
        <f>INDEX(G487:R487,1,MATCH(Parametres!$B$3,G$1:R$1,0))*IF(OR(F487="L",F487="S",F487="I"),-1,1)</f>
        <v>-578076.74</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30"/>
        <v>H22800</v>
      </c>
      <c r="AU487" s="599" t="str">
        <f t="shared" si="30"/>
        <v>RESERVE DIVERS</v>
      </c>
      <c r="AV487" s="1030" t="str">
        <f>IFERROR(INDEX(V487:AG487,1,MATCH(Parametres!$B$3,V$1:AG$1,0)-1)*IF(OR(C487="L",C487="S",C487="I"),-1,1),"")</f>
        <v/>
      </c>
      <c r="AW487" s="1030">
        <f t="shared" si="31"/>
        <v>0</v>
      </c>
      <c r="AX487" s="1030">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32"/>
        <v>H22810</v>
      </c>
      <c r="AK488" s="1030" t="str">
        <f t="shared" si="32"/>
        <v>RESERVE DEDUC GAR REMPLAC</v>
      </c>
      <c r="AL488" s="1030" t="str">
        <f>IFERROR(INDEX(G488:R488,1,MATCH(Parametres!$B$3,G$1:R$1,0)-1)*IF(OR(F488="L",F488="S",F488="I"),-1,1),"")</f>
        <v/>
      </c>
      <c r="AM488" s="1030">
        <f t="shared" si="29"/>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30"/>
        <v>H22810</v>
      </c>
      <c r="AU488" s="599" t="str">
        <f t="shared" si="30"/>
        <v>RESERVE DEDUC GAR REMPLAC</v>
      </c>
      <c r="AV488" s="1030" t="str">
        <f>IFERROR(INDEX(V488:AG488,1,MATCH(Parametres!$B$3,V$1:AG$1,0)-1)*IF(OR(C488="L",C488="S",C488="I"),-1,1),"")</f>
        <v/>
      </c>
      <c r="AW488" s="1030">
        <f t="shared" si="31"/>
        <v>0</v>
      </c>
      <c r="AX488" s="1030">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32"/>
        <v>H22820</v>
      </c>
      <c r="AK489" s="1030" t="str">
        <f t="shared" si="32"/>
        <v>RESERVE HPP USED</v>
      </c>
      <c r="AL489" s="1030" t="str">
        <f>IFERROR(INDEX(G489:R489,1,MATCH(Parametres!$B$3,G$1:R$1,0)-1)*IF(OR(F489="L",F489="S",F489="I"),-1,1),"")</f>
        <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t="str">
        <f t="shared" si="30"/>
        <v>H22820</v>
      </c>
      <c r="AU489" s="599" t="str">
        <f t="shared" si="30"/>
        <v>RESERVE HPP USED</v>
      </c>
      <c r="AV489" s="1030" t="str">
        <f>IFERROR(INDEX(V489:AG489,1,MATCH(Parametres!$B$3,V$1:AG$1,0)-1)*IF(OR(C489="L",C489="S",C489="I"),-1,1),"")</f>
        <v/>
      </c>
      <c r="AW489" s="1030">
        <f t="shared" si="31"/>
        <v>0</v>
      </c>
      <c r="AX489" s="1030">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32"/>
        <v>H22830</v>
      </c>
      <c r="AK490" s="1030" t="str">
        <f t="shared" si="32"/>
        <v>RESERVE PARE-BRISE/HASARD</v>
      </c>
      <c r="AL490" s="1030" t="str">
        <f>IFERROR(INDEX(G490:R490,1,MATCH(Parametres!$B$3,G$1:R$1,0)-1)*IF(OR(F490="L",F490="S",F490="I"),-1,1),"")</f>
        <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30"/>
        <v>H22830</v>
      </c>
      <c r="AU490" s="599" t="str">
        <f t="shared" si="30"/>
        <v>RESERVE PARE-BRISE/HASARD</v>
      </c>
      <c r="AV490" s="1030" t="str">
        <f>IFERROR(INDEX(V490:AG490,1,MATCH(Parametres!$B$3,V$1:AG$1,0)-1)*IF(OR(C490="L",C490="S",C490="I"),-1,1),"")</f>
        <v/>
      </c>
      <c r="AW490" s="1030">
        <f t="shared" si="31"/>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32"/>
        <v>H22840</v>
      </c>
      <c r="AK491" s="1030" t="str">
        <f t="shared" si="32"/>
        <v>RESERVE ENT ESTHETIQUE</v>
      </c>
      <c r="AL491" s="1030" t="str">
        <f>IFERROR(INDEX(G491:R491,1,MATCH(Parametres!$B$3,G$1:R$1,0)-1)*IF(OR(F491="L",F491="S",F491="I"),-1,1),"")</f>
        <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30"/>
        <v>H22840</v>
      </c>
      <c r="AU491" s="599" t="str">
        <f t="shared" si="30"/>
        <v>RESERVE ENT ESTHETIQUE</v>
      </c>
      <c r="AV491" s="1030" t="str">
        <f>IFERROR(INDEX(V491:AG491,1,MATCH(Parametres!$B$3,V$1:AG$1,0)-1)*IF(OR(C491="L",C491="S",C491="I"),-1,1),"")</f>
        <v/>
      </c>
      <c r="AW491" s="1030">
        <f t="shared" si="31"/>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32"/>
        <v>H22850</v>
      </c>
      <c r="AK492" s="1030" t="str">
        <f t="shared" si="32"/>
        <v>RESERVE PNEUS REMISAGE</v>
      </c>
      <c r="AL492" s="1030" t="str">
        <f>IFERROR(INDEX(G492:R492,1,MATCH(Parametres!$B$3,G$1:R$1,0)-1)*IF(OR(F492="L",F492="S",F492="I"),-1,1),"")</f>
        <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30"/>
        <v>H22850</v>
      </c>
      <c r="AU492" s="599" t="str">
        <f t="shared" si="30"/>
        <v>RESERVE PNEUS REMISAGE</v>
      </c>
      <c r="AV492" s="1030" t="str">
        <f>IFERROR(INDEX(V492:AG492,1,MATCH(Parametres!$B$3,V$1:AG$1,0)-1)*IF(OR(C492="L",C492="S",C492="I"),-1,1),"")</f>
        <v/>
      </c>
      <c r="AW492" s="1030">
        <f t="shared" si="31"/>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32"/>
        <v>H22860</v>
      </c>
      <c r="AK493" s="1030" t="str">
        <f t="shared" si="32"/>
        <v>RESERVE CORE HYUNDAI INCI</v>
      </c>
      <c r="AL493" s="1030" t="str">
        <f>IFERROR(INDEX(G493:R493,1,MATCH(Parametres!$B$3,G$1:R$1,0)-1)*IF(OR(F493="L",F493="S",F493="I"),-1,1),"")</f>
        <v/>
      </c>
      <c r="AM493" s="1030">
        <f t="shared" si="29"/>
        <v>1504</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30"/>
        <v>H22860</v>
      </c>
      <c r="AU493" s="599" t="str">
        <f t="shared" si="30"/>
        <v>RESERVE CORE HYUNDAI INCI</v>
      </c>
      <c r="AV493" s="1030" t="str">
        <f>IFERROR(INDEX(V493:AG493,1,MATCH(Parametres!$B$3,V$1:AG$1,0)-1)*IF(OR(C493="L",C493="S",C493="I"),-1,1),"")</f>
        <v/>
      </c>
      <c r="AW493" s="1030">
        <f t="shared" si="31"/>
        <v>0</v>
      </c>
      <c r="AX493" s="1030">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32"/>
        <v>H22870</v>
      </c>
      <c r="AK494" s="1030" t="str">
        <f t="shared" si="32"/>
        <v>RESERVE MOTEURS</v>
      </c>
      <c r="AL494" s="1030" t="str">
        <f>IFERROR(INDEX(G494:R494,1,MATCH(Parametres!$B$3,G$1:R$1,0)-1)*IF(OR(F494="L",F494="S",F494="I"),-1,1),"")</f>
        <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30"/>
        <v>H22870</v>
      </c>
      <c r="AU494" s="599" t="str">
        <f t="shared" si="30"/>
        <v>RESERVE MOTEURS</v>
      </c>
      <c r="AV494" s="1030" t="str">
        <f>IFERROR(INDEX(V494:AG494,1,MATCH(Parametres!$B$3,V$1:AG$1,0)-1)*IF(OR(C494="L",C494="S",C494="I"),-1,1),"")</f>
        <v/>
      </c>
      <c r="AW494" s="1030">
        <f t="shared" si="31"/>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32"/>
        <v>H22900</v>
      </c>
      <c r="AK495" s="1030" t="str">
        <f t="shared" si="32"/>
        <v>MACHINE A CAFE</v>
      </c>
      <c r="AL495" s="1030" t="str">
        <f>IFERROR(INDEX(G495:R495,1,MATCH(Parametres!$B$3,G$1:R$1,0)-1)*IF(OR(F495="L",F495="S",F495="I"),-1,1),"")</f>
        <v/>
      </c>
      <c r="AM495" s="1030">
        <f t="shared" si="29"/>
        <v>3176.43</v>
      </c>
      <c r="AN495" s="1030">
        <f>INDEX(G495:R495,1,MATCH(Parametres!$B$3,G$1:R$1,0))*IF(OR(F495="L",F495="S",F495="I"),-1,1)</f>
        <v>3176.43</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30"/>
        <v>H22900</v>
      </c>
      <c r="AU495" s="599" t="str">
        <f t="shared" si="30"/>
        <v>MACHINE A CAFE</v>
      </c>
      <c r="AV495" s="1030" t="str">
        <f>IFERROR(INDEX(V495:AG495,1,MATCH(Parametres!$B$3,V$1:AG$1,0)-1)*IF(OR(C495="L",C495="S",C495="I"),-1,1),"")</f>
        <v/>
      </c>
      <c r="AW495" s="1030">
        <f t="shared" si="31"/>
        <v>0</v>
      </c>
      <c r="AX495" s="1030">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32"/>
        <v>H22901</v>
      </c>
      <c r="AK496" s="1030" t="str">
        <f t="shared" si="32"/>
        <v>HOLDBACK</v>
      </c>
      <c r="AL496" s="1030" t="str">
        <f>IFERROR(INDEX(G496:R496,1,MATCH(Parametres!$B$3,G$1:R$1,0)-1)*IF(OR(F496="L",F496="S",F496="I"),-1,1),"")</f>
        <v/>
      </c>
      <c r="AM496" s="1030">
        <f t="shared" si="29"/>
        <v>0</v>
      </c>
      <c r="AN496" s="1030">
        <f>INDEX(G496:R496,1,MATCH(Parametres!$B$3,G$1:R$1,0))*IF(OR(F496="L",F496="S",F496="I"),-1,1)</f>
        <v>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30"/>
        <v>H22901</v>
      </c>
      <c r="AU496" s="599" t="str">
        <f t="shared" si="30"/>
        <v>HOLDBACK</v>
      </c>
      <c r="AV496" s="1030" t="str">
        <f>IFERROR(INDEX(V496:AG496,1,MATCH(Parametres!$B$3,V$1:AG$1,0)-1)*IF(OR(C496="L",C496="S",C496="I"),-1,1),"")</f>
        <v/>
      </c>
      <c r="AW496" s="1030">
        <f t="shared" si="31"/>
        <v>0</v>
      </c>
      <c r="AX496" s="1030">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32"/>
        <v>H23100</v>
      </c>
      <c r="AK497" s="1030" t="str">
        <f t="shared" si="32"/>
        <v>IMPOT-ANNEE COURANT</v>
      </c>
      <c r="AL497" s="1030" t="str">
        <f>IFERROR(INDEX(G497:R497,1,MATCH(Parametres!$B$3,G$1:R$1,0)-1)*IF(OR(F497="L",F497="S",F497="I"),-1,1),"")</f>
        <v/>
      </c>
      <c r="AM497" s="1030">
        <f t="shared" si="29"/>
        <v>-25003</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30"/>
        <v>H23100</v>
      </c>
      <c r="AU497" s="599" t="str">
        <f t="shared" si="30"/>
        <v>IMPOT-ANNEE COURANT</v>
      </c>
      <c r="AV497" s="1030" t="str">
        <f>IFERROR(INDEX(V497:AG497,1,MATCH(Parametres!$B$3,V$1:AG$1,0)-1)*IF(OR(C497="L",C497="S",C497="I"),-1,1),"")</f>
        <v/>
      </c>
      <c r="AW497" s="1030">
        <f t="shared" si="31"/>
        <v>0</v>
      </c>
      <c r="AX497" s="1030">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32"/>
        <v>H23105</v>
      </c>
      <c r="AK498" s="1030" t="str">
        <f t="shared" si="32"/>
        <v>ACC PROVISIONNEL PROVINCI</v>
      </c>
      <c r="AL498" s="1030" t="str">
        <f>IFERROR(INDEX(G498:R498,1,MATCH(Parametres!$B$3,G$1:R$1,0)-1)*IF(OR(F498="L",F498="S",F498="I"),-1,1),"")</f>
        <v/>
      </c>
      <c r="AM498" s="1030">
        <f t="shared" si="29"/>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30"/>
        <v>H23105</v>
      </c>
      <c r="AU498" s="599" t="str">
        <f t="shared" si="30"/>
        <v>ACC PROVISIONNEL PROVINCI</v>
      </c>
      <c r="AV498" s="1030" t="str">
        <f>IFERROR(INDEX(V498:AG498,1,MATCH(Parametres!$B$3,V$1:AG$1,0)-1)*IF(OR(C498="L",C498="S",C498="I"),-1,1),"")</f>
        <v/>
      </c>
      <c r="AW498" s="1030">
        <f t="shared" si="31"/>
        <v>0</v>
      </c>
      <c r="AX498" s="1030">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32"/>
        <v>H23110</v>
      </c>
      <c r="AK499" s="1030" t="str">
        <f t="shared" si="32"/>
        <v>ACC PROVISIONNEL FÉDÉRAL</v>
      </c>
      <c r="AL499" s="1030" t="str">
        <f>IFERROR(INDEX(G499:R499,1,MATCH(Parametres!$B$3,G$1:R$1,0)-1)*IF(OR(F499="L",F499="S",F499="I"),-1,1),"")</f>
        <v/>
      </c>
      <c r="AM499" s="1030">
        <f t="shared" si="29"/>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30"/>
        <v>H23110</v>
      </c>
      <c r="AU499" s="599" t="str">
        <f t="shared" si="30"/>
        <v>ACC PROVISIONNEL FÉDÉRAL</v>
      </c>
      <c r="AV499" s="1030" t="str">
        <f>IFERROR(INDEX(V499:AG499,1,MATCH(Parametres!$B$3,V$1:AG$1,0)-1)*IF(OR(C499="L",C499="S",C499="I"),-1,1),"")</f>
        <v/>
      </c>
      <c r="AW499" s="1030">
        <f t="shared" si="31"/>
        <v>0</v>
      </c>
      <c r="AX499" s="1030">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32"/>
        <v>H23200</v>
      </c>
      <c r="AK500" s="1030" t="str">
        <f t="shared" si="32"/>
        <v>TAXES FED &amp; PROV(PERIODES</v>
      </c>
      <c r="AL500" s="1030" t="str">
        <f>IFERROR(INDEX(G500:R500,1,MATCH(Parametres!$B$3,G$1:R$1,0)-1)*IF(OR(F500="L",F500="S",F500="I"),-1,1),"")</f>
        <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30"/>
        <v>H23200</v>
      </c>
      <c r="AU500" s="599" t="str">
        <f t="shared" si="30"/>
        <v>TAXES FED &amp; PROV(PERIODES</v>
      </c>
      <c r="AV500" s="1030" t="str">
        <f>IFERROR(INDEX(V500:AG500,1,MATCH(Parametres!$B$3,V$1:AG$1,0)-1)*IF(OR(C500="L",C500="S",C500="I"),-1,1),"")</f>
        <v/>
      </c>
      <c r="AW500" s="1030">
        <f t="shared" si="31"/>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32"/>
        <v>H23300</v>
      </c>
      <c r="AK501" s="1030" t="str">
        <f t="shared" si="32"/>
        <v>IMPOTS CEDUL. PAYES AV.</v>
      </c>
      <c r="AL501" s="1030" t="str">
        <f>IFERROR(INDEX(G501:R501,1,MATCH(Parametres!$B$3,G$1:R$1,0)-1)*IF(OR(F501="L",F501="S",F501="I"),-1,1),"")</f>
        <v/>
      </c>
      <c r="AM501" s="1030">
        <f t="shared" si="29"/>
        <v>26280</v>
      </c>
      <c r="AN501" s="1030">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6" t="str">
        <f t="shared" si="30"/>
        <v>H23300</v>
      </c>
      <c r="AU501" s="599" t="str">
        <f t="shared" si="30"/>
        <v>IMPOTS CEDUL. PAYES AV.</v>
      </c>
      <c r="AV501" s="1030" t="str">
        <f>IFERROR(INDEX(V501:AG501,1,MATCH(Parametres!$B$3,V$1:AG$1,0)-1)*IF(OR(C501="L",C501="S",C501="I"),-1,1),"")</f>
        <v/>
      </c>
      <c r="AW501" s="1030">
        <f t="shared" si="31"/>
        <v>0</v>
      </c>
      <c r="AX501" s="1030">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32"/>
        <v>H23310</v>
      </c>
      <c r="AK502" s="1030" t="str">
        <f t="shared" si="32"/>
        <v>IMPOT CEDUL P. AV FED</v>
      </c>
      <c r="AL502" s="1030" t="str">
        <f>IFERROR(INDEX(G502:R502,1,MATCH(Parametres!$B$3,G$1:R$1,0)-1)*IF(OR(F502="L",F502="S",F502="I"),-1,1),"")</f>
        <v/>
      </c>
      <c r="AM502" s="1030">
        <f t="shared" si="29"/>
        <v>76321</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30"/>
        <v>H23310</v>
      </c>
      <c r="AU502" s="599" t="str">
        <f t="shared" si="30"/>
        <v>IMPOT CEDUL P. AV FED</v>
      </c>
      <c r="AV502" s="1030" t="str">
        <f>IFERROR(INDEX(V502:AG502,1,MATCH(Parametres!$B$3,V$1:AG$1,0)-1)*IF(OR(C502="L",C502="S",C502="I"),-1,1),"")</f>
        <v/>
      </c>
      <c r="AW502" s="1030">
        <f t="shared" si="31"/>
        <v>0</v>
      </c>
      <c r="AX502" s="1030">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32"/>
        <v>H23330</v>
      </c>
      <c r="AK503" s="1030" t="str">
        <f t="shared" si="32"/>
        <v>TACE DE LUXE</v>
      </c>
      <c r="AL503" s="1030" t="str">
        <f>IFERROR(INDEX(G503:R503,1,MATCH(Parametres!$B$3,G$1:R$1,0)-1)*IF(OR(F503="L",F503="S",F503="I"),-1,1),"")</f>
        <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30"/>
        <v>H23330</v>
      </c>
      <c r="AU503" s="599" t="str">
        <f t="shared" si="30"/>
        <v>TACE DE LUXE</v>
      </c>
      <c r="AV503" s="1030" t="str">
        <f>IFERROR(INDEX(V503:AG503,1,MATCH(Parametres!$B$3,V$1:AG$1,0)-1)*IF(OR(C503="L",C503="S",C503="I"),-1,1),"")</f>
        <v/>
      </c>
      <c r="AW503" s="1030">
        <f t="shared" si="31"/>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32"/>
        <v>H23400</v>
      </c>
      <c r="AK504" s="1030" t="str">
        <f t="shared" si="32"/>
        <v>PARTI COURANTES DETTE L/T</v>
      </c>
      <c r="AL504" s="1030" t="str">
        <f>IFERROR(INDEX(G504:R504,1,MATCH(Parametres!$B$3,G$1:R$1,0)-1)*IF(OR(F504="L",F504="S",F504="I"),-1,1),"")</f>
        <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30"/>
        <v>H23400</v>
      </c>
      <c r="AU504" s="599" t="str">
        <f t="shared" si="30"/>
        <v>PARTI COURANTES DETTE L/T</v>
      </c>
      <c r="AV504" s="1030" t="str">
        <f>IFERROR(INDEX(V504:AG504,1,MATCH(Parametres!$B$3,V$1:AG$1,0)-1)*IF(OR(C504="L",C504="S",C504="I"),-1,1),"")</f>
        <v/>
      </c>
      <c r="AW504" s="1030">
        <f t="shared" si="31"/>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32"/>
        <v>H23410</v>
      </c>
      <c r="AK505" s="1030" t="str">
        <f t="shared" si="32"/>
        <v>MOINS PARTI COUR DETTE LT</v>
      </c>
      <c r="AL505" s="1030" t="str">
        <f>IFERROR(INDEX(G505:R505,1,MATCH(Parametres!$B$3,G$1:R$1,0)-1)*IF(OR(F505="L",F505="S",F505="I"),-1,1),"")</f>
        <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30"/>
        <v>H23410</v>
      </c>
      <c r="AU505" s="599" t="str">
        <f t="shared" si="30"/>
        <v>MOINS PARTI COUR DETTE LT</v>
      </c>
      <c r="AV505" s="1030" t="str">
        <f>IFERROR(INDEX(V505:AG505,1,MATCH(Parametres!$B$3,V$1:AG$1,0)-1)*IF(OR(C505="L",C505="S",C505="I"),-1,1),"")</f>
        <v/>
      </c>
      <c r="AW505" s="1030">
        <f t="shared" si="31"/>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32"/>
        <v>H23500</v>
      </c>
      <c r="AK506" s="1030" t="str">
        <f t="shared" si="32"/>
        <v>AUTRES DETTES COURANTES</v>
      </c>
      <c r="AL506" s="1030" t="str">
        <f>IFERROR(INDEX(G506:R506,1,MATCH(Parametres!$B$3,G$1:R$1,0)-1)*IF(OR(F506="L",F506="S",F506="I"),-1,1),"")</f>
        <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30"/>
        <v>H23500</v>
      </c>
      <c r="AU506" s="599" t="str">
        <f t="shared" si="30"/>
        <v>AUTRES DETTES COURANTES</v>
      </c>
      <c r="AV506" s="1030" t="str">
        <f>IFERROR(INDEX(V506:AG506,1,MATCH(Parametres!$B$3,V$1:AG$1,0)-1)*IF(OR(C506="L",C506="S",C506="I"),-1,1),"")</f>
        <v/>
      </c>
      <c r="AW506" s="1030">
        <f t="shared" si="31"/>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32"/>
        <v>H24000</v>
      </c>
      <c r="AK507" s="1030" t="str">
        <f t="shared" si="32"/>
        <v>EFFETS A PAYER</v>
      </c>
      <c r="AL507" s="1030" t="str">
        <f>IFERROR(INDEX(G507:R507,1,MATCH(Parametres!$B$3,G$1:R$1,0)-1)*IF(OR(F507="L",F507="S",F507="I"),-1,1),"")</f>
        <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30"/>
        <v>H24000</v>
      </c>
      <c r="AU507" s="599" t="str">
        <f t="shared" si="30"/>
        <v>EFFETS A PAYER</v>
      </c>
      <c r="AV507" s="1030" t="str">
        <f>IFERROR(INDEX(V507:AG507,1,MATCH(Parametres!$B$3,V$1:AG$1,0)-1)*IF(OR(C507="L",C507="S",C507="I"),-1,1),"")</f>
        <v/>
      </c>
      <c r="AW507" s="1030">
        <f t="shared" si="31"/>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32"/>
        <v>H24600</v>
      </c>
      <c r="AK508" s="1030" t="str">
        <f t="shared" si="32"/>
        <v>HYPOTHEQUE(S) IMMOBILIERE</v>
      </c>
      <c r="AL508" s="1030" t="str">
        <f>IFERROR(INDEX(G508:R508,1,MATCH(Parametres!$B$3,G$1:R$1,0)-1)*IF(OR(F508="L",F508="S",F508="I"),-1,1),"")</f>
        <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30"/>
        <v>H24600</v>
      </c>
      <c r="AU508" s="599" t="str">
        <f t="shared" si="30"/>
        <v>HYPOTHEQUE(S) IMMOBILIERE</v>
      </c>
      <c r="AV508" s="1030" t="str">
        <f>IFERROR(INDEX(V508:AG508,1,MATCH(Parametres!$B$3,V$1:AG$1,0)-1)*IF(OR(C508="L",C508="S",C508="I"),-1,1),"")</f>
        <v/>
      </c>
      <c r="AW508" s="1030">
        <f t="shared" si="31"/>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32"/>
        <v>H24900</v>
      </c>
      <c r="AK509" s="1030" t="str">
        <f t="shared" si="32"/>
        <v>HYPOTHEQUE(S) MOBILIERE(S</v>
      </c>
      <c r="AL509" s="1030" t="str">
        <f>IFERROR(INDEX(G509:R509,1,MATCH(Parametres!$B$3,G$1:R$1,0)-1)*IF(OR(F509="L",F509="S",F509="I"),-1,1),"")</f>
        <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30"/>
        <v>H24900</v>
      </c>
      <c r="AU509" s="599" t="str">
        <f t="shared" si="30"/>
        <v>HYPOTHEQUE(S) MOBILIERE(S</v>
      </c>
      <c r="AV509" s="1030" t="str">
        <f>IFERROR(INDEX(V509:AG509,1,MATCH(Parametres!$B$3,V$1:AG$1,0)-1)*IF(OR(C509="L",C509="S",C509="I"),-1,1),"")</f>
        <v/>
      </c>
      <c r="AW509" s="1030">
        <f t="shared" si="31"/>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32"/>
        <v>H25600</v>
      </c>
      <c r="AK510" s="1030" t="str">
        <f t="shared" si="32"/>
        <v>REPRISE DE POSSESSION</v>
      </c>
      <c r="AL510" s="1030" t="str">
        <f>IFERROR(INDEX(G510:R510,1,MATCH(Parametres!$B$3,G$1:R$1,0)-1)*IF(OR(F510="L",F510="S",F510="I"),-1,1),"")</f>
        <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30"/>
        <v>H25600</v>
      </c>
      <c r="AU510" s="599" t="str">
        <f t="shared" si="30"/>
        <v>REPRISE DE POSSESSION</v>
      </c>
      <c r="AV510" s="1030" t="str">
        <f>IFERROR(INDEX(V510:AG510,1,MATCH(Parametres!$B$3,V$1:AG$1,0)-1)*IF(OR(C510="L",C510="S",C510="I"),-1,1),"")</f>
        <v/>
      </c>
      <c r="AW510" s="1030">
        <f t="shared" si="31"/>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32"/>
        <v>H26000</v>
      </c>
      <c r="AK511" s="1030" t="str">
        <f t="shared" si="32"/>
        <v>PRETS AUX ADM&amp;ACTIONNAIRE</v>
      </c>
      <c r="AL511" s="1030" t="str">
        <f>IFERROR(INDEX(G511:R511,1,MATCH(Parametres!$B$3,G$1:R$1,0)-1)*IF(OR(F511="L",F511="S",F511="I"),-1,1),"")</f>
        <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30"/>
        <v>H26000</v>
      </c>
      <c r="AU511" s="599" t="str">
        <f t="shared" si="30"/>
        <v>PRETS AUX ADM&amp;ACTIONNAIRE</v>
      </c>
      <c r="AV511" s="1030" t="str">
        <f>IFERROR(INDEX(V511:AG511,1,MATCH(Parametres!$B$3,V$1:AG$1,0)-1)*IF(OR(C511="L",C511="S",C511="I"),-1,1),"")</f>
        <v/>
      </c>
      <c r="AW511" s="1030">
        <f t="shared" si="31"/>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32"/>
        <v>H26010</v>
      </c>
      <c r="AK512" s="1030" t="str">
        <f t="shared" si="32"/>
        <v>PRET ACT. 170924 CDA IN</v>
      </c>
      <c r="AL512" s="1030" t="str">
        <f>IFERROR(INDEX(G512:R512,1,MATCH(Parametres!$B$3,G$1:R$1,0)-1)*IF(OR(F512="L",F512="S",F512="I"),-1,1),"")</f>
        <v/>
      </c>
      <c r="AM512" s="1030">
        <f t="shared" si="29"/>
        <v>-0.48</v>
      </c>
      <c r="AN512" s="1030">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30"/>
        <v>H26010</v>
      </c>
      <c r="AU512" s="599" t="str">
        <f t="shared" si="30"/>
        <v>PRET ACT. 170924 CDA IN</v>
      </c>
      <c r="AV512" s="1030" t="str">
        <f>IFERROR(INDEX(V512:AG512,1,MATCH(Parametres!$B$3,V$1:AG$1,0)-1)*IF(OR(C512="L",C512="S",C512="I"),-1,1),"")</f>
        <v/>
      </c>
      <c r="AW512" s="1030">
        <f t="shared" si="31"/>
        <v>0</v>
      </c>
      <c r="AX512" s="1030">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32"/>
        <v>H26011</v>
      </c>
      <c r="AK513" s="1030" t="str">
        <f t="shared" si="32"/>
        <v>BALANCE DE PRIX DE VENTE</v>
      </c>
      <c r="AL513" s="1030" t="str">
        <f>IFERROR(INDEX(G513:R513,1,MATCH(Parametres!$B$3,G$1:R$1,0)-1)*IF(OR(F513="L",F513="S",F513="I"),-1,1),"")</f>
        <v/>
      </c>
      <c r="AM513" s="1030">
        <f t="shared" si="29"/>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30"/>
        <v>H26011</v>
      </c>
      <c r="AU513" s="599" t="str">
        <f t="shared" si="30"/>
        <v>BALANCE DE PRIX DE VENTE</v>
      </c>
      <c r="AV513" s="1030" t="str">
        <f>IFERROR(INDEX(V513:AG513,1,MATCH(Parametres!$B$3,V$1:AG$1,0)-1)*IF(OR(C513="L",C513="S",C513="I"),-1,1),"")</f>
        <v/>
      </c>
      <c r="AW513" s="1030">
        <f t="shared" si="31"/>
        <v>0</v>
      </c>
      <c r="AX513" s="1030">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32"/>
        <v>H26020</v>
      </c>
      <c r="AK514" s="1030" t="str">
        <f t="shared" si="32"/>
        <v>AVANCE FIDUCIE JEAN ROZON</v>
      </c>
      <c r="AL514" s="1030" t="str">
        <f>IFERROR(INDEX(G514:R514,1,MATCH(Parametres!$B$3,G$1:R$1,0)-1)*IF(OR(F514="L",F514="S",F514="I"),-1,1),"")</f>
        <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30"/>
        <v>H26020</v>
      </c>
      <c r="AU514" s="599" t="str">
        <f t="shared" si="30"/>
        <v>AVANCE FIDUCIE JEAN ROZON</v>
      </c>
      <c r="AV514" s="1030" t="str">
        <f>IFERROR(INDEX(V514:AG514,1,MATCH(Parametres!$B$3,V$1:AG$1,0)-1)*IF(OR(C514="L",C514="S",C514="I"),-1,1),"")</f>
        <v/>
      </c>
      <c r="AW514" s="1030">
        <f t="shared" si="31"/>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32"/>
        <v>H26021</v>
      </c>
      <c r="AK515" s="1030" t="str">
        <f t="shared" si="32"/>
        <v>AVANCES AVEC STE-MARIE</v>
      </c>
      <c r="AL515" s="1030" t="str">
        <f>IFERROR(INDEX(G515:R515,1,MATCH(Parametres!$B$3,G$1:R$1,0)-1)*IF(OR(F515="L",F515="S",F515="I"),-1,1),"")</f>
        <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30"/>
        <v>H26021</v>
      </c>
      <c r="AU515" s="599" t="str">
        <f t="shared" si="30"/>
        <v>AVANCES AVEC STE-MARIE</v>
      </c>
      <c r="AV515" s="1030" t="str">
        <f>IFERROR(INDEX(V515:AG515,1,MATCH(Parametres!$B$3,V$1:AG$1,0)-1)*IF(OR(C515="L",C515="S",C515="I"),-1,1),"")</f>
        <v/>
      </c>
      <c r="AW515" s="1030">
        <f t="shared" si="31"/>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32"/>
        <v>H26900</v>
      </c>
      <c r="AK516" s="1030" t="str">
        <f t="shared" si="32"/>
        <v>AVANCE CIBC</v>
      </c>
      <c r="AL516" s="1030" t="str">
        <f>IFERROR(INDEX(G516:R516,1,MATCH(Parametres!$B$3,G$1:R$1,0)-1)*IF(OR(F516="L",F516="S",F516="I"),-1,1),"")</f>
        <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U579" si="34">C516</f>
        <v>H26900</v>
      </c>
      <c r="AU516" s="599" t="str">
        <f t="shared" si="34"/>
        <v>AVANCE CIBC</v>
      </c>
      <c r="AV516" s="1030" t="str">
        <f>IFERROR(INDEX(V516:AG516,1,MATCH(Parametres!$B$3,V$1:AG$1,0)-1)*IF(OR(C516="L",C516="S",C516="I"),-1,1),"")</f>
        <v/>
      </c>
      <c r="AW516" s="1030">
        <f t="shared" ref="AW516:AW579" si="35">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32"/>
        <v>H28000</v>
      </c>
      <c r="AK517" s="1030" t="str">
        <f t="shared" si="32"/>
        <v>CAPITAL-ACTIONS ORDINAIRE</v>
      </c>
      <c r="AL517" s="1030" t="str">
        <f>IFERROR(INDEX(G517:R517,1,MATCH(Parametres!$B$3,G$1:R$1,0)-1)*IF(OR(F517="L",F517="S",F517="I"),-1,1),"")</f>
        <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34"/>
        <v>H28000</v>
      </c>
      <c r="AU517" s="599" t="str">
        <f t="shared" si="34"/>
        <v>CAPITAL-ACTIONS ORDINAIRE</v>
      </c>
      <c r="AV517" s="1030" t="str">
        <f>IFERROR(INDEX(V517:AG517,1,MATCH(Parametres!$B$3,V$1:AG$1,0)-1)*IF(OR(C517="L",C517="S",C517="I"),-1,1),"")</f>
        <v/>
      </c>
      <c r="AW517" s="1030">
        <f t="shared" si="35"/>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32"/>
        <v>H28010</v>
      </c>
      <c r="AK518" s="1030" t="str">
        <f t="shared" si="32"/>
        <v>CAPITAL ACTION CAT A</v>
      </c>
      <c r="AL518" s="1030" t="str">
        <f>IFERROR(INDEX(G518:R518,1,MATCH(Parametres!$B$3,G$1:R$1,0)-1)*IF(OR(F518="L",F518="S",F518="I"),-1,1),"")</f>
        <v/>
      </c>
      <c r="AM518" s="1030">
        <f t="shared" si="33"/>
        <v>-367349</v>
      </c>
      <c r="AN518" s="1030">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34"/>
        <v>H28010</v>
      </c>
      <c r="AU518" s="599" t="str">
        <f t="shared" si="34"/>
        <v>CAPITAL ACTION CAT A</v>
      </c>
      <c r="AV518" s="1030" t="str">
        <f>IFERROR(INDEX(V518:AG518,1,MATCH(Parametres!$B$3,V$1:AG$1,0)-1)*IF(OR(C518="L",C518="S",C518="I"),-1,1),"")</f>
        <v/>
      </c>
      <c r="AW518" s="1030">
        <f t="shared" si="35"/>
        <v>0</v>
      </c>
      <c r="AX518" s="1030">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32"/>
        <v>H28011</v>
      </c>
      <c r="AK519" s="1030" t="str">
        <f t="shared" si="32"/>
        <v>CAPITAL ACTION BA</v>
      </c>
      <c r="AL519" s="1030" t="str">
        <f>IFERROR(INDEX(G519:R519,1,MATCH(Parametres!$B$3,G$1:R$1,0)-1)*IF(OR(F519="L",F519="S",F519="I"),-1,1),"")</f>
        <v/>
      </c>
      <c r="AM519" s="1030">
        <f t="shared" si="33"/>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34"/>
        <v>H28011</v>
      </c>
      <c r="AU519" s="599" t="str">
        <f t="shared" si="34"/>
        <v>CAPITAL ACTION BA</v>
      </c>
      <c r="AV519" s="1030" t="str">
        <f>IFERROR(INDEX(V519:AG519,1,MATCH(Parametres!$B$3,V$1:AG$1,0)-1)*IF(OR(C519="L",C519="S",C519="I"),-1,1),"")</f>
        <v/>
      </c>
      <c r="AW519" s="1030">
        <f t="shared" si="35"/>
        <v>0</v>
      </c>
      <c r="AX519" s="1030">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32"/>
        <v>H28012</v>
      </c>
      <c r="AK520" s="1030" t="str">
        <f t="shared" si="32"/>
        <v>CAPITAL ACTION C</v>
      </c>
      <c r="AL520" s="1030" t="str">
        <f>IFERROR(INDEX(G520:R520,1,MATCH(Parametres!$B$3,G$1:R$1,0)-1)*IF(OR(F520="L",F520="S",F520="I"),-1,1),"")</f>
        <v/>
      </c>
      <c r="AM520" s="1030">
        <f t="shared" si="33"/>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34"/>
        <v>H28012</v>
      </c>
      <c r="AU520" s="599" t="str">
        <f t="shared" si="34"/>
        <v>CAPITAL ACTION C</v>
      </c>
      <c r="AV520" s="1030" t="str">
        <f>IFERROR(INDEX(V520:AG520,1,MATCH(Parametres!$B$3,V$1:AG$1,0)-1)*IF(OR(C520="L",C520="S",C520="I"),-1,1),"")</f>
        <v/>
      </c>
      <c r="AW520" s="1030">
        <f t="shared" si="35"/>
        <v>0</v>
      </c>
      <c r="AX520" s="1030">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32"/>
        <v>H28020</v>
      </c>
      <c r="AK521" s="1030" t="str">
        <f t="shared" si="32"/>
        <v>CAPITAL ACTION CAT B</v>
      </c>
      <c r="AL521" s="1030" t="str">
        <f>IFERROR(INDEX(G521:R521,1,MATCH(Parametres!$B$3,G$1:R$1,0)-1)*IF(OR(F521="L",F521="S",F521="I"),-1,1),"")</f>
        <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34"/>
        <v>H28020</v>
      </c>
      <c r="AU521" s="599" t="str">
        <f t="shared" si="34"/>
        <v>CAPITAL ACTION CAT B</v>
      </c>
      <c r="AV521" s="1030" t="str">
        <f>IFERROR(INDEX(V521:AG521,1,MATCH(Parametres!$B$3,V$1:AG$1,0)-1)*IF(OR(C521="L",C521="S",C521="I"),-1,1),"")</f>
        <v/>
      </c>
      <c r="AW521" s="1030">
        <f t="shared" si="35"/>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32"/>
        <v>H28030</v>
      </c>
      <c r="AK522" s="1030" t="str">
        <f t="shared" si="32"/>
        <v>CAPITAL ACTION CAT C</v>
      </c>
      <c r="AL522" s="1030" t="str">
        <f>IFERROR(INDEX(G522:R522,1,MATCH(Parametres!$B$3,G$1:R$1,0)-1)*IF(OR(F522="L",F522="S",F522="I"),-1,1),"")</f>
        <v/>
      </c>
      <c r="AM522" s="1030">
        <f t="shared" si="33"/>
        <v>-7</v>
      </c>
      <c r="AN522" s="1030">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6" t="str">
        <f t="shared" si="34"/>
        <v>H28030</v>
      </c>
      <c r="AU522" s="599" t="str">
        <f t="shared" si="34"/>
        <v>CAPITAL ACTION CAT C</v>
      </c>
      <c r="AV522" s="1030" t="str">
        <f>IFERROR(INDEX(V522:AG522,1,MATCH(Parametres!$B$3,V$1:AG$1,0)-1)*IF(OR(C522="L",C522="S",C522="I"),-1,1),"")</f>
        <v/>
      </c>
      <c r="AW522" s="1030">
        <f t="shared" si="35"/>
        <v>0</v>
      </c>
      <c r="AX522" s="1030">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32"/>
        <v>H28040</v>
      </c>
      <c r="AK523" s="1030" t="str">
        <f t="shared" si="32"/>
        <v>CAPITAL ACTION CAT D</v>
      </c>
      <c r="AL523" s="1030" t="str">
        <f>IFERROR(INDEX(G523:R523,1,MATCH(Parametres!$B$3,G$1:R$1,0)-1)*IF(OR(F523="L",F523="S",F523="I"),-1,1),"")</f>
        <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34"/>
        <v>H28040</v>
      </c>
      <c r="AU523" s="599" t="str">
        <f t="shared" si="34"/>
        <v>CAPITAL ACTION CAT D</v>
      </c>
      <c r="AV523" s="1030" t="str">
        <f>IFERROR(INDEX(V523:AG523,1,MATCH(Parametres!$B$3,V$1:AG$1,0)-1)*IF(OR(C523="L",C523="S",C523="I"),-1,1),"")</f>
        <v/>
      </c>
      <c r="AW523" s="1030">
        <f t="shared" si="35"/>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32"/>
        <v>H28050</v>
      </c>
      <c r="AK524" s="1030" t="str">
        <f t="shared" si="32"/>
        <v>CAPITAL ACTION CAT E</v>
      </c>
      <c r="AL524" s="1030" t="str">
        <f>IFERROR(INDEX(G524:R524,1,MATCH(Parametres!$B$3,G$1:R$1,0)-1)*IF(OR(F524="L",F524="S",F524="I"),-1,1),"")</f>
        <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34"/>
        <v>H28050</v>
      </c>
      <c r="AU524" s="599" t="str">
        <f t="shared" si="34"/>
        <v>CAPITAL ACTION CAT E</v>
      </c>
      <c r="AV524" s="1030" t="str">
        <f>IFERROR(INDEX(V524:AG524,1,MATCH(Parametres!$B$3,V$1:AG$1,0)-1)*IF(OR(C524="L",C524="S",C524="I"),-1,1),"")</f>
        <v/>
      </c>
      <c r="AW524" s="1030">
        <f t="shared" si="35"/>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32"/>
        <v>H28060</v>
      </c>
      <c r="AK525" s="1030" t="str">
        <f t="shared" si="32"/>
        <v>CAPITAL ACTION CAT F</v>
      </c>
      <c r="AL525" s="1030" t="str">
        <f>IFERROR(INDEX(G525:R525,1,MATCH(Parametres!$B$3,G$1:R$1,0)-1)*IF(OR(F525="L",F525="S",F525="I"),-1,1),"")</f>
        <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34"/>
        <v>H28060</v>
      </c>
      <c r="AU525" s="599" t="str">
        <f t="shared" si="34"/>
        <v>CAPITAL ACTION CAT F</v>
      </c>
      <c r="AV525" s="1030" t="str">
        <f>IFERROR(INDEX(V525:AG525,1,MATCH(Parametres!$B$3,V$1:AG$1,0)-1)*IF(OR(C525="L",C525="S",C525="I"),-1,1),"")</f>
        <v/>
      </c>
      <c r="AW525" s="1030">
        <f t="shared" si="35"/>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32"/>
        <v>H28070</v>
      </c>
      <c r="AK526" s="1030" t="str">
        <f t="shared" si="32"/>
        <v>CAPITAL ACTION CAT G</v>
      </c>
      <c r="AL526" s="1030" t="str">
        <f>IFERROR(INDEX(G526:R526,1,MATCH(Parametres!$B$3,G$1:R$1,0)-1)*IF(OR(F526="L",F526="S",F526="I"),-1,1),"")</f>
        <v/>
      </c>
      <c r="AM526" s="1030">
        <f t="shared" si="33"/>
        <v>-2</v>
      </c>
      <c r="AN526" s="1030">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34"/>
        <v>H28070</v>
      </c>
      <c r="AU526" s="599" t="str">
        <f t="shared" si="34"/>
        <v>CAPITAL ACTION CAT G</v>
      </c>
      <c r="AV526" s="1030" t="str">
        <f>IFERROR(INDEX(V526:AG526,1,MATCH(Parametres!$B$3,V$1:AG$1,0)-1)*IF(OR(C526="L",C526="S",C526="I"),-1,1),"")</f>
        <v/>
      </c>
      <c r="AW526" s="1030">
        <f t="shared" si="35"/>
        <v>0</v>
      </c>
      <c r="AX526" s="1030">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32"/>
        <v>H28080</v>
      </c>
      <c r="AK527" s="1030" t="str">
        <f t="shared" si="32"/>
        <v>SURPLUS APPORT CAT '' F '</v>
      </c>
      <c r="AL527" s="1030" t="str">
        <f>IFERROR(INDEX(G527:R527,1,MATCH(Parametres!$B$3,G$1:R$1,0)-1)*IF(OR(F527="L",F527="S",F527="I"),-1,1),"")</f>
        <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34"/>
        <v>H28080</v>
      </c>
      <c r="AU527" s="599" t="str">
        <f t="shared" si="34"/>
        <v>SURPLUS APPORT CAT '' F '</v>
      </c>
      <c r="AV527" s="1030" t="str">
        <f>IFERROR(INDEX(V527:AG527,1,MATCH(Parametres!$B$3,V$1:AG$1,0)-1)*IF(OR(C527="L",C527="S",C527="I"),-1,1),"")</f>
        <v/>
      </c>
      <c r="AW527" s="1030">
        <f t="shared" si="35"/>
        <v>0</v>
      </c>
      <c r="AX527" s="1030">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32"/>
        <v>H28090</v>
      </c>
      <c r="AK528" s="1030" t="str">
        <f t="shared" si="32"/>
        <v>SURPLUS APPORT CAT G</v>
      </c>
      <c r="AL528" s="1030" t="str">
        <f>IFERROR(INDEX(G528:R528,1,MATCH(Parametres!$B$3,G$1:R$1,0)-1)*IF(OR(F528="L",F528="S",F528="I"),-1,1),"")</f>
        <v/>
      </c>
      <c r="AM528" s="1030">
        <f t="shared" si="33"/>
        <v>-998</v>
      </c>
      <c r="AN528" s="1030">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34"/>
        <v>H28090</v>
      </c>
      <c r="AU528" s="599" t="str">
        <f t="shared" si="34"/>
        <v>SURPLUS APPORT CAT G</v>
      </c>
      <c r="AV528" s="1030" t="str">
        <f>IFERROR(INDEX(V528:AG528,1,MATCH(Parametres!$B$3,V$1:AG$1,0)-1)*IF(OR(C528="L",C528="S",C528="I"),-1,1),"")</f>
        <v/>
      </c>
      <c r="AW528" s="1030">
        <f t="shared" si="35"/>
        <v>0</v>
      </c>
      <c r="AX528" s="1030">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32"/>
        <v>H28200</v>
      </c>
      <c r="AK529" s="1030" t="str">
        <f t="shared" si="32"/>
        <v>SURPLUS D APPORT CAPITAL</v>
      </c>
      <c r="AL529" s="1030" t="str">
        <f>IFERROR(INDEX(G529:R529,1,MATCH(Parametres!$B$3,G$1:R$1,0)-1)*IF(OR(F529="L",F529="S",F529="I"),-1,1),"")</f>
        <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34"/>
        <v>H28200</v>
      </c>
      <c r="AU529" s="599" t="str">
        <f t="shared" si="34"/>
        <v>SURPLUS D APPORT CAPITAL</v>
      </c>
      <c r="AV529" s="1030" t="str">
        <f>IFERROR(INDEX(V529:AG529,1,MATCH(Parametres!$B$3,V$1:AG$1,0)-1)*IF(OR(C529="L",C529="S",C529="I"),-1,1),"")</f>
        <v/>
      </c>
      <c r="AW529" s="1030">
        <f t="shared" si="35"/>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32"/>
        <v>H28210</v>
      </c>
      <c r="AK530" s="1030" t="str">
        <f t="shared" si="32"/>
        <v>SURPLUS APPORT CAT F</v>
      </c>
      <c r="AL530" s="1030" t="str">
        <f>IFERROR(INDEX(G530:R530,1,MATCH(Parametres!$B$3,G$1:R$1,0)-1)*IF(OR(F530="L",F530="S",F530="I"),-1,1),"")</f>
        <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34"/>
        <v>H28210</v>
      </c>
      <c r="AU530" s="599" t="str">
        <f t="shared" si="34"/>
        <v>SURPLUS APPORT CAT F</v>
      </c>
      <c r="AV530" s="1030" t="str">
        <f>IFERROR(INDEX(V530:AG530,1,MATCH(Parametres!$B$3,V$1:AG$1,0)-1)*IF(OR(C530="L",C530="S",C530="I"),-1,1),"")</f>
        <v/>
      </c>
      <c r="AW530" s="1030">
        <f t="shared" si="35"/>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si="32"/>
        <v>H28220</v>
      </c>
      <c r="AK531" s="1030" t="str">
        <f t="shared" si="32"/>
        <v>SURPLUS APPORT CAT G</v>
      </c>
      <c r="AL531" s="1030" t="str">
        <f>IFERROR(INDEX(G531:R531,1,MATCH(Parametres!$B$3,G$1:R$1,0)-1)*IF(OR(F531="L",F531="S",F531="I"),-1,1),"")</f>
        <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34"/>
        <v>H28220</v>
      </c>
      <c r="AU531" s="599" t="str">
        <f t="shared" si="34"/>
        <v>SURPLUS APPORT CAT G</v>
      </c>
      <c r="AV531" s="1030" t="str">
        <f>IFERROR(INDEX(V531:AG531,1,MATCH(Parametres!$B$3,V$1:AG$1,0)-1)*IF(OR(C531="L",C531="S",C531="I"),-1,1),"")</f>
        <v/>
      </c>
      <c r="AW531" s="1030">
        <f t="shared" si="35"/>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ref="AJ532:AK595" si="36">C532</f>
        <v>H28500</v>
      </c>
      <c r="AK532" s="1030" t="str">
        <f t="shared" si="36"/>
        <v>BENEFICE NON REPARTI</v>
      </c>
      <c r="AL532" s="1030" t="str">
        <f>IFERROR(INDEX(G532:R532,1,MATCH(Parametres!$B$3,G$1:R$1,0)-1)*IF(OR(F532="L",F532="S",F532="I"),-1,1),"")</f>
        <v/>
      </c>
      <c r="AM532" s="1030">
        <f t="shared" si="33"/>
        <v>-3074394.55</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34"/>
        <v>H28500</v>
      </c>
      <c r="AU532" s="599" t="str">
        <f t="shared" si="34"/>
        <v>BENEFICE NON REPARTI</v>
      </c>
      <c r="AV532" s="1030" t="str">
        <f>IFERROR(INDEX(V532:AG532,1,MATCH(Parametres!$B$3,V$1:AG$1,0)-1)*IF(OR(C532="L",C532="S",C532="I"),-1,1),"")</f>
        <v/>
      </c>
      <c r="AW532" s="1030">
        <f t="shared" si="35"/>
        <v>0</v>
      </c>
      <c r="AX532" s="1030">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36"/>
        <v>H28700</v>
      </c>
      <c r="AK533" s="1030" t="str">
        <f t="shared" si="36"/>
        <v>INVESTISS DES ASSOCIES</v>
      </c>
      <c r="AL533" s="1030" t="str">
        <f>IFERROR(INDEX(G533:R533,1,MATCH(Parametres!$B$3,G$1:R$1,0)-1)*IF(OR(F533="L",F533="S",F533="I"),-1,1),"")</f>
        <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34"/>
        <v>H28700</v>
      </c>
      <c r="AU533" s="599" t="str">
        <f t="shared" si="34"/>
        <v>INVESTISS DES ASSOCIES</v>
      </c>
      <c r="AV533" s="1030" t="str">
        <f>IFERROR(INDEX(V533:AG533,1,MATCH(Parametres!$B$3,V$1:AG$1,0)-1)*IF(OR(C533="L",C533="S",C533="I"),-1,1),"")</f>
        <v/>
      </c>
      <c r="AW533" s="1030">
        <f t="shared" si="35"/>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36"/>
        <v>H29000</v>
      </c>
      <c r="AK534" s="1030" t="str">
        <f t="shared" si="36"/>
        <v>RETRAITS DIVIDENDES</v>
      </c>
      <c r="AL534" s="1030" t="str">
        <f>IFERROR(INDEX(G534:R534,1,MATCH(Parametres!$B$3,G$1:R$1,0)-1)*IF(OR(F534="L",F534="S",F534="I"),-1,1),"")</f>
        <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34"/>
        <v>H29000</v>
      </c>
      <c r="AU534" s="599" t="str">
        <f t="shared" si="34"/>
        <v>RETRAITS DIVIDENDES</v>
      </c>
      <c r="AV534" s="1030" t="str">
        <f>IFERROR(INDEX(V534:AG534,1,MATCH(Parametres!$B$3,V$1:AG$1,0)-1)*IF(OR(C534="L",C534="S",C534="I"),-1,1),"")</f>
        <v/>
      </c>
      <c r="AW534" s="1030">
        <f t="shared" si="35"/>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36"/>
        <v>H29002</v>
      </c>
      <c r="AK535" s="1030" t="str">
        <f t="shared" si="36"/>
        <v>DIVIDENDES-CAT ¨C¨</v>
      </c>
      <c r="AL535" s="1030" t="str">
        <f>IFERROR(INDEX(G535:R535,1,MATCH(Parametres!$B$3,G$1:R$1,0)-1)*IF(OR(F535="L",F535="S",F535="I"),-1,1),"")</f>
        <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34"/>
        <v>H29002</v>
      </c>
      <c r="AU535" s="599" t="str">
        <f t="shared" si="34"/>
        <v>DIVIDENDES-CAT ¨C¨</v>
      </c>
      <c r="AV535" s="1030" t="str">
        <f>IFERROR(INDEX(V535:AG535,1,MATCH(Parametres!$B$3,V$1:AG$1,0)-1)*IF(OR(C535="L",C535="S",C535="I"),-1,1),"")</f>
        <v/>
      </c>
      <c r="AW535" s="1030">
        <f t="shared" si="35"/>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36"/>
        <v>H29003</v>
      </c>
      <c r="AK536" s="1030" t="str">
        <f t="shared" si="36"/>
        <v>DIVIDENDES-CAT ¨F¨</v>
      </c>
      <c r="AL536" s="1030" t="str">
        <f>IFERROR(INDEX(G536:R536,1,MATCH(Parametres!$B$3,G$1:R$1,0)-1)*IF(OR(F536="L",F536="S",F536="I"),-1,1),"")</f>
        <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34"/>
        <v>H29003</v>
      </c>
      <c r="AU536" s="599" t="str">
        <f t="shared" si="34"/>
        <v>DIVIDENDES-CAT ¨F¨</v>
      </c>
      <c r="AV536" s="1030" t="str">
        <f>IFERROR(INDEX(V536:AG536,1,MATCH(Parametres!$B$3,V$1:AG$1,0)-1)*IF(OR(C536="L",C536="S",C536="I"),-1,1),"")</f>
        <v/>
      </c>
      <c r="AW536" s="1030">
        <f t="shared" si="35"/>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36"/>
        <v>H29005</v>
      </c>
      <c r="AK537" s="1030" t="str">
        <f t="shared" si="36"/>
        <v>DIVIDENDES-CAT ¨D¨</v>
      </c>
      <c r="AL537" s="1030" t="str">
        <f>IFERROR(INDEX(G537:R537,1,MATCH(Parametres!$B$3,G$1:R$1,0)-1)*IF(OR(F537="L",F537="S",F537="I"),-1,1),"")</f>
        <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34"/>
        <v>H29005</v>
      </c>
      <c r="AU537" s="599" t="str">
        <f t="shared" si="34"/>
        <v>DIVIDENDES-CAT ¨D¨</v>
      </c>
      <c r="AV537" s="1030" t="str">
        <f>IFERROR(INDEX(V537:AG537,1,MATCH(Parametres!$B$3,V$1:AG$1,0)-1)*IF(OR(C537="L",C537="S",C537="I"),-1,1),"")</f>
        <v/>
      </c>
      <c r="AW537" s="1030">
        <f t="shared" si="35"/>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36"/>
        <v>H29900</v>
      </c>
      <c r="AK538" s="1030" t="str">
        <f t="shared" si="36"/>
        <v>PROFIT OR LOSS</v>
      </c>
      <c r="AL538" s="1030" t="str">
        <f>IFERROR(INDEX(G538:R538,1,MATCH(Parametres!$B$3,G$1:R$1,0)-1)*IF(OR(F538="L",F538="S",F538="I"),-1,1),"")</f>
        <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34"/>
        <v>H29900</v>
      </c>
      <c r="AU538" s="599" t="str">
        <f t="shared" si="34"/>
        <v>PROFIT OR LOSS</v>
      </c>
      <c r="AV538" s="1030" t="str">
        <f>IFERROR(INDEX(V538:AG538,1,MATCH(Parametres!$B$3,V$1:AG$1,0)-1)*IF(OR(C538="L",C538="S",C538="I"),-1,1),"")</f>
        <v/>
      </c>
      <c r="AW538" s="1030">
        <f t="shared" si="35"/>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36"/>
        <v>H29901</v>
      </c>
      <c r="AK539" s="1030" t="str">
        <f t="shared" si="36"/>
        <v>PROFIT AND LOSS-CLEARING</v>
      </c>
      <c r="AL539" s="1030" t="str">
        <f>IFERROR(INDEX(G539:R539,1,MATCH(Parametres!$B$3,G$1:R$1,0)-1)*IF(OR(F539="L",F539="S",F539="I"),-1,1),"")</f>
        <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34"/>
        <v>H29901</v>
      </c>
      <c r="AU539" s="599" t="str">
        <f t="shared" si="34"/>
        <v>PROFIT AND LOSS-CLEARING</v>
      </c>
      <c r="AV539" s="1030" t="str">
        <f>IFERROR(INDEX(V539:AG539,1,MATCH(Parametres!$B$3,V$1:AG$1,0)-1)*IF(OR(C539="L",C539="S",C539="I"),-1,1),"")</f>
        <v/>
      </c>
      <c r="AW539" s="1030">
        <f t="shared" si="35"/>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36"/>
        <v>H30100</v>
      </c>
      <c r="AK540" s="1030" t="str">
        <f t="shared" si="36"/>
        <v>VTE VEH NF ACCENT 4 P</v>
      </c>
      <c r="AL540" s="1030" t="str">
        <f>IFERROR(INDEX(G540:R540,1,MATCH(Parametres!$B$3,G$1:R$1,0)-1)*IF(OR(F540="L",F540="S",F540="I"),-1,1),"")</f>
        <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34"/>
        <v>H30100</v>
      </c>
      <c r="AU540" s="599" t="str">
        <f t="shared" si="34"/>
        <v>VTE VEH NF ACCENT 4 P</v>
      </c>
      <c r="AV540" s="1030" t="str">
        <f>IFERROR(INDEX(V540:AG540,1,MATCH(Parametres!$B$3,V$1:AG$1,0)-1)*IF(OR(C540="L",C540="S",C540="I"),-1,1),"")</f>
        <v/>
      </c>
      <c r="AW540" s="1030">
        <f t="shared" si="35"/>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36"/>
        <v>H30101</v>
      </c>
      <c r="AK541" s="1030" t="str">
        <f t="shared" si="36"/>
        <v>VTE ACCENT BERLINE  4P</v>
      </c>
      <c r="AL541" s="1030" t="str">
        <f>IFERROR(INDEX(G541:R541,1,MATCH(Parametres!$B$3,G$1:R$1,0)-1)*IF(OR(F541="L",F541="S",F541="I"),-1,1),"")</f>
        <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34"/>
        <v>H30101</v>
      </c>
      <c r="AU541" s="599" t="str">
        <f t="shared" si="34"/>
        <v>VTE ACCENT BERLINE  4P</v>
      </c>
      <c r="AV541" s="1030" t="str">
        <f>IFERROR(INDEX(V541:AG541,1,MATCH(Parametres!$B$3,V$1:AG$1,0)-1)*IF(OR(C541="L",C541="S",C541="I"),-1,1),"")</f>
        <v/>
      </c>
      <c r="AW541" s="1030">
        <f t="shared" si="35"/>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36"/>
        <v>H30200</v>
      </c>
      <c r="AK542" s="1030" t="str">
        <f t="shared" si="36"/>
        <v>VTE VEH NF ACCENT 5 P</v>
      </c>
      <c r="AL542" s="1030" t="str">
        <f>IFERROR(INDEX(G542:R542,1,MATCH(Parametres!$B$3,G$1:R$1,0)-1)*IF(OR(F542="L",F542="S",F542="I"),-1,1),"")</f>
        <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34"/>
        <v>H30200</v>
      </c>
      <c r="AU542" s="599" t="str">
        <f t="shared" si="34"/>
        <v>VTE VEH NF ACCENT 5 P</v>
      </c>
      <c r="AV542" s="1030" t="str">
        <f>IFERROR(INDEX(V542:AG542,1,MATCH(Parametres!$B$3,V$1:AG$1,0)-1)*IF(OR(C542="L",C542="S",C542="I"),-1,1),"")</f>
        <v/>
      </c>
      <c r="AW542" s="1030">
        <f t="shared" si="35"/>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36"/>
        <v>H30300</v>
      </c>
      <c r="AK543" s="1030" t="str">
        <f t="shared" si="36"/>
        <v>VTE GENESIS COUPE</v>
      </c>
      <c r="AL543" s="1030" t="str">
        <f>IFERROR(INDEX(G543:R543,1,MATCH(Parametres!$B$3,G$1:R$1,0)-1)*IF(OR(F543="L",F543="S",F543="I"),-1,1),"")</f>
        <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34"/>
        <v>H30300</v>
      </c>
      <c r="AU543" s="599" t="str">
        <f t="shared" si="34"/>
        <v>VTE GENESIS COUPE</v>
      </c>
      <c r="AV543" s="1030" t="str">
        <f>IFERROR(INDEX(V543:AG543,1,MATCH(Parametres!$B$3,V$1:AG$1,0)-1)*IF(OR(C543="L",C543="S",C543="I"),-1,1),"")</f>
        <v/>
      </c>
      <c r="AW543" s="1030">
        <f t="shared" si="35"/>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36"/>
        <v>H30400</v>
      </c>
      <c r="AK544" s="1030" t="str">
        <f t="shared" si="36"/>
        <v>VTE SANTA FE</v>
      </c>
      <c r="AL544" s="1030" t="str">
        <f>IFERROR(INDEX(G544:R544,1,MATCH(Parametres!$B$3,G$1:R$1,0)-1)*IF(OR(F544="L",F544="S",F544="I"),-1,1),"")</f>
        <v/>
      </c>
      <c r="AM544" s="1030">
        <f t="shared" si="33"/>
        <v>0</v>
      </c>
      <c r="AN544" s="1030">
        <f>INDEX(G544:R544,1,MATCH(Parametres!$B$3,G$1:R$1,0))*IF(OR(F544="L",F544="S",F544="I"),-1,1)</f>
        <v>0</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34"/>
        <v>H30400</v>
      </c>
      <c r="AU544" s="599" t="str">
        <f t="shared" si="34"/>
        <v>VTE SANTA FE</v>
      </c>
      <c r="AV544" s="1030" t="str">
        <f>IFERROR(INDEX(V544:AG544,1,MATCH(Parametres!$B$3,V$1:AG$1,0)-1)*IF(OR(C544="L",C544="S",C544="I"),-1,1),"")</f>
        <v/>
      </c>
      <c r="AW544" s="1030">
        <f t="shared" si="35"/>
        <v>0</v>
      </c>
      <c r="AX544" s="1030">
        <f>INDEX(V544:AG544,1,MATCH(Parametres!$B$3,V$1:AG$1,0))*IF(OR(C544="L",C544="S",C544="I"),-1,1)</f>
        <v>0</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36"/>
        <v>H30401</v>
      </c>
      <c r="AK545" s="1030" t="str">
        <f t="shared" si="36"/>
        <v>VTE SANTA FE XL</v>
      </c>
      <c r="AL545" s="1030" t="str">
        <f>IFERROR(INDEX(G545:R545,1,MATCH(Parametres!$B$3,G$1:R$1,0)-1)*IF(OR(F545="L",F545="S",F545="I"),-1,1),"")</f>
        <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34"/>
        <v>H30401</v>
      </c>
      <c r="AU545" s="599" t="str">
        <f t="shared" si="34"/>
        <v>VTE SANTA FE XL</v>
      </c>
      <c r="AV545" s="1030" t="str">
        <f>IFERROR(INDEX(V545:AG545,1,MATCH(Parametres!$B$3,V$1:AG$1,0)-1)*IF(OR(C545="L",C545="S",C545="I"),-1,1),"")</f>
        <v/>
      </c>
      <c r="AW545" s="1030">
        <f t="shared" si="35"/>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36"/>
        <v>H30402</v>
      </c>
      <c r="AK546" s="1030" t="str">
        <f t="shared" si="36"/>
        <v>VTE SANTA FE HYBRIDE</v>
      </c>
      <c r="AL546" s="1030" t="str">
        <f>IFERROR(INDEX(G546:R546,1,MATCH(Parametres!$B$3,G$1:R$1,0)-1)*IF(OR(F546="L",F546="S",F546="I"),-1,1),"")</f>
        <v/>
      </c>
      <c r="AM546" s="1030">
        <f t="shared" si="33"/>
        <v>-247268.74</v>
      </c>
      <c r="AN546" s="1030">
        <f>INDEX(G546:R546,1,MATCH(Parametres!$B$3,G$1:R$1,0))*IF(OR(F546="L",F546="S",F546="I"),-1,1)</f>
        <v>-247268.74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34"/>
        <v>H30402</v>
      </c>
      <c r="AU546" s="599" t="str">
        <f t="shared" si="34"/>
        <v>VTE SANTA FE HYBRIDE</v>
      </c>
      <c r="AV546" s="1030" t="str">
        <f>IFERROR(INDEX(V546:AG546,1,MATCH(Parametres!$B$3,V$1:AG$1,0)-1)*IF(OR(C546="L",C546="S",C546="I"),-1,1),"")</f>
        <v/>
      </c>
      <c r="AW546" s="1030">
        <f t="shared" si="35"/>
        <v>5</v>
      </c>
      <c r="AX546" s="1030">
        <f>INDEX(V546:AG546,1,MATCH(Parametres!$B$3,V$1:AG$1,0))*IF(OR(C546="L",C546="S",C546="I"),-1,1)</f>
        <v>5</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36"/>
        <v>H30403</v>
      </c>
      <c r="AK547" s="1030" t="str">
        <f t="shared" si="36"/>
        <v>VTE SANTA FE PHEV</v>
      </c>
      <c r="AL547" s="1030" t="str">
        <f>IFERROR(INDEX(G547:R547,1,MATCH(Parametres!$B$3,G$1:R$1,0)-1)*IF(OR(F547="L",F547="S",F547="I"),-1,1),"")</f>
        <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34"/>
        <v>H30403</v>
      </c>
      <c r="AU547" s="599" t="str">
        <f t="shared" si="34"/>
        <v>VTE SANTA FE PHEV</v>
      </c>
      <c r="AV547" s="1030" t="str">
        <f>IFERROR(INDEX(V547:AG547,1,MATCH(Parametres!$B$3,V$1:AG$1,0)-1)*IF(OR(C547="L",C547="S",C547="I"),-1,1),"")</f>
        <v/>
      </c>
      <c r="AW547" s="1030">
        <f t="shared" si="35"/>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36"/>
        <v>H30410</v>
      </c>
      <c r="AK548" s="1030" t="str">
        <f t="shared" si="36"/>
        <v>VTE SANTA FE  LWB</v>
      </c>
      <c r="AL548" s="1030" t="str">
        <f>IFERROR(INDEX(G548:R548,1,MATCH(Parametres!$B$3,G$1:R$1,0)-1)*IF(OR(F548="L",F548="S",F548="I"),-1,1),"")</f>
        <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34"/>
        <v>H30410</v>
      </c>
      <c r="AU548" s="599" t="str">
        <f t="shared" si="34"/>
        <v>VTE SANTA FE  LWB</v>
      </c>
      <c r="AV548" s="1030" t="str">
        <f>IFERROR(INDEX(V548:AG548,1,MATCH(Parametres!$B$3,V$1:AG$1,0)-1)*IF(OR(C548="L",C548="S",C548="I"),-1,1),"")</f>
        <v/>
      </c>
      <c r="AW548" s="1030">
        <f t="shared" si="35"/>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36"/>
        <v>H30500</v>
      </c>
      <c r="AK549" s="1030" t="str">
        <f t="shared" si="36"/>
        <v>VTE SONATA HYBRIDE</v>
      </c>
      <c r="AL549" s="1030" t="str">
        <f>IFERROR(INDEX(G549:R549,1,MATCH(Parametres!$B$3,G$1:R$1,0)-1)*IF(OR(F549="L",F549="S",F549="I"),-1,1),"")</f>
        <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34"/>
        <v>H30500</v>
      </c>
      <c r="AU549" s="599" t="str">
        <f t="shared" si="34"/>
        <v>VTE SONATA HYBRIDE</v>
      </c>
      <c r="AV549" s="1030" t="str">
        <f>IFERROR(INDEX(V549:AG549,1,MATCH(Parametres!$B$3,V$1:AG$1,0)-1)*IF(OR(C549="L",C549="S",C549="I"),-1,1),"")</f>
        <v/>
      </c>
      <c r="AW549" s="1030">
        <f t="shared" si="35"/>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36"/>
        <v>H30600</v>
      </c>
      <c r="AK550" s="1030" t="str">
        <f t="shared" si="36"/>
        <v>VTE ELANTRA TOURING</v>
      </c>
      <c r="AL550" s="1030" t="str">
        <f>IFERROR(INDEX(G550:R550,1,MATCH(Parametres!$B$3,G$1:R$1,0)-1)*IF(OR(F550="L",F550="S",F550="I"),-1,1),"")</f>
        <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34"/>
        <v>H30600</v>
      </c>
      <c r="AU550" s="599" t="str">
        <f t="shared" si="34"/>
        <v>VTE ELANTRA TOURING</v>
      </c>
      <c r="AV550" s="1030" t="str">
        <f>IFERROR(INDEX(V550:AG550,1,MATCH(Parametres!$B$3,V$1:AG$1,0)-1)*IF(OR(C550="L",C550="S",C550="I"),-1,1),"")</f>
        <v/>
      </c>
      <c r="AW550" s="1030">
        <f t="shared" si="35"/>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36"/>
        <v>H30601</v>
      </c>
      <c r="AK551" s="1030" t="str">
        <f t="shared" si="36"/>
        <v>VTE ELANTRA</v>
      </c>
      <c r="AL551" s="1030" t="str">
        <f>IFERROR(INDEX(G551:R551,1,MATCH(Parametres!$B$3,G$1:R$1,0)-1)*IF(OR(F551="L",F551="S",F551="I"),-1,1),"")</f>
        <v/>
      </c>
      <c r="AM551" s="1030">
        <f t="shared" si="33"/>
        <v>-234325.58</v>
      </c>
      <c r="AN551" s="1030">
        <f>INDEX(G551:R551,1,MATCH(Parametres!$B$3,G$1:R$1,0))*IF(OR(F551="L",F551="S",F551="I"),-1,1)</f>
        <v>-234325.58</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34"/>
        <v>H30601</v>
      </c>
      <c r="AU551" s="599" t="str">
        <f t="shared" si="34"/>
        <v>VTE ELANTRA</v>
      </c>
      <c r="AV551" s="1030" t="str">
        <f>IFERROR(INDEX(V551:AG551,1,MATCH(Parametres!$B$3,V$1:AG$1,0)-1)*IF(OR(C551="L",C551="S",C551="I"),-1,1),"")</f>
        <v/>
      </c>
      <c r="AW551" s="1030">
        <f t="shared" si="35"/>
        <v>8</v>
      </c>
      <c r="AX551" s="1030">
        <f>INDEX(V551:AG551,1,MATCH(Parametres!$B$3,V$1:AG$1,0))*IF(OR(C551="L",C551="S",C551="I"),-1,1)</f>
        <v>8</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36"/>
        <v>H30602</v>
      </c>
      <c r="AK552" s="1030" t="str">
        <f t="shared" si="36"/>
        <v>VTE ELANTRA COUPE</v>
      </c>
      <c r="AL552" s="1030" t="str">
        <f>IFERROR(INDEX(G552:R552,1,MATCH(Parametres!$B$3,G$1:R$1,0)-1)*IF(OR(F552="L",F552="S",F552="I"),-1,1),"")</f>
        <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34"/>
        <v>H30602</v>
      </c>
      <c r="AU552" s="599" t="str">
        <f t="shared" si="34"/>
        <v>VTE ELANTRA COUPE</v>
      </c>
      <c r="AV552" s="1030" t="str">
        <f>IFERROR(INDEX(V552:AG552,1,MATCH(Parametres!$B$3,V$1:AG$1,0)-1)*IF(OR(C552="L",C552="S",C552="I"),-1,1),"")</f>
        <v/>
      </c>
      <c r="AW552" s="1030">
        <f t="shared" si="35"/>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36"/>
        <v>H30603</v>
      </c>
      <c r="AK553" s="1030" t="str">
        <f t="shared" si="36"/>
        <v>ELANTRA GT</v>
      </c>
      <c r="AL553" s="1030" t="str">
        <f>IFERROR(INDEX(G553:R553,1,MATCH(Parametres!$B$3,G$1:R$1,0)-1)*IF(OR(F553="L",F553="S",F553="I"),-1,1),"")</f>
        <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34"/>
        <v>H30603</v>
      </c>
      <c r="AU553" s="599" t="str">
        <f t="shared" si="34"/>
        <v>ELANTRA GT</v>
      </c>
      <c r="AV553" s="1030" t="str">
        <f>IFERROR(INDEX(V553:AG553,1,MATCH(Parametres!$B$3,V$1:AG$1,0)-1)*IF(OR(C553="L",C553="S",C553="I"),-1,1),"")</f>
        <v/>
      </c>
      <c r="AW553" s="1030">
        <f t="shared" si="35"/>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36"/>
        <v>H30604</v>
      </c>
      <c r="AK554" s="1030" t="str">
        <f t="shared" si="36"/>
        <v>VTE ELANTRA HYBRIDE</v>
      </c>
      <c r="AL554" s="1030" t="str">
        <f>IFERROR(INDEX(G554:R554,1,MATCH(Parametres!$B$3,G$1:R$1,0)-1)*IF(OR(F554="L",F554="S",F554="I"),-1,1),"")</f>
        <v/>
      </c>
      <c r="AM554" s="1030">
        <f t="shared" si="33"/>
        <v>0</v>
      </c>
      <c r="AN554" s="1030">
        <f>INDEX(G554:R554,1,MATCH(Parametres!$B$3,G$1:R$1,0))*IF(OR(F554="L",F554="S",F554="I"),-1,1)</f>
        <v>0</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34"/>
        <v>H30604</v>
      </c>
      <c r="AU554" s="599" t="str">
        <f t="shared" si="34"/>
        <v>VTE ELANTRA HYBRIDE</v>
      </c>
      <c r="AV554" s="1030" t="str">
        <f>IFERROR(INDEX(V554:AG554,1,MATCH(Parametres!$B$3,V$1:AG$1,0)-1)*IF(OR(C554="L",C554="S",C554="I"),-1,1),"")</f>
        <v/>
      </c>
      <c r="AW554" s="1030">
        <f t="shared" si="35"/>
        <v>0</v>
      </c>
      <c r="AX554" s="1030">
        <f>INDEX(V554:AG554,1,MATCH(Parametres!$B$3,V$1:AG$1,0))*IF(OR(C554="L",C554="S",C554="I"),-1,1)</f>
        <v>0</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36"/>
        <v>H30620</v>
      </c>
      <c r="AK555" s="1030" t="str">
        <f t="shared" si="36"/>
        <v>VTE ELANTRA COUPE</v>
      </c>
      <c r="AL555" s="1030" t="str">
        <f>IFERROR(INDEX(G555:R555,1,MATCH(Parametres!$B$3,G$1:R$1,0)-1)*IF(OR(F555="L",F555="S",F555="I"),-1,1),"")</f>
        <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34"/>
        <v>H30620</v>
      </c>
      <c r="AU555" s="599" t="str">
        <f t="shared" si="34"/>
        <v>VTE ELANTRA COUPE</v>
      </c>
      <c r="AV555" s="1030" t="str">
        <f>IFERROR(INDEX(V555:AG555,1,MATCH(Parametres!$B$3,V$1:AG$1,0)-1)*IF(OR(C555="L",C555="S",C555="I"),-1,1),"")</f>
        <v/>
      </c>
      <c r="AW555" s="1030">
        <f t="shared" si="35"/>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36"/>
        <v>H30700</v>
      </c>
      <c r="AK556" s="1030" t="str">
        <f t="shared" si="36"/>
        <v>VTE NEUFS GENESIS</v>
      </c>
      <c r="AL556" s="1030" t="str">
        <f>IFERROR(INDEX(G556:R556,1,MATCH(Parametres!$B$3,G$1:R$1,0)-1)*IF(OR(F556="L",F556="S",F556="I"),-1,1),"")</f>
        <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34"/>
        <v>H30700</v>
      </c>
      <c r="AU556" s="599" t="str">
        <f t="shared" si="34"/>
        <v>VTE NEUFS GENESIS</v>
      </c>
      <c r="AV556" s="1030" t="str">
        <f>IFERROR(INDEX(V556:AG556,1,MATCH(Parametres!$B$3,V$1:AG$1,0)-1)*IF(OR(C556="L",C556="S",C556="I"),-1,1),"")</f>
        <v/>
      </c>
      <c r="AW556" s="1030">
        <f t="shared" si="35"/>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36"/>
        <v>H30800</v>
      </c>
      <c r="AK557" s="1030" t="str">
        <f t="shared" si="36"/>
        <v>VTE IONIQ EV ET H</v>
      </c>
      <c r="AL557" s="1030" t="str">
        <f>IFERROR(INDEX(G557:R557,1,MATCH(Parametres!$B$3,G$1:R$1,0)-1)*IF(OR(F557="L",F557="S",F557="I"),-1,1),"")</f>
        <v/>
      </c>
      <c r="AM557" s="1030">
        <f t="shared" si="33"/>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34"/>
        <v>H30800</v>
      </c>
      <c r="AU557" s="599" t="str">
        <f t="shared" si="34"/>
        <v>VTE IONIQ EV ET H</v>
      </c>
      <c r="AV557" s="1030" t="str">
        <f>IFERROR(INDEX(V557:AG557,1,MATCH(Parametres!$B$3,V$1:AG$1,0)-1)*IF(OR(C557="L",C557="S",C557="I"),-1,1),"")</f>
        <v/>
      </c>
      <c r="AW557" s="1030">
        <f t="shared" si="35"/>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36"/>
        <v>H30801</v>
      </c>
      <c r="AK558" s="1030" t="str">
        <f t="shared" si="36"/>
        <v>VTE IONIQ PHEV ET EV</v>
      </c>
      <c r="AL558" s="1030" t="str">
        <f>IFERROR(INDEX(G558:R558,1,MATCH(Parametres!$B$3,G$1:R$1,0)-1)*IF(OR(F558="L",F558="S",F558="I"),-1,1),"")</f>
        <v/>
      </c>
      <c r="AM558" s="1030">
        <f t="shared" si="33"/>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34"/>
        <v>H30801</v>
      </c>
      <c r="AU558" s="599" t="str">
        <f t="shared" si="34"/>
        <v>VTE IONIQ PHEV ET EV</v>
      </c>
      <c r="AV558" s="1030" t="str">
        <f>IFERROR(INDEX(V558:AG558,1,MATCH(Parametres!$B$3,V$1:AG$1,0)-1)*IF(OR(C558="L",C558="S",C558="I"),-1,1),"")</f>
        <v/>
      </c>
      <c r="AW558" s="1030">
        <f t="shared" si="35"/>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36"/>
        <v>H30900</v>
      </c>
      <c r="AK559" s="1030" t="str">
        <f t="shared" si="36"/>
        <v>VTE KONA</v>
      </c>
      <c r="AL559" s="1030" t="str">
        <f>IFERROR(INDEX(G559:R559,1,MATCH(Parametres!$B$3,G$1:R$1,0)-1)*IF(OR(F559="L",F559="S",F559="I"),-1,1),"")</f>
        <v/>
      </c>
      <c r="AM559" s="1030">
        <f t="shared" si="33"/>
        <v>-432179.68</v>
      </c>
      <c r="AN559" s="1030">
        <f>INDEX(G559:R559,1,MATCH(Parametres!$B$3,G$1:R$1,0))*IF(OR(F559="L",F559="S",F559="I"),-1,1)</f>
        <v>-432179.68</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34"/>
        <v>H30900</v>
      </c>
      <c r="AU559" s="599" t="str">
        <f t="shared" si="34"/>
        <v>VTE KONA</v>
      </c>
      <c r="AV559" s="1030" t="str">
        <f>IFERROR(INDEX(V559:AG559,1,MATCH(Parametres!$B$3,V$1:AG$1,0)-1)*IF(OR(C559="L",C559="S",C559="I"),-1,1),"")</f>
        <v/>
      </c>
      <c r="AW559" s="1030">
        <f t="shared" si="35"/>
        <v>12</v>
      </c>
      <c r="AX559" s="1030">
        <f>INDEX(V559:AG559,1,MATCH(Parametres!$B$3,V$1:AG$1,0))*IF(OR(C559="L",C559="S",C559="I"),-1,1)</f>
        <v>12</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36"/>
        <v>H30901</v>
      </c>
      <c r="AK560" s="1030" t="str">
        <f t="shared" si="36"/>
        <v>VTE KONA EV</v>
      </c>
      <c r="AL560" s="1030" t="str">
        <f>IFERROR(INDEX(G560:R560,1,MATCH(Parametres!$B$3,G$1:R$1,0)-1)*IF(OR(F560="L",F560="S",F560="I"),-1,1),"")</f>
        <v/>
      </c>
      <c r="AM560" s="1030">
        <f t="shared" si="33"/>
        <v>-386265.71</v>
      </c>
      <c r="AN560" s="1030">
        <f>INDEX(G560:R560,1,MATCH(Parametres!$B$3,G$1:R$1,0))*IF(OR(F560="L",F560="S",F560="I"),-1,1)</f>
        <v>-386265.71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34"/>
        <v>H30901</v>
      </c>
      <c r="AU560" s="599" t="str">
        <f t="shared" si="34"/>
        <v>VTE KONA EV</v>
      </c>
      <c r="AV560" s="1030" t="str">
        <f>IFERROR(INDEX(V560:AG560,1,MATCH(Parametres!$B$3,V$1:AG$1,0)-1)*IF(OR(C560="L",C560="S",C560="I"),-1,1),"")</f>
        <v/>
      </c>
      <c r="AW560" s="1030">
        <f t="shared" si="35"/>
        <v>8</v>
      </c>
      <c r="AX560" s="1030">
        <f>INDEX(V560:AG560,1,MATCH(Parametres!$B$3,V$1:AG$1,0))*IF(OR(C560="L",C560="S",C560="I"),-1,1)</f>
        <v>8</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36"/>
        <v>H31000</v>
      </c>
      <c r="AK561" s="1030" t="str">
        <f t="shared" si="36"/>
        <v>VTE SONATA</v>
      </c>
      <c r="AL561" s="1030" t="str">
        <f>IFERROR(INDEX(G561:R561,1,MATCH(Parametres!$B$3,G$1:R$1,0)-1)*IF(OR(F561="L",F561="S",F561="I"),-1,1),"")</f>
        <v/>
      </c>
      <c r="AM561" s="1030">
        <f t="shared" si="33"/>
        <v>0</v>
      </c>
      <c r="AN561" s="1030">
        <f>INDEX(G561:R561,1,MATCH(Parametres!$B$3,G$1:R$1,0))*IF(OR(F561="L",F561="S",F561="I"),-1,1)</f>
        <v>0</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34"/>
        <v>H31000</v>
      </c>
      <c r="AU561" s="599" t="str">
        <f t="shared" si="34"/>
        <v>VTE SONATA</v>
      </c>
      <c r="AV561" s="1030" t="str">
        <f>IFERROR(INDEX(V561:AG561,1,MATCH(Parametres!$B$3,V$1:AG$1,0)-1)*IF(OR(C561="L",C561="S",C561="I"),-1,1),"")</f>
        <v/>
      </c>
      <c r="AW561" s="1030">
        <f t="shared" si="35"/>
        <v>0</v>
      </c>
      <c r="AX561" s="1030">
        <f>INDEX(V561:AG561,1,MATCH(Parametres!$B$3,V$1:AG$1,0))*IF(OR(C561="L",C561="S",C561="I"),-1,1)</f>
        <v>0</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36"/>
        <v>H31100</v>
      </c>
      <c r="AK562" s="1030" t="str">
        <f t="shared" si="36"/>
        <v>VTE EQUUS</v>
      </c>
      <c r="AL562" s="1030" t="str">
        <f>IFERROR(INDEX(G562:R562,1,MATCH(Parametres!$B$3,G$1:R$1,0)-1)*IF(OR(F562="L",F562="S",F562="I"),-1,1),"")</f>
        <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34"/>
        <v>H31100</v>
      </c>
      <c r="AU562" s="599" t="str">
        <f t="shared" si="34"/>
        <v>VTE EQUUS</v>
      </c>
      <c r="AV562" s="1030" t="str">
        <f>IFERROR(INDEX(V562:AG562,1,MATCH(Parametres!$B$3,V$1:AG$1,0)-1)*IF(OR(C562="L",C562="S",C562="I"),-1,1),"")</f>
        <v/>
      </c>
      <c r="AW562" s="1030">
        <f t="shared" si="35"/>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36"/>
        <v>H31200</v>
      </c>
      <c r="AK563" s="1030" t="str">
        <f t="shared" si="36"/>
        <v>VTE VELOSTER</v>
      </c>
      <c r="AL563" s="1030" t="str">
        <f>IFERROR(INDEX(G563:R563,1,MATCH(Parametres!$B$3,G$1:R$1,0)-1)*IF(OR(F563="L",F563="S",F563="I"),-1,1),"")</f>
        <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34"/>
        <v>H31200</v>
      </c>
      <c r="AU563" s="599" t="str">
        <f t="shared" si="34"/>
        <v>VTE VELOSTER</v>
      </c>
      <c r="AV563" s="1030" t="str">
        <f>IFERROR(INDEX(V563:AG563,1,MATCH(Parametres!$B$3,V$1:AG$1,0)-1)*IF(OR(C563="L",C563="S",C563="I"),-1,1),"")</f>
        <v/>
      </c>
      <c r="AW563" s="1030">
        <f t="shared" si="35"/>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36"/>
        <v>H31300</v>
      </c>
      <c r="AK564" s="1030" t="str">
        <f t="shared" si="36"/>
        <v>VTE TUCSON</v>
      </c>
      <c r="AL564" s="1030" t="str">
        <f>IFERROR(INDEX(G564:R564,1,MATCH(Parametres!$B$3,G$1:R$1,0)-1)*IF(OR(F564="L",F564="S",F564="I"),-1,1),"")</f>
        <v/>
      </c>
      <c r="AM564" s="1030">
        <f t="shared" si="33"/>
        <v>-200240.38</v>
      </c>
      <c r="AN564" s="1030">
        <f>INDEX(G564:R564,1,MATCH(Parametres!$B$3,G$1:R$1,0))*IF(OR(F564="L",F564="S",F564="I"),-1,1)</f>
        <v>-200240.38</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34"/>
        <v>H31300</v>
      </c>
      <c r="AU564" s="599" t="str">
        <f t="shared" si="34"/>
        <v>VTE TUCSON</v>
      </c>
      <c r="AV564" s="1030" t="str">
        <f>IFERROR(INDEX(V564:AG564,1,MATCH(Parametres!$B$3,V$1:AG$1,0)-1)*IF(OR(C564="L",C564="S",C564="I"),-1,1),"")</f>
        <v/>
      </c>
      <c r="AW564" s="1030">
        <f t="shared" si="35"/>
        <v>5</v>
      </c>
      <c r="AX564" s="1030">
        <f>INDEX(V564:AG564,1,MATCH(Parametres!$B$3,V$1:AG$1,0))*IF(OR(C564="L",C564="S",C564="I"),-1,1)</f>
        <v>5</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36"/>
        <v>H31301</v>
      </c>
      <c r="AK565" s="1030" t="str">
        <f t="shared" si="36"/>
        <v>VTE TUCSON HYBRIDE</v>
      </c>
      <c r="AL565" s="1030" t="str">
        <f>IFERROR(INDEX(G565:R565,1,MATCH(Parametres!$B$3,G$1:R$1,0)-1)*IF(OR(F565="L",F565="S",F565="I"),-1,1),"")</f>
        <v/>
      </c>
      <c r="AM565" s="1030">
        <f t="shared" si="33"/>
        <v>-380407.41</v>
      </c>
      <c r="AN565" s="1030">
        <f>INDEX(G565:R565,1,MATCH(Parametres!$B$3,G$1:R$1,0))*IF(OR(F565="L",F565="S",F565="I"),-1,1)</f>
        <v>-380407.41</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34"/>
        <v>H31301</v>
      </c>
      <c r="AU565" s="599" t="str">
        <f t="shared" si="34"/>
        <v>VTE TUCSON HYBRIDE</v>
      </c>
      <c r="AV565" s="1030" t="str">
        <f>IFERROR(INDEX(V565:AG565,1,MATCH(Parametres!$B$3,V$1:AG$1,0)-1)*IF(OR(C565="L",C565="S",C565="I"),-1,1),"")</f>
        <v/>
      </c>
      <c r="AW565" s="1030">
        <f t="shared" si="35"/>
        <v>8</v>
      </c>
      <c r="AX565" s="1030">
        <f>INDEX(V565:AG565,1,MATCH(Parametres!$B$3,V$1:AG$1,0))*IF(OR(C565="L",C565="S",C565="I"),-1,1)</f>
        <v>8</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36"/>
        <v>H31302</v>
      </c>
      <c r="AK566" s="1030" t="str">
        <f t="shared" si="36"/>
        <v>VTE TUCSON PHEV</v>
      </c>
      <c r="AL566" s="1030" t="str">
        <f>IFERROR(INDEX(G566:R566,1,MATCH(Parametres!$B$3,G$1:R$1,0)-1)*IF(OR(F566="L",F566="S",F566="I"),-1,1),"")</f>
        <v/>
      </c>
      <c r="AM566" s="1030">
        <f t="shared" si="33"/>
        <v>-169496.85</v>
      </c>
      <c r="AN566" s="1030">
        <f>INDEX(G566:R566,1,MATCH(Parametres!$B$3,G$1:R$1,0))*IF(OR(F566="L",F566="S",F566="I"),-1,1)</f>
        <v>-169496.85</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34"/>
        <v>H31302</v>
      </c>
      <c r="AU566" s="599" t="str">
        <f t="shared" si="34"/>
        <v>VTE TUCSON PHEV</v>
      </c>
      <c r="AV566" s="1030" t="str">
        <f>IFERROR(INDEX(V566:AG566,1,MATCH(Parametres!$B$3,V$1:AG$1,0)-1)*IF(OR(C566="L",C566="S",C566="I"),-1,1),"")</f>
        <v/>
      </c>
      <c r="AW566" s="1030">
        <f t="shared" si="35"/>
        <v>3</v>
      </c>
      <c r="AX566" s="1030">
        <f>INDEX(V566:AG566,1,MATCH(Parametres!$B$3,V$1:AG$1,0))*IF(OR(C566="L",C566="S",C566="I"),-1,1)</f>
        <v>3</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36"/>
        <v>H31400</v>
      </c>
      <c r="AK567" s="1030" t="str">
        <f t="shared" si="36"/>
        <v>VTE ACCESSOIRES INSTALL.</v>
      </c>
      <c r="AL567" s="1030" t="str">
        <f>IFERROR(INDEX(G567:R567,1,MATCH(Parametres!$B$3,G$1:R$1,0)-1)*IF(OR(F567="L",F567="S",F567="I"),-1,1),"")</f>
        <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34"/>
        <v>H31400</v>
      </c>
      <c r="AU567" s="599" t="str">
        <f t="shared" si="34"/>
        <v>VTE ACCESSOIRES INSTALL.</v>
      </c>
      <c r="AV567" s="1030" t="str">
        <f>IFERROR(INDEX(V567:AG567,1,MATCH(Parametres!$B$3,V$1:AG$1,0)-1)*IF(OR(C567="L",C567="S",C567="I"),-1,1),"")</f>
        <v/>
      </c>
      <c r="AW567" s="1030">
        <f t="shared" si="35"/>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36"/>
        <v>H31500</v>
      </c>
      <c r="AK568" s="1030" t="str">
        <f t="shared" si="36"/>
        <v>VTE P.P.H.</v>
      </c>
      <c r="AL568" s="1030" t="str">
        <f>IFERROR(INDEX(G568:R568,1,MATCH(Parametres!$B$3,G$1:R$1,0)-1)*IF(OR(F568="L",F568="S",F568="I"),-1,1),"")</f>
        <v/>
      </c>
      <c r="AM568" s="1030">
        <f t="shared" si="33"/>
        <v>-129445</v>
      </c>
      <c r="AN568" s="1030">
        <f>INDEX(G568:R568,1,MATCH(Parametres!$B$3,G$1:R$1,0))*IF(OR(F568="L",F568="S",F568="I"),-1,1)</f>
        <v>-129445</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34"/>
        <v>H31500</v>
      </c>
      <c r="AU568" s="599" t="str">
        <f t="shared" si="34"/>
        <v>VTE P.P.H.</v>
      </c>
      <c r="AV568" s="1030" t="str">
        <f>IFERROR(INDEX(V568:AG568,1,MATCH(Parametres!$B$3,V$1:AG$1,0)-1)*IF(OR(C568="L",C568="S",C568="I"),-1,1),"")</f>
        <v/>
      </c>
      <c r="AW568" s="1030">
        <f t="shared" si="35"/>
        <v>63</v>
      </c>
      <c r="AX568" s="1030">
        <f>INDEX(V568:AG568,1,MATCH(Parametres!$B$3,V$1:AG$1,0))*IF(OR(C568="L",C568="S",C568="I"),-1,1)</f>
        <v>63</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36"/>
        <v>H31600</v>
      </c>
      <c r="AK569" s="1030" t="str">
        <f t="shared" si="36"/>
        <v>VTE ASSURANCE</v>
      </c>
      <c r="AL569" s="1030" t="str">
        <f>IFERROR(INDEX(G569:R569,1,MATCH(Parametres!$B$3,G$1:R$1,0)-1)*IF(OR(F569="L",F569="S",F569="I"),-1,1),"")</f>
        <v/>
      </c>
      <c r="AM569" s="1030">
        <f t="shared" si="33"/>
        <v>0</v>
      </c>
      <c r="AN569" s="1030">
        <f>INDEX(G569:R569,1,MATCH(Parametres!$B$3,G$1:R$1,0))*IF(OR(F569="L",F569="S",F569="I"),-1,1)</f>
        <v>0</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34"/>
        <v>H31600</v>
      </c>
      <c r="AU569" s="599" t="str">
        <f t="shared" si="34"/>
        <v>VTE ASSURANCE</v>
      </c>
      <c r="AV569" s="1030" t="str">
        <f>IFERROR(INDEX(V569:AG569,1,MATCH(Parametres!$B$3,V$1:AG$1,0)-1)*IF(OR(C569="L",C569="S",C569="I"),-1,1),"")</f>
        <v/>
      </c>
      <c r="AW569" s="1030">
        <f t="shared" si="35"/>
        <v>0</v>
      </c>
      <c r="AX569" s="1030">
        <f>INDEX(V569:AG569,1,MATCH(Parametres!$B$3,V$1:AG$1,0))*IF(OR(C569="L",C569="S",C569="I"),-1,1)</f>
        <v>0</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36"/>
        <v>H31610</v>
      </c>
      <c r="AK570" s="1030" t="str">
        <f t="shared" si="36"/>
        <v>VTE ASSURANCE ROUTIERE</v>
      </c>
      <c r="AL570" s="1030" t="str">
        <f>IFERROR(INDEX(G570:R570,1,MATCH(Parametres!$B$3,G$1:R$1,0)-1)*IF(OR(F570="L",F570="S",F570="I"),-1,1),"")</f>
        <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34"/>
        <v>H31610</v>
      </c>
      <c r="AU570" s="599" t="str">
        <f t="shared" si="34"/>
        <v>VTE ASSURANCE ROUTIERE</v>
      </c>
      <c r="AV570" s="1030" t="str">
        <f>IFERROR(INDEX(V570:AG570,1,MATCH(Parametres!$B$3,V$1:AG$1,0)-1)*IF(OR(C570="L",C570="S",C570="I"),-1,1),"")</f>
        <v/>
      </c>
      <c r="AW570" s="1030">
        <f t="shared" si="35"/>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36"/>
        <v>H31640</v>
      </c>
      <c r="AK571" s="1030" t="str">
        <f t="shared" si="36"/>
        <v>VTE ASSURANCE ROUTIERE</v>
      </c>
      <c r="AL571" s="1030" t="str">
        <f>IFERROR(INDEX(G571:R571,1,MATCH(Parametres!$B$3,G$1:R$1,0)-1)*IF(OR(F571="L",F571="S",F571="I"),-1,1),"")</f>
        <v/>
      </c>
      <c r="AM571" s="1030">
        <f t="shared" si="33"/>
        <v>-3500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34"/>
        <v>H31640</v>
      </c>
      <c r="AU571" s="599" t="str">
        <f t="shared" si="34"/>
        <v>VTE ASSURANCE ROUTIERE</v>
      </c>
      <c r="AV571" s="1030" t="str">
        <f>IFERROR(INDEX(V571:AG571,1,MATCH(Parametres!$B$3,V$1:AG$1,0)-1)*IF(OR(C571="L",C571="S",C571="I"),-1,1),"")</f>
        <v/>
      </c>
      <c r="AW571" s="1030">
        <f t="shared" si="35"/>
        <v>1</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36"/>
        <v>H31700</v>
      </c>
      <c r="AK572" s="1030" t="str">
        <f t="shared" si="36"/>
        <v>VTE REVENUS FINANCE</v>
      </c>
      <c r="AL572" s="1030" t="str">
        <f>IFERROR(INDEX(G572:R572,1,MATCH(Parametres!$B$3,G$1:R$1,0)-1)*IF(OR(F572="L",F572="S",F572="I"),-1,1),"")</f>
        <v/>
      </c>
      <c r="AM572" s="1030">
        <f t="shared" si="33"/>
        <v>-26.16</v>
      </c>
      <c r="AN572" s="1030">
        <f>INDEX(G572:R572,1,MATCH(Parametres!$B$3,G$1:R$1,0))*IF(OR(F572="L",F572="S",F572="I"),-1,1)</f>
        <v>-26.16</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34"/>
        <v>H31700</v>
      </c>
      <c r="AU572" s="599" t="str">
        <f t="shared" si="34"/>
        <v>VTE REVENUS FINANCE</v>
      </c>
      <c r="AV572" s="1030" t="str">
        <f>IFERROR(INDEX(V572:AG572,1,MATCH(Parametres!$B$3,V$1:AG$1,0)-1)*IF(OR(C572="L",C572="S",C572="I"),-1,1),"")</f>
        <v/>
      </c>
      <c r="AW572" s="1030">
        <f t="shared" si="35"/>
        <v>1</v>
      </c>
      <c r="AX572" s="1030">
        <f>INDEX(V572:AG572,1,MATCH(Parametres!$B$3,V$1:AG$1,0))*IF(OR(C572="L",C572="S",C572="I"),-1,1)</f>
        <v>1</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36"/>
        <v>H31800</v>
      </c>
      <c r="AK573" s="1030" t="str">
        <f t="shared" si="36"/>
        <v>VTE CHIMIQUES</v>
      </c>
      <c r="AL573" s="1030" t="str">
        <f>IFERROR(INDEX(G573:R573,1,MATCH(Parametres!$B$3,G$1:R$1,0)-1)*IF(OR(F573="L",F573="S",F573="I"),-1,1),"")</f>
        <v/>
      </c>
      <c r="AM573" s="1030">
        <f t="shared" si="33"/>
        <v>-53623</v>
      </c>
      <c r="AN573" s="1030">
        <f>INDEX(G573:R573,1,MATCH(Parametres!$B$3,G$1:R$1,0))*IF(OR(F573="L",F573="S",F573="I"),-1,1)</f>
        <v>-53623</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34"/>
        <v>H31800</v>
      </c>
      <c r="AU573" s="599" t="str">
        <f t="shared" si="34"/>
        <v>VTE CHIMIQUES</v>
      </c>
      <c r="AV573" s="1030" t="str">
        <f>IFERROR(INDEX(V573:AG573,1,MATCH(Parametres!$B$3,V$1:AG$1,0)-1)*IF(OR(C573="L",C573="S",C573="I"),-1,1),"")</f>
        <v/>
      </c>
      <c r="AW573" s="1030">
        <f t="shared" si="35"/>
        <v>43</v>
      </c>
      <c r="AX573" s="1030">
        <f>INDEX(V573:AG573,1,MATCH(Parametres!$B$3,V$1:AG$1,0))*IF(OR(C573="L",C573="S",C573="I"),-1,1)</f>
        <v>43</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36"/>
        <v>H31810</v>
      </c>
      <c r="AK574" s="1030" t="str">
        <f t="shared" si="36"/>
        <v>VTE ENREGISTR &amp; LICENSE</v>
      </c>
      <c r="AL574" s="1030" t="str">
        <f>IFERROR(INDEX(G574:R574,1,MATCH(Parametres!$B$3,G$1:R$1,0)-1)*IF(OR(F574="L",F574="S",F574="I"),-1,1),"")</f>
        <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34"/>
        <v>H31810</v>
      </c>
      <c r="AU574" s="599" t="str">
        <f t="shared" si="34"/>
        <v>VTE ENREGISTR &amp; LICENSE</v>
      </c>
      <c r="AV574" s="1030" t="str">
        <f>IFERROR(INDEX(V574:AG574,1,MATCH(Parametres!$B$3,V$1:AG$1,0)-1)*IF(OR(C574="L",C574="S",C574="I"),-1,1),"")</f>
        <v/>
      </c>
      <c r="AW574" s="1030">
        <f t="shared" si="35"/>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36"/>
        <v>H31811</v>
      </c>
      <c r="AK575" s="1030" t="str">
        <f t="shared" si="36"/>
        <v>VTE ASS. USURE</v>
      </c>
      <c r="AL575" s="1030" t="str">
        <f>IFERROR(INDEX(G575:R575,1,MATCH(Parametres!$B$3,G$1:R$1,0)-1)*IF(OR(F575="L",F575="S",F575="I"),-1,1),"")</f>
        <v/>
      </c>
      <c r="AM575" s="1030">
        <f t="shared" si="33"/>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34"/>
        <v>H31811</v>
      </c>
      <c r="AU575" s="599" t="str">
        <f t="shared" si="34"/>
        <v>VTE ASS. USURE</v>
      </c>
      <c r="AV575" s="1030" t="str">
        <f>IFERROR(INDEX(V575:AG575,1,MATCH(Parametres!$B$3,V$1:AG$1,0)-1)*IF(OR(C575="L",C575="S",C575="I"),-1,1),"")</f>
        <v/>
      </c>
      <c r="AW575" s="1030">
        <f t="shared" si="35"/>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36"/>
        <v>H31900</v>
      </c>
      <c r="AK576" s="1030" t="str">
        <f t="shared" si="36"/>
        <v>VTE PARCS NEUF</v>
      </c>
      <c r="AL576" s="1030" t="str">
        <f>IFERROR(INDEX(G576:R576,1,MATCH(Parametres!$B$3,G$1:R$1,0)-1)*IF(OR(F576="L",F576="S",F576="I"),-1,1),"")</f>
        <v/>
      </c>
      <c r="AM576" s="1030">
        <f t="shared" si="33"/>
        <v>0</v>
      </c>
      <c r="AN576" s="1030">
        <f>INDEX(G576:R576,1,MATCH(Parametres!$B$3,G$1:R$1,0))*IF(OR(F576="L",F576="S",F576="I"),-1,1)</f>
        <v>0</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34"/>
        <v>H31900</v>
      </c>
      <c r="AU576" s="599" t="str">
        <f t="shared" si="34"/>
        <v>VTE PARCS NEUF</v>
      </c>
      <c r="AV576" s="1030" t="str">
        <f>IFERROR(INDEX(V576:AG576,1,MATCH(Parametres!$B$3,V$1:AG$1,0)-1)*IF(OR(C576="L",C576="S",C576="I"),-1,1),"")</f>
        <v/>
      </c>
      <c r="AW576" s="1030">
        <f t="shared" si="35"/>
        <v>0</v>
      </c>
      <c r="AX576" s="1030">
        <f>INDEX(V576:AG576,1,MATCH(Parametres!$B$3,V$1:AG$1,0))*IF(OR(C576="L",C576="S",C576="I"),-1,1)</f>
        <v>0</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36"/>
        <v>H31910</v>
      </c>
      <c r="AK577" s="1030" t="str">
        <f t="shared" si="36"/>
        <v>VTE PARC CAMIONS</v>
      </c>
      <c r="AL577" s="1030" t="str">
        <f>IFERROR(INDEX(G577:R577,1,MATCH(Parametres!$B$3,G$1:R$1,0)-1)*IF(OR(F577="L",F577="S",F577="I"),-1,1),"")</f>
        <v/>
      </c>
      <c r="AM577" s="1030">
        <f t="shared" si="33"/>
        <v>0</v>
      </c>
      <c r="AN577" s="1030">
        <f>INDEX(G577:R577,1,MATCH(Parametres!$B$3,G$1:R$1,0))*IF(OR(F577="L",F577="S",F577="I"),-1,1)</f>
        <v>0</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34"/>
        <v>H31910</v>
      </c>
      <c r="AU577" s="599" t="str">
        <f t="shared" si="34"/>
        <v>VTE PARC CAMIONS</v>
      </c>
      <c r="AV577" s="1030" t="str">
        <f>IFERROR(INDEX(V577:AG577,1,MATCH(Parametres!$B$3,V$1:AG$1,0)-1)*IF(OR(C577="L",C577="S",C577="I"),-1,1),"")</f>
        <v/>
      </c>
      <c r="AW577" s="1030">
        <f t="shared" si="35"/>
        <v>0</v>
      </c>
      <c r="AX577" s="1030">
        <f>INDEX(V577:AG577,1,MATCH(Parametres!$B$3,V$1:AG$1,0))*IF(OR(C577="L",C577="S",C577="I"),-1,1)</f>
        <v>0</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36"/>
        <v>H32000</v>
      </c>
      <c r="AK578" s="1030" t="str">
        <f t="shared" si="36"/>
        <v>VTE RACHAT LOCATION</v>
      </c>
      <c r="AL578" s="1030" t="str">
        <f>IFERROR(INDEX(G578:R578,1,MATCH(Parametres!$B$3,G$1:R$1,0)-1)*IF(OR(F578="L",F578="S",F578="I"),-1,1),"")</f>
        <v/>
      </c>
      <c r="AM578" s="1030">
        <f t="shared" si="33"/>
        <v>-189533.03</v>
      </c>
      <c r="AN578" s="1030">
        <f>INDEX(G578:R578,1,MATCH(Parametres!$B$3,G$1:R$1,0))*IF(OR(F578="L",F578="S",F578="I"),-1,1)</f>
        <v>-189533.03</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34"/>
        <v>H32000</v>
      </c>
      <c r="AU578" s="599" t="str">
        <f t="shared" si="34"/>
        <v>VTE RACHAT LOCATION</v>
      </c>
      <c r="AV578" s="1030" t="str">
        <f>IFERROR(INDEX(V578:AG578,1,MATCH(Parametres!$B$3,V$1:AG$1,0)-1)*IF(OR(C578="L",C578="S",C578="I"),-1,1),"")</f>
        <v/>
      </c>
      <c r="AW578" s="1030">
        <f t="shared" si="35"/>
        <v>11</v>
      </c>
      <c r="AX578" s="1030">
        <f>INDEX(V578:AG578,1,MATCH(Parametres!$B$3,V$1:AG$1,0))*IF(OR(C578="L",C578="S",C578="I"),-1,1)</f>
        <v>11</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36"/>
        <v>H32100</v>
      </c>
      <c r="AK579" s="1030" t="str">
        <f t="shared" si="36"/>
        <v>VTE PALISADE</v>
      </c>
      <c r="AL579" s="1030" t="str">
        <f>IFERROR(INDEX(G579:R579,1,MATCH(Parametres!$B$3,G$1:R$1,0)-1)*IF(OR(F579="L",F579="S",F579="I"),-1,1),"")</f>
        <v/>
      </c>
      <c r="AM579" s="1030">
        <f t="shared" si="33"/>
        <v>0</v>
      </c>
      <c r="AN579" s="1030">
        <f>INDEX(G579:R579,1,MATCH(Parametres!$B$3,G$1:R$1,0))*IF(OR(F579="L",F579="S",F579="I"),-1,1)</f>
        <v>0</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34"/>
        <v>H32100</v>
      </c>
      <c r="AU579" s="599" t="str">
        <f t="shared" si="34"/>
        <v>VTE PALISADE</v>
      </c>
      <c r="AV579" s="1030" t="str">
        <f>IFERROR(INDEX(V579:AG579,1,MATCH(Parametres!$B$3,V$1:AG$1,0)-1)*IF(OR(C579="L",C579="S",C579="I"),-1,1),"")</f>
        <v/>
      </c>
      <c r="AW579" s="1030">
        <f t="shared" si="35"/>
        <v>0</v>
      </c>
      <c r="AX579" s="1030">
        <f>INDEX(V579:AG579,1,MATCH(Parametres!$B$3,V$1:AG$1,0))*IF(OR(C579="L",C579="S",C579="I"),-1,1)</f>
        <v>0</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36"/>
        <v>H32200</v>
      </c>
      <c r="AK580" s="1030" t="str">
        <f t="shared" si="36"/>
        <v>VTE VENUE</v>
      </c>
      <c r="AL580" s="1030" t="str">
        <f>IFERROR(INDEX(G580:R580,1,MATCH(Parametres!$B$3,G$1:R$1,0)-1)*IF(OR(F580="L",F580="S",F580="I"),-1,1),"")</f>
        <v/>
      </c>
      <c r="AM580" s="1030">
        <f t="shared" ref="AM580:AM643" si="37">AN580-N(AL580)</f>
        <v>-235155.62</v>
      </c>
      <c r="AN580" s="1030">
        <f>INDEX(G580:R580,1,MATCH(Parametres!$B$3,G$1:R$1,0))*IF(OR(F580="L",F580="S",F580="I"),-1,1)</f>
        <v>-235155.62</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U643" si="38">C580</f>
        <v>H32200</v>
      </c>
      <c r="AU580" s="599" t="str">
        <f t="shared" si="38"/>
        <v>VTE VENUE</v>
      </c>
      <c r="AV580" s="1030" t="str">
        <f>IFERROR(INDEX(V580:AG580,1,MATCH(Parametres!$B$3,V$1:AG$1,0)-1)*IF(OR(C580="L",C580="S",C580="I"),-1,1),"")</f>
        <v/>
      </c>
      <c r="AW580" s="1030">
        <f t="shared" ref="AW580:AW643" si="39">AX580-N(AV580)</f>
        <v>9</v>
      </c>
      <c r="AX580" s="1030">
        <f>INDEX(V580:AG580,1,MATCH(Parametres!$B$3,V$1:AG$1,0))*IF(OR(C580="L",C580="S",C580="I"),-1,1)</f>
        <v>9</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36"/>
        <v>H32300</v>
      </c>
      <c r="AK581" s="1030" t="str">
        <f t="shared" si="36"/>
        <v>VTE USAGES CERTIFIES</v>
      </c>
      <c r="AL581" s="1030" t="str">
        <f>IFERROR(INDEX(G581:R581,1,MATCH(Parametres!$B$3,G$1:R$1,0)-1)*IF(OR(F581="L",F581="S",F581="I"),-1,1),"")</f>
        <v/>
      </c>
      <c r="AM581" s="1030">
        <f t="shared" si="37"/>
        <v>-101131.51</v>
      </c>
      <c r="AN581" s="1030">
        <f>INDEX(G581:R581,1,MATCH(Parametres!$B$3,G$1:R$1,0))*IF(OR(F581="L",F581="S",F581="I"),-1,1)</f>
        <v>-101131.51</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38"/>
        <v>H32300</v>
      </c>
      <c r="AU581" s="599" t="str">
        <f t="shared" si="38"/>
        <v>VTE USAGES CERTIFIES</v>
      </c>
      <c r="AV581" s="1030" t="str">
        <f>IFERROR(INDEX(V581:AG581,1,MATCH(Parametres!$B$3,V$1:AG$1,0)-1)*IF(OR(C581="L",C581="S",C581="I"),-1,1),"")</f>
        <v/>
      </c>
      <c r="AW581" s="1030">
        <f t="shared" si="39"/>
        <v>5</v>
      </c>
      <c r="AX581" s="1030">
        <f>INDEX(V581:AG581,1,MATCH(Parametres!$B$3,V$1:AG$1,0))*IF(OR(C581="L",C581="S",C581="I"),-1,1)</f>
        <v>5</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36"/>
        <v>H32400</v>
      </c>
      <c r="AK582" s="1030" t="str">
        <f t="shared" si="36"/>
        <v>VTE OCC CERTIF HYUNDAI</v>
      </c>
      <c r="AL582" s="1030" t="str">
        <f>IFERROR(INDEX(G582:R582,1,MATCH(Parametres!$B$3,G$1:R$1,0)-1)*IF(OR(F582="L",F582="S",F582="I"),-1,1),"")</f>
        <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38"/>
        <v>H32400</v>
      </c>
      <c r="AU582" s="599" t="str">
        <f t="shared" si="38"/>
        <v>VTE OCC CERTIF HYUNDAI</v>
      </c>
      <c r="AV582" s="1030" t="str">
        <f>IFERROR(INDEX(V582:AG582,1,MATCH(Parametres!$B$3,V$1:AG$1,0)-1)*IF(OR(C582="L",C582="S",C582="I"),-1,1),"")</f>
        <v/>
      </c>
      <c r="AW582" s="1030">
        <f t="shared" si="3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36"/>
        <v>H32500</v>
      </c>
      <c r="AK583" s="1030" t="str">
        <f t="shared" si="36"/>
        <v>VTE OCC DETAIL</v>
      </c>
      <c r="AL583" s="1030" t="str">
        <f>IFERROR(INDEX(G583:R583,1,MATCH(Parametres!$B$3,G$1:R$1,0)-1)*IF(OR(F583="L",F583="S",F583="I"),-1,1),"")</f>
        <v/>
      </c>
      <c r="AM583" s="1030">
        <f t="shared" si="37"/>
        <v>-19084.95</v>
      </c>
      <c r="AN583" s="1030">
        <f>INDEX(G583:R583,1,MATCH(Parametres!$B$3,G$1:R$1,0))*IF(OR(F583="L",F583="S",F583="I"),-1,1)</f>
        <v>-19084.95</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38"/>
        <v>H32500</v>
      </c>
      <c r="AU583" s="599" t="str">
        <f t="shared" si="38"/>
        <v>VTE OCC DETAIL</v>
      </c>
      <c r="AV583" s="1030" t="str">
        <f>IFERROR(INDEX(V583:AG583,1,MATCH(Parametres!$B$3,V$1:AG$1,0)-1)*IF(OR(C583="L",C583="S",C583="I"),-1,1),"")</f>
        <v/>
      </c>
      <c r="AW583" s="1030">
        <f t="shared" si="39"/>
        <v>1</v>
      </c>
      <c r="AX583" s="1030">
        <f>INDEX(V583:AG583,1,MATCH(Parametres!$B$3,V$1:AG$1,0))*IF(OR(C583="L",C583="S",C583="I"),-1,1)</f>
        <v>1</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36"/>
        <v>H32600</v>
      </c>
      <c r="AK584" s="1030" t="str">
        <f t="shared" si="36"/>
        <v>REMISE EN ETAT VEH OCCASS</v>
      </c>
      <c r="AL584" s="1030" t="str">
        <f>IFERROR(INDEX(G584:R584,1,MATCH(Parametres!$B$3,G$1:R$1,0)-1)*IF(OR(F584="L",F584="S",F584="I"),-1,1),"")</f>
        <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38"/>
        <v>H32600</v>
      </c>
      <c r="AU584" s="599" t="str">
        <f t="shared" si="38"/>
        <v>REMISE EN ETAT VEH OCCASS</v>
      </c>
      <c r="AV584" s="1030" t="str">
        <f>IFERROR(INDEX(V584:AG584,1,MATCH(Parametres!$B$3,V$1:AG$1,0)-1)*IF(OR(C584="L",C584="S",C584="I"),-1,1),"")</f>
        <v/>
      </c>
      <c r="AW584" s="1030">
        <f t="shared" si="3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36"/>
        <v>H32700</v>
      </c>
      <c r="AK585" s="1030" t="str">
        <f t="shared" si="36"/>
        <v>VTE OCC AUTRE DETAIL</v>
      </c>
      <c r="AL585" s="1030" t="str">
        <f>IFERROR(INDEX(G585:R585,1,MATCH(Parametres!$B$3,G$1:R$1,0)-1)*IF(OR(F585="L",F585="S",F585="I"),-1,1),"")</f>
        <v/>
      </c>
      <c r="AM585" s="1030">
        <f t="shared" si="37"/>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38"/>
        <v>H32700</v>
      </c>
      <c r="AU585" s="599" t="str">
        <f t="shared" si="38"/>
        <v>VTE OCC AUTRE DETAIL</v>
      </c>
      <c r="AV585" s="1030" t="str">
        <f>IFERROR(INDEX(V585:AG585,1,MATCH(Parametres!$B$3,V$1:AG$1,0)-1)*IF(OR(C585="L",C585="S",C585="I"),-1,1),"")</f>
        <v/>
      </c>
      <c r="AW585" s="1030">
        <f t="shared" si="3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36"/>
        <v>H32800</v>
      </c>
      <c r="AK586" s="1030" t="str">
        <f t="shared" si="36"/>
        <v>REMISE ETAT VEH OCC AUTRE</v>
      </c>
      <c r="AL586" s="1030" t="str">
        <f>IFERROR(INDEX(G586:R586,1,MATCH(Parametres!$B$3,G$1:R$1,0)-1)*IF(OR(F586="L",F586="S",F586="I"),-1,1),"")</f>
        <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38"/>
        <v>H32800</v>
      </c>
      <c r="AU586" s="599" t="str">
        <f t="shared" si="38"/>
        <v>REMISE ETAT VEH OCC AUTRE</v>
      </c>
      <c r="AV586" s="1030" t="str">
        <f>IFERROR(INDEX(V586:AG586,1,MATCH(Parametres!$B$3,V$1:AG$1,0)-1)*IF(OR(C586="L",C586="S",C586="I"),-1,1),"")</f>
        <v/>
      </c>
      <c r="AW586" s="1030">
        <f t="shared" si="3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36"/>
        <v>H32900</v>
      </c>
      <c r="AK587" s="1030" t="str">
        <f t="shared" si="36"/>
        <v>VTE ACCOMODATION</v>
      </c>
      <c r="AL587" s="1030" t="str">
        <f>IFERROR(INDEX(G587:R587,1,MATCH(Parametres!$B$3,G$1:R$1,0)-1)*IF(OR(F587="L",F587="S",F587="I"),-1,1),"")</f>
        <v/>
      </c>
      <c r="AM587" s="1030">
        <f t="shared" si="37"/>
        <v>-89200</v>
      </c>
      <c r="AN587" s="1030">
        <f>INDEX(G587:R587,1,MATCH(Parametres!$B$3,G$1:R$1,0))*IF(OR(F587="L",F587="S",F587="I"),-1,1)</f>
        <v>-89200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38"/>
        <v>H32900</v>
      </c>
      <c r="AU587" s="599" t="str">
        <f t="shared" si="38"/>
        <v>VTE ACCOMODATION</v>
      </c>
      <c r="AV587" s="1030" t="str">
        <f>IFERROR(INDEX(V587:AG587,1,MATCH(Parametres!$B$3,V$1:AG$1,0)-1)*IF(OR(C587="L",C587="S",C587="I"),-1,1),"")</f>
        <v/>
      </c>
      <c r="AW587" s="1030">
        <f t="shared" si="39"/>
        <v>4</v>
      </c>
      <c r="AX587" s="1030">
        <f>INDEX(V587:AG587,1,MATCH(Parametres!$B$3,V$1:AG$1,0))*IF(OR(C587="L",C587="S",C587="I"),-1,1)</f>
        <v>4</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36"/>
        <v>H32950</v>
      </c>
      <c r="AK588" s="1030" t="str">
        <f t="shared" si="36"/>
        <v>DIS INC GENESIS SUV</v>
      </c>
      <c r="AL588" s="1030" t="str">
        <f>IFERROR(INDEX(G588:R588,1,MATCH(Parametres!$B$3,G$1:R$1,0)-1)*IF(OR(F588="L",F588="S",F588="I"),-1,1),"")</f>
        <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38"/>
        <v>H32950</v>
      </c>
      <c r="AU588" s="599" t="str">
        <f t="shared" si="38"/>
        <v>DIS INC GENESIS SUV</v>
      </c>
      <c r="AV588" s="1030" t="str">
        <f>IFERROR(INDEX(V588:AG588,1,MATCH(Parametres!$B$3,V$1:AG$1,0)-1)*IF(OR(C588="L",C588="S",C588="I"),-1,1),"")</f>
        <v/>
      </c>
      <c r="AW588" s="1030">
        <f t="shared" si="3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36"/>
        <v>H32999</v>
      </c>
      <c r="AK589" s="1030" t="str">
        <f t="shared" si="36"/>
        <v>ECHANGE CONCESSIONNAIRE</v>
      </c>
      <c r="AL589" s="1030" t="str">
        <f>IFERROR(INDEX(G589:R589,1,MATCH(Parametres!$B$3,G$1:R$1,0)-1)*IF(OR(F589="L",F589="S",F589="I"),-1,1),"")</f>
        <v/>
      </c>
      <c r="AM589" s="1030">
        <f t="shared" si="37"/>
        <v>-106106</v>
      </c>
      <c r="AN589" s="1030">
        <f>INDEX(G589:R589,1,MATCH(Parametres!$B$3,G$1:R$1,0))*IF(OR(F589="L",F589="S",F589="I"),-1,1)</f>
        <v>-106106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38"/>
        <v>H32999</v>
      </c>
      <c r="AU589" s="599" t="str">
        <f t="shared" si="38"/>
        <v>ECHANGE CONCESSIONNAIRE</v>
      </c>
      <c r="AV589" s="1030" t="str">
        <f>IFERROR(INDEX(V589:AG589,1,MATCH(Parametres!$B$3,V$1:AG$1,0)-1)*IF(OR(C589="L",C589="S",C589="I"),-1,1),"")</f>
        <v/>
      </c>
      <c r="AW589" s="1030">
        <f t="shared" si="39"/>
        <v>2</v>
      </c>
      <c r="AX589" s="1030">
        <f>INDEX(V589:AG589,1,MATCH(Parametres!$B$3,V$1:AG$1,0))*IF(OR(C589="L",C589="S",C589="I"),-1,1)</f>
        <v>2</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36"/>
        <v>H33000</v>
      </c>
      <c r="AK590" s="1030" t="str">
        <f t="shared" si="36"/>
        <v>VTE ELANTRA</v>
      </c>
      <c r="AL590" s="1030" t="str">
        <f>IFERROR(INDEX(G590:R590,1,MATCH(Parametres!$B$3,G$1:R$1,0)-1)*IF(OR(F590="L",F590="S",F590="I"),-1,1),"")</f>
        <v/>
      </c>
      <c r="AM590" s="1030">
        <f t="shared" si="37"/>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38"/>
        <v>H33000</v>
      </c>
      <c r="AU590" s="599" t="str">
        <f t="shared" si="38"/>
        <v>VTE ELANTRA</v>
      </c>
      <c r="AV590" s="1030" t="str">
        <f>IFERROR(INDEX(V590:AG590,1,MATCH(Parametres!$B$3,V$1:AG$1,0)-1)*IF(OR(C590="L",C590="S",C590="I"),-1,1),"")</f>
        <v/>
      </c>
      <c r="AW590" s="1030">
        <f t="shared" si="3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36"/>
        <v>H33200</v>
      </c>
      <c r="AK591" s="1030" t="str">
        <f t="shared" si="36"/>
        <v>VTE OCC EN GROS</v>
      </c>
      <c r="AL591" s="1030" t="str">
        <f>IFERROR(INDEX(G591:R591,1,MATCH(Parametres!$B$3,G$1:R$1,0)-1)*IF(OR(F591="L",F591="S",F591="I"),-1,1),"")</f>
        <v/>
      </c>
      <c r="AM591" s="1030">
        <f t="shared" si="37"/>
        <v>-552623</v>
      </c>
      <c r="AN591" s="1030">
        <f>INDEX(G591:R591,1,MATCH(Parametres!$B$3,G$1:R$1,0))*IF(OR(F591="L",F591="S",F591="I"),-1,1)</f>
        <v>-552623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38"/>
        <v>H33200</v>
      </c>
      <c r="AU591" s="599" t="str">
        <f t="shared" si="38"/>
        <v>VTE OCC EN GROS</v>
      </c>
      <c r="AV591" s="1030" t="str">
        <f>IFERROR(INDEX(V591:AG591,1,MATCH(Parametres!$B$3,V$1:AG$1,0)-1)*IF(OR(C591="L",C591="S",C591="I"),-1,1),"")</f>
        <v/>
      </c>
      <c r="AW591" s="1030">
        <f t="shared" si="39"/>
        <v>39</v>
      </c>
      <c r="AX591" s="1030">
        <f>INDEX(V591:AG591,1,MATCH(Parametres!$B$3,V$1:AG$1,0))*IF(OR(C591="L",C591="S",C591="I"),-1,1)</f>
        <v>39</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36"/>
        <v>H33201</v>
      </c>
      <c r="AK592" s="1030" t="str">
        <f t="shared" si="36"/>
        <v>VTE EBLOCK - EN GROS</v>
      </c>
      <c r="AL592" s="1030" t="str">
        <f>IFERROR(INDEX(G592:R592,1,MATCH(Parametres!$B$3,G$1:R$1,0)-1)*IF(OR(F592="L",F592="S",F592="I"),-1,1),"")</f>
        <v/>
      </c>
      <c r="AM592" s="1030">
        <f t="shared" si="37"/>
        <v>-290728</v>
      </c>
      <c r="AN592" s="1030">
        <f>INDEX(G592:R592,1,MATCH(Parametres!$B$3,G$1:R$1,0))*IF(OR(F592="L",F592="S",F592="I"),-1,1)</f>
        <v>-290728</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38"/>
        <v>H33201</v>
      </c>
      <c r="AU592" s="599" t="str">
        <f t="shared" si="38"/>
        <v>VTE EBLOCK - EN GROS</v>
      </c>
      <c r="AV592" s="1030" t="str">
        <f>IFERROR(INDEX(V592:AG592,1,MATCH(Parametres!$B$3,V$1:AG$1,0)-1)*IF(OR(C592="L",C592="S",C592="I"),-1,1),"")</f>
        <v/>
      </c>
      <c r="AW592" s="1030">
        <f t="shared" si="39"/>
        <v>15</v>
      </c>
      <c r="AX592" s="1030">
        <f>INDEX(V592:AG592,1,MATCH(Parametres!$B$3,V$1:AG$1,0))*IF(OR(C592="L",C592="S",C592="I"),-1,1)</f>
        <v>15</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36"/>
        <v>H33202</v>
      </c>
      <c r="AK593" s="1030" t="str">
        <f t="shared" si="36"/>
        <v>WHOLESALE PAT</v>
      </c>
      <c r="AL593" s="1030" t="str">
        <f>IFERROR(INDEX(G593:R593,1,MATCH(Parametres!$B$3,G$1:R$1,0)-1)*IF(OR(F593="L",F593="S",F593="I"),-1,1),"")</f>
        <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38"/>
        <v>H33202</v>
      </c>
      <c r="AU593" s="599" t="str">
        <f t="shared" si="38"/>
        <v>WHOLESALE PAT</v>
      </c>
      <c r="AV593" s="1030" t="str">
        <f>IFERROR(INDEX(V593:AG593,1,MATCH(Parametres!$B$3,V$1:AG$1,0)-1)*IF(OR(C593="L",C593="S",C593="I"),-1,1),"")</f>
        <v/>
      </c>
      <c r="AW593" s="1030">
        <f t="shared" si="3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36"/>
        <v>H33300</v>
      </c>
      <c r="AK594" s="1030" t="str">
        <f t="shared" si="36"/>
        <v>VTE USAGE RACHAT LOCATION</v>
      </c>
      <c r="AL594" s="1030" t="str">
        <f>IFERROR(INDEX(G594:R594,1,MATCH(Parametres!$B$3,G$1:R$1,0)-1)*IF(OR(F594="L",F594="S",F594="I"),-1,1),"")</f>
        <v/>
      </c>
      <c r="AM594" s="1030">
        <f t="shared" si="37"/>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38"/>
        <v>H33300</v>
      </c>
      <c r="AU594" s="599" t="str">
        <f t="shared" si="38"/>
        <v>VTE USAGE RACHAT LOCATION</v>
      </c>
      <c r="AV594" s="1030" t="str">
        <f>IFERROR(INDEX(V594:AG594,1,MATCH(Parametres!$B$3,V$1:AG$1,0)-1)*IF(OR(C594="L",C594="S",C594="I"),-1,1),"")</f>
        <v/>
      </c>
      <c r="AW594" s="1030">
        <f t="shared" si="3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si="36"/>
        <v>H33310</v>
      </c>
      <c r="AK595" s="1030" t="str">
        <f t="shared" si="36"/>
        <v>VTE P.P.H./REVENU FINANCE</v>
      </c>
      <c r="AL595" s="1030" t="str">
        <f>IFERROR(INDEX(G595:R595,1,MATCH(Parametres!$B$3,G$1:R$1,0)-1)*IF(OR(F595="L",F595="S",F595="I"),-1,1),"")</f>
        <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38"/>
        <v>H33310</v>
      </c>
      <c r="AU595" s="599" t="str">
        <f t="shared" si="38"/>
        <v>VTE P.P.H./REVENU FINANCE</v>
      </c>
      <c r="AV595" s="1030" t="str">
        <f>IFERROR(INDEX(V595:AG595,1,MATCH(Parametres!$B$3,V$1:AG$1,0)-1)*IF(OR(C595="L",C595="S",C595="I"),-1,1),"")</f>
        <v/>
      </c>
      <c r="AW595" s="1030">
        <f t="shared" si="3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ref="AJ596:AK659" si="40">C596</f>
        <v>H33320</v>
      </c>
      <c r="AK596" s="1030" t="str">
        <f t="shared" si="40"/>
        <v>VTE ASSURANCE USAGES</v>
      </c>
      <c r="AL596" s="1030" t="str">
        <f>IFERROR(INDEX(G596:R596,1,MATCH(Parametres!$B$3,G$1:R$1,0)-1)*IF(OR(F596="L",F596="S",F596="I"),-1,1),"")</f>
        <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38"/>
        <v>H33320</v>
      </c>
      <c r="AU596" s="599" t="str">
        <f t="shared" si="38"/>
        <v>VTE ASSURANCE USAGES</v>
      </c>
      <c r="AV596" s="1030" t="str">
        <f>IFERROR(INDEX(V596:AG596,1,MATCH(Parametres!$B$3,V$1:AG$1,0)-1)*IF(OR(C596="L",C596="S",C596="I"),-1,1),"")</f>
        <v/>
      </c>
      <c r="AW596" s="1030">
        <f t="shared" si="3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40"/>
        <v>H33330</v>
      </c>
      <c r="AK597" s="1030" t="str">
        <f t="shared" si="40"/>
        <v>VTE OCC REVENU FINANCE</v>
      </c>
      <c r="AL597" s="1030" t="str">
        <f>IFERROR(INDEX(G597:R597,1,MATCH(Parametres!$B$3,G$1:R$1,0)-1)*IF(OR(F597="L",F597="S",F597="I"),-1,1),"")</f>
        <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38"/>
        <v>H33330</v>
      </c>
      <c r="AU597" s="599" t="str">
        <f t="shared" si="38"/>
        <v>VTE OCC REVENU FINANCE</v>
      </c>
      <c r="AV597" s="1030" t="str">
        <f>IFERROR(INDEX(V597:AG597,1,MATCH(Parametres!$B$3,V$1:AG$1,0)-1)*IF(OR(C597="L",C597="S",C597="I"),-1,1),"")</f>
        <v/>
      </c>
      <c r="AW597" s="1030">
        <f t="shared" si="3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40"/>
        <v>H33340</v>
      </c>
      <c r="AK598" s="1030" t="str">
        <f t="shared" si="40"/>
        <v>VTE OCC CHIMIQUES</v>
      </c>
      <c r="AL598" s="1030" t="str">
        <f>IFERROR(INDEX(G598:R598,1,MATCH(Parametres!$B$3,G$1:R$1,0)-1)*IF(OR(F598="L",F598="S",F598="I"),-1,1),"")</f>
        <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38"/>
        <v>H33340</v>
      </c>
      <c r="AU598" s="599" t="str">
        <f t="shared" si="38"/>
        <v>VTE OCC CHIMIQUES</v>
      </c>
      <c r="AV598" s="1030" t="str">
        <f>IFERROR(INDEX(V598:AG598,1,MATCH(Parametres!$B$3,V$1:AG$1,0)-1)*IF(OR(C598="L",C598="S",C598="I"),-1,1),"")</f>
        <v/>
      </c>
      <c r="AW598" s="1030">
        <f t="shared" si="3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40"/>
        <v>H33350</v>
      </c>
      <c r="AK599" s="1030" t="str">
        <f t="shared" si="40"/>
        <v>VTE OCC ANTIVOL</v>
      </c>
      <c r="AL599" s="1030" t="str">
        <f>IFERROR(INDEX(G599:R599,1,MATCH(Parametres!$B$3,G$1:R$1,0)-1)*IF(OR(F599="L",F599="S",F599="I"),-1,1),"")</f>
        <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38"/>
        <v>H33350</v>
      </c>
      <c r="AU599" s="599" t="str">
        <f t="shared" si="38"/>
        <v>VTE OCC ANTIVOL</v>
      </c>
      <c r="AV599" s="1030" t="str">
        <f>IFERROR(INDEX(V599:AG599,1,MATCH(Parametres!$B$3,V$1:AG$1,0)-1)*IF(OR(C599="L",C599="S",C599="I"),-1,1),"")</f>
        <v/>
      </c>
      <c r="AW599" s="1030">
        <f t="shared" si="3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40"/>
        <v>H33360</v>
      </c>
      <c r="AK600" s="1030" t="str">
        <f t="shared" si="40"/>
        <v>VTE OCC AUTRE PRODUIT</v>
      </c>
      <c r="AL600" s="1030" t="str">
        <f>IFERROR(INDEX(G600:R600,1,MATCH(Parametres!$B$3,G$1:R$1,0)-1)*IF(OR(F600="L",F600="S",F600="I"),-1,1),"")</f>
        <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38"/>
        <v>H33360</v>
      </c>
      <c r="AU600" s="599" t="str">
        <f t="shared" si="38"/>
        <v>VTE OCC AUTRE PRODUIT</v>
      </c>
      <c r="AV600" s="1030" t="str">
        <f>IFERROR(INDEX(V600:AG600,1,MATCH(Parametres!$B$3,V$1:AG$1,0)-1)*IF(OR(C600="L",C600="S",C600="I"),-1,1),"")</f>
        <v/>
      </c>
      <c r="AW600" s="1030">
        <f t="shared" si="3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40"/>
        <v>H33390</v>
      </c>
      <c r="AK601" s="1030" t="str">
        <f t="shared" si="40"/>
        <v>VTE OCC RACHAT CONT LOC</v>
      </c>
      <c r="AL601" s="1030" t="str">
        <f>IFERROR(INDEX(G601:R601,1,MATCH(Parametres!$B$3,G$1:R$1,0)-1)*IF(OR(F601="L",F601="S",F601="I"),-1,1),"")</f>
        <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38"/>
        <v>H33390</v>
      </c>
      <c r="AU601" s="599" t="str">
        <f t="shared" si="38"/>
        <v>VTE OCC RACHAT CONT LOC</v>
      </c>
      <c r="AV601" s="1030" t="str">
        <f>IFERROR(INDEX(V601:AG601,1,MATCH(Parametres!$B$3,V$1:AG$1,0)-1)*IF(OR(C601="L",C601="S",C601="I"),-1,1),"")</f>
        <v/>
      </c>
      <c r="AW601" s="1030">
        <f t="shared" si="3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40"/>
        <v>H33400</v>
      </c>
      <c r="AK602" s="1030" t="str">
        <f t="shared" si="40"/>
        <v>VTE OCC MARQUG-ANTVOL-HPP</v>
      </c>
      <c r="AL602" s="1030" t="str">
        <f>IFERROR(INDEX(G602:R602,1,MATCH(Parametres!$B$3,G$1:R$1,0)-1)*IF(OR(F602="L",F602="S",F602="I"),-1,1),"")</f>
        <v/>
      </c>
      <c r="AM602" s="1030">
        <f t="shared" si="37"/>
        <v>-26515</v>
      </c>
      <c r="AN602" s="1030">
        <f>INDEX(G602:R602,1,MATCH(Parametres!$B$3,G$1:R$1,0))*IF(OR(F602="L",F602="S",F602="I"),-1,1)</f>
        <v>-26515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38"/>
        <v>H33400</v>
      </c>
      <c r="AU602" s="599" t="str">
        <f t="shared" si="38"/>
        <v>VTE OCC MARQUG-ANTVOL-HPP</v>
      </c>
      <c r="AV602" s="1030" t="str">
        <f>IFERROR(INDEX(V602:AG602,1,MATCH(Parametres!$B$3,V$1:AG$1,0)-1)*IF(OR(C602="L",C602="S",C602="I"),-1,1),"")</f>
        <v/>
      </c>
      <c r="AW602" s="1030">
        <f t="shared" si="39"/>
        <v>9</v>
      </c>
      <c r="AX602" s="1030">
        <f>INDEX(V602:AG602,1,MATCH(Parametres!$B$3,V$1:AG$1,0))*IF(OR(C602="L",C602="S",C602="I"),-1,1)</f>
        <v>9</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40"/>
        <v>H33410</v>
      </c>
      <c r="AK603" s="1030" t="str">
        <f t="shared" si="40"/>
        <v>VTE OCC ASSURANCE</v>
      </c>
      <c r="AL603" s="1030" t="str">
        <f>IFERROR(INDEX(G603:R603,1,MATCH(Parametres!$B$3,G$1:R$1,0)-1)*IF(OR(F603="L",F603="S",F603="I"),-1,1),"")</f>
        <v/>
      </c>
      <c r="AM603" s="1030">
        <f t="shared" si="37"/>
        <v>0</v>
      </c>
      <c r="AN603" s="1030">
        <f>INDEX(G603:R603,1,MATCH(Parametres!$B$3,G$1:R$1,0))*IF(OR(F603="L",F603="S",F603="I"),-1,1)</f>
        <v>0</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38"/>
        <v>H33410</v>
      </c>
      <c r="AU603" s="599" t="str">
        <f t="shared" si="38"/>
        <v>VTE OCC ASSURANCE</v>
      </c>
      <c r="AV603" s="1030" t="str">
        <f>IFERROR(INDEX(V603:AG603,1,MATCH(Parametres!$B$3,V$1:AG$1,0)-1)*IF(OR(C603="L",C603="S",C603="I"),-1,1),"")</f>
        <v/>
      </c>
      <c r="AW603" s="1030">
        <f t="shared" si="39"/>
        <v>0</v>
      </c>
      <c r="AX603" s="1030">
        <f>INDEX(V603:AG603,1,MATCH(Parametres!$B$3,V$1:AG$1,0))*IF(OR(C603="L",C603="S",C603="I"),-1,1)</f>
        <v>0</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40"/>
        <v>H33420</v>
      </c>
      <c r="AK604" s="1030" t="str">
        <f t="shared" si="40"/>
        <v>VTE OCC REVENU FINANCE</v>
      </c>
      <c r="AL604" s="1030" t="str">
        <f>IFERROR(INDEX(G604:R604,1,MATCH(Parametres!$B$3,G$1:R$1,0)-1)*IF(OR(F604="L",F604="S",F604="I"),-1,1),"")</f>
        <v/>
      </c>
      <c r="AM604" s="1030">
        <f t="shared" si="37"/>
        <v>-4181.67</v>
      </c>
      <c r="AN604" s="1030">
        <f>INDEX(G604:R604,1,MATCH(Parametres!$B$3,G$1:R$1,0))*IF(OR(F604="L",F604="S",F604="I"),-1,1)</f>
        <v>-4181.67</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38"/>
        <v>H33420</v>
      </c>
      <c r="AU604" s="599" t="str">
        <f t="shared" si="38"/>
        <v>VTE OCC REVENU FINANCE</v>
      </c>
      <c r="AV604" s="1030" t="str">
        <f>IFERROR(INDEX(V604:AG604,1,MATCH(Parametres!$B$3,V$1:AG$1,0)-1)*IF(OR(C604="L",C604="S",C604="I"),-1,1),"")</f>
        <v/>
      </c>
      <c r="AW604" s="1030">
        <f t="shared" si="39"/>
        <v>7</v>
      </c>
      <c r="AX604" s="1030">
        <f>INDEX(V604:AG604,1,MATCH(Parametres!$B$3,V$1:AG$1,0))*IF(OR(C604="L",C604="S",C604="I"),-1,1)</f>
        <v>7</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40"/>
        <v>H33430</v>
      </c>
      <c r="AK605" s="1030" t="str">
        <f t="shared" si="40"/>
        <v>VTE OCC PRODUIT CHIMIQUE</v>
      </c>
      <c r="AL605" s="1030" t="str">
        <f>IFERROR(INDEX(G605:R605,1,MATCH(Parametres!$B$3,G$1:R$1,0)-1)*IF(OR(F605="L",F605="S",F605="I"),-1,1),"")</f>
        <v/>
      </c>
      <c r="AM605" s="1030">
        <f t="shared" si="37"/>
        <v>0</v>
      </c>
      <c r="AN605" s="1030">
        <f>INDEX(G605:R605,1,MATCH(Parametres!$B$3,G$1:R$1,0))*IF(OR(F605="L",F605="S",F605="I"),-1,1)</f>
        <v>0</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38"/>
        <v>H33430</v>
      </c>
      <c r="AU605" s="599" t="str">
        <f t="shared" si="38"/>
        <v>VTE OCC PRODUIT CHIMIQUE</v>
      </c>
      <c r="AV605" s="1030" t="str">
        <f>IFERROR(INDEX(V605:AG605,1,MATCH(Parametres!$B$3,V$1:AG$1,0)-1)*IF(OR(C605="L",C605="S",C605="I"),-1,1),"")</f>
        <v/>
      </c>
      <c r="AW605" s="1030">
        <f t="shared" si="39"/>
        <v>0</v>
      </c>
      <c r="AX605" s="1030">
        <f>INDEX(V605:AG605,1,MATCH(Parametres!$B$3,V$1:AG$1,0))*IF(OR(C605="L",C605="S",C605="I"),-1,1)</f>
        <v>0</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40"/>
        <v>H33440</v>
      </c>
      <c r="AK606" s="1030" t="str">
        <f t="shared" si="40"/>
        <v>VTE ASSURANCE ROUTIERE</v>
      </c>
      <c r="AL606" s="1030" t="str">
        <f>IFERROR(INDEX(G606:R606,1,MATCH(Parametres!$B$3,G$1:R$1,0)-1)*IF(OR(F606="L",F606="S",F606="I"),-1,1),"")</f>
        <v/>
      </c>
      <c r="AM606" s="1030">
        <f t="shared" si="37"/>
        <v>0</v>
      </c>
      <c r="AN606" s="1030">
        <f>INDEX(G606:R606,1,MATCH(Parametres!$B$3,G$1:R$1,0))*IF(OR(F606="L",F606="S",F606="I"),-1,1)</f>
        <v>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38"/>
        <v>H33440</v>
      </c>
      <c r="AU606" s="599" t="str">
        <f t="shared" si="38"/>
        <v>VTE ASSURANCE ROUTIERE</v>
      </c>
      <c r="AV606" s="1030" t="str">
        <f>IFERROR(INDEX(V606:AG606,1,MATCH(Parametres!$B$3,V$1:AG$1,0)-1)*IF(OR(C606="L",C606="S",C606="I"),-1,1),"")</f>
        <v/>
      </c>
      <c r="AW606" s="1030">
        <f t="shared" si="39"/>
        <v>0</v>
      </c>
      <c r="AX606" s="1030">
        <f>INDEX(V606:AG606,1,MATCH(Parametres!$B$3,V$1:AG$1,0))*IF(OR(C606="L",C606="S",C606="I"),-1,1)</f>
        <v>0</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40"/>
        <v>H33500</v>
      </c>
      <c r="AK607" s="1030" t="str">
        <f t="shared" si="40"/>
        <v>REEVALUATION DU STOCK</v>
      </c>
      <c r="AL607" s="1030" t="str">
        <f>IFERROR(INDEX(G607:R607,1,MATCH(Parametres!$B$3,G$1:R$1,0)-1)*IF(OR(F607="L",F607="S",F607="I"),-1,1),"")</f>
        <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38"/>
        <v>H33500</v>
      </c>
      <c r="AU607" s="599" t="str">
        <f t="shared" si="38"/>
        <v>REEVALUATION DU STOCK</v>
      </c>
      <c r="AV607" s="1030" t="str">
        <f>IFERROR(INDEX(V607:AG607,1,MATCH(Parametres!$B$3,V$1:AG$1,0)-1)*IF(OR(C607="L",C607="S",C607="I"),-1,1),"")</f>
        <v/>
      </c>
      <c r="AW607" s="1030">
        <f t="shared" si="3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40"/>
        <v>H33700</v>
      </c>
      <c r="AK608" s="1030" t="str">
        <f t="shared" si="40"/>
        <v>VTE SANTA CRUZ</v>
      </c>
      <c r="AL608" s="1030" t="str">
        <f>IFERROR(INDEX(G608:R608,1,MATCH(Parametres!$B$3,G$1:R$1,0)-1)*IF(OR(F608="L",F608="S",F608="I"),-1,1),"")</f>
        <v/>
      </c>
      <c r="AM608" s="1030">
        <f t="shared" si="37"/>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38"/>
        <v>H33700</v>
      </c>
      <c r="AU608" s="599" t="str">
        <f t="shared" si="38"/>
        <v>VTE SANTA CRUZ</v>
      </c>
      <c r="AV608" s="1030" t="str">
        <f>IFERROR(INDEX(V608:AG608,1,MATCH(Parametres!$B$3,V$1:AG$1,0)-1)*IF(OR(C608="L",C608="S",C608="I"),-1,1),"")</f>
        <v/>
      </c>
      <c r="AW608" s="1030">
        <f t="shared" si="3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40"/>
        <v>H33800</v>
      </c>
      <c r="AK609" s="1030" t="str">
        <f t="shared" si="40"/>
        <v>VTE IONIQ 5</v>
      </c>
      <c r="AL609" s="1030" t="str">
        <f>IFERROR(INDEX(G609:R609,1,MATCH(Parametres!$B$3,G$1:R$1,0)-1)*IF(OR(F609="L",F609="S",F609="I"),-1,1),"")</f>
        <v/>
      </c>
      <c r="AM609" s="1030">
        <f t="shared" si="37"/>
        <v>-1312112.57</v>
      </c>
      <c r="AN609" s="1030">
        <f>INDEX(G609:R609,1,MATCH(Parametres!$B$3,G$1:R$1,0))*IF(OR(F609="L",F609="S",F609="I"),-1,1)</f>
        <v>-1312112.57</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38"/>
        <v>H33800</v>
      </c>
      <c r="AU609" s="599" t="str">
        <f t="shared" si="38"/>
        <v>VTE IONIQ 5</v>
      </c>
      <c r="AV609" s="1030" t="str">
        <f>IFERROR(INDEX(V609:AG609,1,MATCH(Parametres!$B$3,V$1:AG$1,0)-1)*IF(OR(C609="L",C609="S",C609="I"),-1,1),"")</f>
        <v/>
      </c>
      <c r="AW609" s="1030">
        <f t="shared" si="39"/>
        <v>21</v>
      </c>
      <c r="AX609" s="1030">
        <f>INDEX(V609:AG609,1,MATCH(Parametres!$B$3,V$1:AG$1,0))*IF(OR(C609="L",C609="S",C609="I"),-1,1)</f>
        <v>21</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40"/>
        <v>H34200</v>
      </c>
      <c r="AK610" s="1030" t="str">
        <f t="shared" si="40"/>
        <v>VTE IONIQ 6</v>
      </c>
      <c r="AL610" s="1030" t="str">
        <f>IFERROR(INDEX(G610:R610,1,MATCH(Parametres!$B$3,G$1:R$1,0)-1)*IF(OR(F610="L",F610="S",F610="I"),-1,1),"")</f>
        <v/>
      </c>
      <c r="AM610" s="1030">
        <f t="shared" si="37"/>
        <v>-190332.33</v>
      </c>
      <c r="AN610" s="1030">
        <f>INDEX(G610:R610,1,MATCH(Parametres!$B$3,G$1:R$1,0))*IF(OR(F610="L",F610="S",F610="I"),-1,1)</f>
        <v>-190332.33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38"/>
        <v>H34200</v>
      </c>
      <c r="AU610" s="599" t="str">
        <f t="shared" si="38"/>
        <v>VTE IONIQ 6</v>
      </c>
      <c r="AV610" s="1030" t="str">
        <f>IFERROR(INDEX(V610:AG610,1,MATCH(Parametres!$B$3,V$1:AG$1,0)-1)*IF(OR(C610="L",C610="S",C610="I"),-1,1),"")</f>
        <v/>
      </c>
      <c r="AW610" s="1030">
        <f t="shared" si="39"/>
        <v>3</v>
      </c>
      <c r="AX610" s="1030">
        <f>INDEX(V610:AG610,1,MATCH(Parametres!$B$3,V$1:AG$1,0))*IF(OR(C610="L",C610="S",C610="I"),-1,1)</f>
        <v>3</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40"/>
        <v>H34300</v>
      </c>
      <c r="AK611" s="1030" t="str">
        <f t="shared" si="40"/>
        <v>VTE IONIQ 5</v>
      </c>
      <c r="AL611" s="1030" t="str">
        <f>IFERROR(INDEX(G611:R611,1,MATCH(Parametres!$B$3,G$1:R$1,0)-1)*IF(OR(F611="L",F611="S",F611="I"),-1,1),"")</f>
        <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38"/>
        <v>H34300</v>
      </c>
      <c r="AU611" s="599" t="str">
        <f t="shared" si="38"/>
        <v>VTE IONIQ 5</v>
      </c>
      <c r="AV611" s="1030" t="str">
        <f>IFERROR(INDEX(V611:AG611,1,MATCH(Parametres!$B$3,V$1:AG$1,0)-1)*IF(OR(C611="L",C611="S",C611="I"),-1,1),"")</f>
        <v/>
      </c>
      <c r="AW611" s="1030">
        <f t="shared" si="3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40"/>
        <v>H34400</v>
      </c>
      <c r="AK612" s="1030" t="str">
        <f t="shared" si="40"/>
        <v>VTE IONIQ 9</v>
      </c>
      <c r="AL612" s="1030" t="str">
        <f>IFERROR(INDEX(G612:R612,1,MATCH(Parametres!$B$3,G$1:R$1,0)-1)*IF(OR(F612="L",F612="S",F612="I"),-1,1),"")</f>
        <v/>
      </c>
      <c r="AM612" s="1030">
        <f t="shared" si="37"/>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38"/>
        <v>H34400</v>
      </c>
      <c r="AU612" s="599" t="str">
        <f t="shared" si="38"/>
        <v>VTE IONIQ 9</v>
      </c>
      <c r="AV612" s="1030" t="str">
        <f>IFERROR(INDEX(V612:AG612,1,MATCH(Parametres!$B$3,V$1:AG$1,0)-1)*IF(OR(C612="L",C612="S",C612="I"),-1,1),"")</f>
        <v/>
      </c>
      <c r="AW612" s="1030">
        <f t="shared" si="3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40"/>
        <v>H35000</v>
      </c>
      <c r="AK613" s="1030" t="str">
        <f t="shared" si="40"/>
        <v>VTE PCS - COMPTOIR - GROS</v>
      </c>
      <c r="AL613" s="1030" t="str">
        <f>IFERROR(INDEX(G613:R613,1,MATCH(Parametres!$B$3,G$1:R$1,0)-1)*IF(OR(F613="L",F613="S",F613="I"),-1,1),"")</f>
        <v/>
      </c>
      <c r="AM613" s="1030">
        <f t="shared" si="37"/>
        <v>-421311.65</v>
      </c>
      <c r="AN613" s="1030">
        <f>INDEX(G613:R613,1,MATCH(Parametres!$B$3,G$1:R$1,0))*IF(OR(F613="L",F613="S",F613="I"),-1,1)</f>
        <v>-421311.65</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38"/>
        <v>H35000</v>
      </c>
      <c r="AU613" s="599" t="str">
        <f t="shared" si="38"/>
        <v>VTE PCS - COMPTOIR - GROS</v>
      </c>
      <c r="AV613" s="1030" t="str">
        <f>IFERROR(INDEX(V613:AG613,1,MATCH(Parametres!$B$3,V$1:AG$1,0)-1)*IF(OR(C613="L",C613="S",C613="I"),-1,1),"")</f>
        <v/>
      </c>
      <c r="AW613" s="1030">
        <f t="shared" si="39"/>
        <v>1168</v>
      </c>
      <c r="AX613" s="1030">
        <f>INDEX(V613:AG613,1,MATCH(Parametres!$B$3,V$1:AG$1,0))*IF(OR(C613="L",C613="S",C613="I"),-1,1)</f>
        <v>1168</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40"/>
        <v>H35200</v>
      </c>
      <c r="AK614" s="1030" t="str">
        <f t="shared" si="40"/>
        <v>VTE PCS COMPTOIR - DETAIL</v>
      </c>
      <c r="AL614" s="1030" t="str">
        <f>IFERROR(INDEX(G614:R614,1,MATCH(Parametres!$B$3,G$1:R$1,0)-1)*IF(OR(F614="L",F614="S",F614="I"),-1,1),"")</f>
        <v/>
      </c>
      <c r="AM614" s="1030">
        <f t="shared" si="37"/>
        <v>-3076.77</v>
      </c>
      <c r="AN614" s="1030">
        <f>INDEX(G614:R614,1,MATCH(Parametres!$B$3,G$1:R$1,0))*IF(OR(F614="L",F614="S",F614="I"),-1,1)</f>
        <v>-3076.77</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38"/>
        <v>H35200</v>
      </c>
      <c r="AU614" s="599" t="str">
        <f t="shared" si="38"/>
        <v>VTE PCS COMPTOIR - DETAIL</v>
      </c>
      <c r="AV614" s="1030" t="str">
        <f>IFERROR(INDEX(V614:AG614,1,MATCH(Parametres!$B$3,V$1:AG$1,0)-1)*IF(OR(C614="L",C614="S",C614="I"),-1,1),"")</f>
        <v/>
      </c>
      <c r="AW614" s="1030">
        <f t="shared" si="39"/>
        <v>64</v>
      </c>
      <c r="AX614" s="1030">
        <f>INDEX(V614:AG614,1,MATCH(Parametres!$B$3,V$1:AG$1,0))*IF(OR(C614="L",C614="S",C614="I"),-1,1)</f>
        <v>64</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40"/>
        <v>H35300</v>
      </c>
      <c r="AK615" s="1030" t="str">
        <f t="shared" si="40"/>
        <v>VTE ACCESS DETAIL</v>
      </c>
      <c r="AL615" s="1030" t="str">
        <f>IFERROR(INDEX(G615:R615,1,MATCH(Parametres!$B$3,G$1:R$1,0)-1)*IF(OR(F615="L",F615="S",F615="I"),-1,1),"")</f>
        <v/>
      </c>
      <c r="AM615" s="1030">
        <f t="shared" si="37"/>
        <v>-25296.48</v>
      </c>
      <c r="AN615" s="1030">
        <f>INDEX(G615:R615,1,MATCH(Parametres!$B$3,G$1:R$1,0))*IF(OR(F615="L",F615="S",F615="I"),-1,1)</f>
        <v>-25296.48</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38"/>
        <v>H35300</v>
      </c>
      <c r="AU615" s="599" t="str">
        <f t="shared" si="38"/>
        <v>VTE ACCESS DETAIL</v>
      </c>
      <c r="AV615" s="1030" t="str">
        <f>IFERROR(INDEX(V615:AG615,1,MATCH(Parametres!$B$3,V$1:AG$1,0)-1)*IF(OR(C615="L",C615="S",C615="I"),-1,1),"")</f>
        <v/>
      </c>
      <c r="AW615" s="1030">
        <f t="shared" si="39"/>
        <v>137</v>
      </c>
      <c r="AX615" s="1030">
        <f>INDEX(V615:AG615,1,MATCH(Parametres!$B$3,V$1:AG$1,0))*IF(OR(C615="L",C615="S",C615="I"),-1,1)</f>
        <v>137</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40"/>
        <v>H35400</v>
      </c>
      <c r="AK616" s="1030" t="str">
        <f t="shared" si="40"/>
        <v>VTE PCS B.R CLIENT - MEC</v>
      </c>
      <c r="AL616" s="1030" t="str">
        <f>IFERROR(INDEX(G616:R616,1,MATCH(Parametres!$B$3,G$1:R$1,0)-1)*IF(OR(F616="L",F616="S",F616="I"),-1,1),"")</f>
        <v/>
      </c>
      <c r="AM616" s="1030">
        <f t="shared" si="37"/>
        <v>-64769.74</v>
      </c>
      <c r="AN616" s="1030">
        <f>INDEX(G616:R616,1,MATCH(Parametres!$B$3,G$1:R$1,0))*IF(OR(F616="L",F616="S",F616="I"),-1,1)</f>
        <v>-64769.74</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38"/>
        <v>H35400</v>
      </c>
      <c r="AU616" s="599" t="str">
        <f t="shared" si="38"/>
        <v>VTE PCS B.R CLIENT - MEC</v>
      </c>
      <c r="AV616" s="1030" t="str">
        <f>IFERROR(INDEX(V616:AG616,1,MATCH(Parametres!$B$3,V$1:AG$1,0)-1)*IF(OR(C616="L",C616="S",C616="I"),-1,1),"")</f>
        <v/>
      </c>
      <c r="AW616" s="1030">
        <f t="shared" si="39"/>
        <v>442</v>
      </c>
      <c r="AX616" s="1030">
        <f>INDEX(V616:AG616,1,MATCH(Parametres!$B$3,V$1:AG$1,0))*IF(OR(C616="L",C616="S",C616="I"),-1,1)</f>
        <v>442</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40"/>
        <v>H35410</v>
      </c>
      <c r="AK617" s="1030" t="str">
        <f t="shared" si="40"/>
        <v>VTE PIECES DETAIL HPP</v>
      </c>
      <c r="AL617" s="1030" t="str">
        <f>IFERROR(INDEX(G617:R617,1,MATCH(Parametres!$B$3,G$1:R$1,0)-1)*IF(OR(F617="L",F617="S",F617="I"),-1,1),"")</f>
        <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38"/>
        <v>H35410</v>
      </c>
      <c r="AU617" s="599" t="str">
        <f t="shared" si="38"/>
        <v>VTE PIECES DETAIL HPP</v>
      </c>
      <c r="AV617" s="1030" t="str">
        <f>IFERROR(INDEX(V617:AG617,1,MATCH(Parametres!$B$3,V$1:AG$1,0)-1)*IF(OR(C617="L",C617="S",C617="I"),-1,1),"")</f>
        <v/>
      </c>
      <c r="AW617" s="1030">
        <f t="shared" si="3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40"/>
        <v>H35500</v>
      </c>
      <c r="AK618" s="1030" t="str">
        <f t="shared" si="40"/>
        <v>VTE PCS B.R CLIENT - CARR</v>
      </c>
      <c r="AL618" s="1030" t="str">
        <f>IFERROR(INDEX(G618:R618,1,MATCH(Parametres!$B$3,G$1:R$1,0)-1)*IF(OR(F618="L",F618="S",F618="I"),-1,1),"")</f>
        <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38"/>
        <v>H35500</v>
      </c>
      <c r="AU618" s="599" t="str">
        <f t="shared" si="38"/>
        <v>VTE PCS B.R CLIENT - CARR</v>
      </c>
      <c r="AV618" s="1030" t="str">
        <f>IFERROR(INDEX(V618:AG618,1,MATCH(Parametres!$B$3,V$1:AG$1,0)-1)*IF(OR(C618="L",C618="S",C618="I"),-1,1),"")</f>
        <v/>
      </c>
      <c r="AW618" s="1030">
        <f t="shared" si="3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40"/>
        <v>H35600</v>
      </c>
      <c r="AK619" s="1030" t="str">
        <f t="shared" si="40"/>
        <v>VTE PCS B.R GARANTIE -MEC</v>
      </c>
      <c r="AL619" s="1030" t="str">
        <f>IFERROR(INDEX(G619:R619,1,MATCH(Parametres!$B$3,G$1:R$1,0)-1)*IF(OR(F619="L",F619="S",F619="I"),-1,1),"")</f>
        <v/>
      </c>
      <c r="AM619" s="1030">
        <f t="shared" si="37"/>
        <v>-129177.47</v>
      </c>
      <c r="AN619" s="1030">
        <f>INDEX(G619:R619,1,MATCH(Parametres!$B$3,G$1:R$1,0))*IF(OR(F619="L",F619="S",F619="I"),-1,1)</f>
        <v>-129177.47</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38"/>
        <v>H35600</v>
      </c>
      <c r="AU619" s="599" t="str">
        <f t="shared" si="38"/>
        <v>VTE PCS B.R GARANTIE -MEC</v>
      </c>
      <c r="AV619" s="1030" t="str">
        <f>IFERROR(INDEX(V619:AG619,1,MATCH(Parametres!$B$3,V$1:AG$1,0)-1)*IF(OR(C619="L",C619="S",C619="I"),-1,1),"")</f>
        <v/>
      </c>
      <c r="AW619" s="1030">
        <f t="shared" si="39"/>
        <v>241</v>
      </c>
      <c r="AX619" s="1030">
        <f>INDEX(V619:AG619,1,MATCH(Parametres!$B$3,V$1:AG$1,0))*IF(OR(C619="L",C619="S",C619="I"),-1,1)</f>
        <v>241</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40"/>
        <v>H35800</v>
      </c>
      <c r="AK620" s="1030" t="str">
        <f t="shared" si="40"/>
        <v>VTE PCS B.R INTERNE -MEC</v>
      </c>
      <c r="AL620" s="1030" t="str">
        <f>IFERROR(INDEX(G620:R620,1,MATCH(Parametres!$B$3,G$1:R$1,0)-1)*IF(OR(F620="L",F620="S",F620="I"),-1,1),"")</f>
        <v/>
      </c>
      <c r="AM620" s="1030">
        <f t="shared" si="37"/>
        <v>-10268.86</v>
      </c>
      <c r="AN620" s="1030">
        <f>INDEX(G620:R620,1,MATCH(Parametres!$B$3,G$1:R$1,0))*IF(OR(F620="L",F620="S",F620="I"),-1,1)</f>
        <v>-10268.86</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38"/>
        <v>H35800</v>
      </c>
      <c r="AU620" s="599" t="str">
        <f t="shared" si="38"/>
        <v>VTE PCS B.R INTERNE -MEC</v>
      </c>
      <c r="AV620" s="1030" t="str">
        <f>IFERROR(INDEX(V620:AG620,1,MATCH(Parametres!$B$3,V$1:AG$1,0)-1)*IF(OR(C620="L",C620="S",C620="I"),-1,1),"")</f>
        <v/>
      </c>
      <c r="AW620" s="1030">
        <f t="shared" si="39"/>
        <v>127</v>
      </c>
      <c r="AX620" s="1030">
        <f>INDEX(V620:AG620,1,MATCH(Parametres!$B$3,V$1:AG$1,0))*IF(OR(C620="L",C620="S",C620="I"),-1,1)</f>
        <v>127</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40"/>
        <v>H36000</v>
      </c>
      <c r="AK621" s="1030" t="str">
        <f t="shared" si="40"/>
        <v>VTE PIECES DIVERSES (AUTO</v>
      </c>
      <c r="AL621" s="1030" t="str">
        <f>IFERROR(INDEX(G621:R621,1,MATCH(Parametres!$B$3,G$1:R$1,0)-1)*IF(OR(F621="L",F621="S",F621="I"),-1,1),"")</f>
        <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38"/>
        <v>H36000</v>
      </c>
      <c r="AU621" s="599" t="str">
        <f t="shared" si="38"/>
        <v>VTE PIECES DIVERSES (AUTO</v>
      </c>
      <c r="AV621" s="1030" t="str">
        <f>IFERROR(INDEX(V621:AG621,1,MATCH(Parametres!$B$3,V$1:AG$1,0)-1)*IF(OR(C621="L",C621="S",C621="I"),-1,1),"")</f>
        <v/>
      </c>
      <c r="AW621" s="1030">
        <f t="shared" si="3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40"/>
        <v>H36200</v>
      </c>
      <c r="AK622" s="1030" t="str">
        <f t="shared" si="40"/>
        <v>VTE PNEUS</v>
      </c>
      <c r="AL622" s="1030" t="str">
        <f>IFERROR(INDEX(G622:R622,1,MATCH(Parametres!$B$3,G$1:R$1,0)-1)*IF(OR(F622="L",F622="S",F622="I"),-1,1),"")</f>
        <v/>
      </c>
      <c r="AM622" s="1030">
        <f t="shared" si="37"/>
        <v>-81279.009999999995</v>
      </c>
      <c r="AN622" s="1030">
        <f>INDEX(G622:R622,1,MATCH(Parametres!$B$3,G$1:R$1,0))*IF(OR(F622="L",F622="S",F622="I"),-1,1)</f>
        <v>-81279.009999999995</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38"/>
        <v>H36200</v>
      </c>
      <c r="AU622" s="599" t="str">
        <f t="shared" si="38"/>
        <v>VTE PNEUS</v>
      </c>
      <c r="AV622" s="1030" t="str">
        <f>IFERROR(INDEX(V622:AG622,1,MATCH(Parametres!$B$3,V$1:AG$1,0)-1)*IF(OR(C622="L",C622="S",C622="I"),-1,1),"")</f>
        <v/>
      </c>
      <c r="AW622" s="1030">
        <f t="shared" si="39"/>
        <v>89</v>
      </c>
      <c r="AX622" s="1030">
        <f>INDEX(V622:AG622,1,MATCH(Parametres!$B$3,V$1:AG$1,0))*IF(OR(C622="L",C622="S",C622="I"),-1,1)</f>
        <v>89</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40"/>
        <v>H36300</v>
      </c>
      <c r="AK623" s="1030" t="str">
        <f t="shared" si="40"/>
        <v>ESCOMPTE PIECES (M.S.O)</v>
      </c>
      <c r="AL623" s="1030" t="str">
        <f>IFERROR(INDEX(G623:R623,1,MATCH(Parametres!$B$3,G$1:R$1,0)-1)*IF(OR(F623="L",F623="S",F623="I"),-1,1),"")</f>
        <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38"/>
        <v>H36300</v>
      </c>
      <c r="AU623" s="599" t="str">
        <f t="shared" si="38"/>
        <v>ESCOMPTE PIECES (M.S.O)</v>
      </c>
      <c r="AV623" s="1030" t="str">
        <f>IFERROR(INDEX(V623:AG623,1,MATCH(Parametres!$B$3,V$1:AG$1,0)-1)*IF(OR(C623="L",C623="S",C623="I"),-1,1),"")</f>
        <v/>
      </c>
      <c r="AW623" s="1030">
        <f t="shared" si="3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40"/>
        <v>H36400</v>
      </c>
      <c r="AK624" s="1030" t="str">
        <f t="shared" si="40"/>
        <v>REGULARISATION D INV.</v>
      </c>
      <c r="AL624" s="1030" t="str">
        <f>IFERROR(INDEX(G624:R624,1,MATCH(Parametres!$B$3,G$1:R$1,0)-1)*IF(OR(F624="L",F624="S",F624="I"),-1,1),"")</f>
        <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38"/>
        <v>H36400</v>
      </c>
      <c r="AU624" s="599" t="str">
        <f t="shared" si="38"/>
        <v>REGULARISATION D INV.</v>
      </c>
      <c r="AV624" s="1030" t="str">
        <f>IFERROR(INDEX(V624:AG624,1,MATCH(Parametres!$B$3,V$1:AG$1,0)-1)*IF(OR(C624="L",C624="S",C624="I"),-1,1),"")</f>
        <v/>
      </c>
      <c r="AW624" s="1030">
        <f t="shared" si="3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40"/>
        <v>H36500</v>
      </c>
      <c r="AK625" s="1030" t="str">
        <f t="shared" si="40"/>
        <v>VTE FOURN CARR/PEINTURE</v>
      </c>
      <c r="AL625" s="1030" t="str">
        <f>IFERROR(INDEX(G625:R625,1,MATCH(Parametres!$B$3,G$1:R$1,0)-1)*IF(OR(F625="L",F625="S",F625="I"),-1,1),"")</f>
        <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38"/>
        <v>H36500</v>
      </c>
      <c r="AU625" s="599" t="str">
        <f t="shared" si="38"/>
        <v>VTE FOURN CARR/PEINTURE</v>
      </c>
      <c r="AV625" s="1030" t="str">
        <f>IFERROR(INDEX(V625:AG625,1,MATCH(Parametres!$B$3,V$1:AG$1,0)-1)*IF(OR(C625="L",C625="S",C625="I"),-1,1),"")</f>
        <v/>
      </c>
      <c r="AW625" s="1030">
        <f t="shared" si="3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40"/>
        <v>H37000</v>
      </c>
      <c r="AK626" s="1030" t="str">
        <f t="shared" si="40"/>
        <v>VTE M.O B.R CLIENT- MEC.</v>
      </c>
      <c r="AL626" s="1030" t="str">
        <f>IFERROR(INDEX(G626:R626,1,MATCH(Parametres!$B$3,G$1:R$1,0)-1)*IF(OR(F626="L",F626="S",F626="I"),-1,1),"")</f>
        <v/>
      </c>
      <c r="AM626" s="1030">
        <f t="shared" si="37"/>
        <v>-69366.210000000006</v>
      </c>
      <c r="AN626" s="1030">
        <f>INDEX(G626:R626,1,MATCH(Parametres!$B$3,G$1:R$1,0))*IF(OR(F626="L",F626="S",F626="I"),-1,1)</f>
        <v>-69366.210000000006</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38"/>
        <v>H37000</v>
      </c>
      <c r="AU626" s="599" t="str">
        <f t="shared" si="38"/>
        <v>VTE M.O B.R CLIENT- MEC.</v>
      </c>
      <c r="AV626" s="1030" t="str">
        <f>IFERROR(INDEX(V626:AG626,1,MATCH(Parametres!$B$3,V$1:AG$1,0)-1)*IF(OR(C626="L",C626="S",C626="I"),-1,1),"")</f>
        <v/>
      </c>
      <c r="AW626" s="1030">
        <f t="shared" si="39"/>
        <v>610</v>
      </c>
      <c r="AX626" s="1030">
        <f>INDEX(V626:AG626,1,MATCH(Parametres!$B$3,V$1:AG$1,0))*IF(OR(C626="L",C626="S",C626="I"),-1,1)</f>
        <v>610</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40"/>
        <v>H37010</v>
      </c>
      <c r="AK627" s="1030" t="str">
        <f t="shared" si="40"/>
        <v>VTE MO HPP</v>
      </c>
      <c r="AL627" s="1030" t="str">
        <f>IFERROR(INDEX(G627:R627,1,MATCH(Parametres!$B$3,G$1:R$1,0)-1)*IF(OR(F627="L",F627="S",F627="I"),-1,1),"")</f>
        <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38"/>
        <v>H37010</v>
      </c>
      <c r="AU627" s="599" t="str">
        <f t="shared" si="38"/>
        <v>VTE MO HPP</v>
      </c>
      <c r="AV627" s="1030" t="str">
        <f>IFERROR(INDEX(V627:AG627,1,MATCH(Parametres!$B$3,V$1:AG$1,0)-1)*IF(OR(C627="L",C627="S",C627="I"),-1,1),"")</f>
        <v/>
      </c>
      <c r="AW627" s="1030">
        <f t="shared" si="3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40"/>
        <v>H37100</v>
      </c>
      <c r="AK628" s="1030" t="str">
        <f t="shared" si="40"/>
        <v>VTE M.O B.R CLIENT- CARR</v>
      </c>
      <c r="AL628" s="1030" t="str">
        <f>IFERROR(INDEX(G628:R628,1,MATCH(Parametres!$B$3,G$1:R$1,0)-1)*IF(OR(F628="L",F628="S",F628="I"),-1,1),"")</f>
        <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38"/>
        <v>H37100</v>
      </c>
      <c r="AU628" s="599" t="str">
        <f t="shared" si="38"/>
        <v>VTE M.O B.R CLIENT- CARR</v>
      </c>
      <c r="AV628" s="1030" t="str">
        <f>IFERROR(INDEX(V628:AG628,1,MATCH(Parametres!$B$3,V$1:AG$1,0)-1)*IF(OR(C628="L",C628="S",C628="I"),-1,1),"")</f>
        <v/>
      </c>
      <c r="AW628" s="1030">
        <f t="shared" si="3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40"/>
        <v>H37200</v>
      </c>
      <c r="AK629" s="1030" t="str">
        <f t="shared" si="40"/>
        <v>VTE M.O B.R GARANTIE- MEC</v>
      </c>
      <c r="AL629" s="1030" t="str">
        <f>IFERROR(INDEX(G629:R629,1,MATCH(Parametres!$B$3,G$1:R$1,0)-1)*IF(OR(F629="L",F629="S",F629="I"),-1,1),"")</f>
        <v/>
      </c>
      <c r="AM629" s="1030">
        <f t="shared" si="37"/>
        <v>-70670.22</v>
      </c>
      <c r="AN629" s="1030">
        <f>INDEX(G629:R629,1,MATCH(Parametres!$B$3,G$1:R$1,0))*IF(OR(F629="L",F629="S",F629="I"),-1,1)</f>
        <v>-70670.22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38"/>
        <v>H37200</v>
      </c>
      <c r="AU629" s="599" t="str">
        <f t="shared" si="38"/>
        <v>VTE M.O B.R GARANTIE- MEC</v>
      </c>
      <c r="AV629" s="1030" t="str">
        <f>IFERROR(INDEX(V629:AG629,1,MATCH(Parametres!$B$3,V$1:AG$1,0)-1)*IF(OR(C629="L",C629="S",C629="I"),-1,1),"")</f>
        <v/>
      </c>
      <c r="AW629" s="1030">
        <f t="shared" si="39"/>
        <v>415</v>
      </c>
      <c r="AX629" s="1030">
        <f>INDEX(V629:AG629,1,MATCH(Parametres!$B$3,V$1:AG$1,0))*IF(OR(C629="L",C629="S",C629="I"),-1,1)</f>
        <v>415</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40"/>
        <v>H37400</v>
      </c>
      <c r="AK630" s="1030" t="str">
        <f t="shared" si="40"/>
        <v>VTE M.O B.R INTERNE- MEC</v>
      </c>
      <c r="AL630" s="1030" t="str">
        <f>IFERROR(INDEX(G630:R630,1,MATCH(Parametres!$B$3,G$1:R$1,0)-1)*IF(OR(F630="L",F630="S",F630="I"),-1,1),"")</f>
        <v/>
      </c>
      <c r="AM630" s="1030">
        <f t="shared" si="37"/>
        <v>-32273.41</v>
      </c>
      <c r="AN630" s="1030">
        <f>INDEX(G630:R630,1,MATCH(Parametres!$B$3,G$1:R$1,0))*IF(OR(F630="L",F630="S",F630="I"),-1,1)</f>
        <v>-32273.41</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38"/>
        <v>H37400</v>
      </c>
      <c r="AU630" s="599" t="str">
        <f t="shared" si="38"/>
        <v>VTE M.O B.R INTERNE- MEC</v>
      </c>
      <c r="AV630" s="1030" t="str">
        <f>IFERROR(INDEX(V630:AG630,1,MATCH(Parametres!$B$3,V$1:AG$1,0)-1)*IF(OR(C630="L",C630="S",C630="I"),-1,1),"")</f>
        <v/>
      </c>
      <c r="AW630" s="1030">
        <f t="shared" si="39"/>
        <v>157</v>
      </c>
      <c r="AX630" s="1030">
        <f>INDEX(V630:AG630,1,MATCH(Parametres!$B$3,V$1:AG$1,0))*IF(OR(C630="L",C630="S",C630="I"),-1,1)</f>
        <v>157</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40"/>
        <v>H37500</v>
      </c>
      <c r="AK631" s="1030" t="str">
        <f t="shared" si="40"/>
        <v>VTE M.O B.R INTERNE- CARR</v>
      </c>
      <c r="AL631" s="1030" t="str">
        <f>IFERROR(INDEX(G631:R631,1,MATCH(Parametres!$B$3,G$1:R$1,0)-1)*IF(OR(F631="L",F631="S",F631="I"),-1,1),"")</f>
        <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38"/>
        <v>H37500</v>
      </c>
      <c r="AU631" s="599" t="str">
        <f t="shared" si="38"/>
        <v>VTE M.O B.R INTERNE- CARR</v>
      </c>
      <c r="AV631" s="1030" t="str">
        <f>IFERROR(INDEX(V631:AG631,1,MATCH(Parametres!$B$3,V$1:AG$1,0)-1)*IF(OR(C631="L",C631="S",C631="I"),-1,1),"")</f>
        <v/>
      </c>
      <c r="AW631" s="1030">
        <f t="shared" si="3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40"/>
        <v>H37600</v>
      </c>
      <c r="AK632" s="1030" t="str">
        <f t="shared" si="40"/>
        <v>VTE M.O SOUS-TRAITANCE -</v>
      </c>
      <c r="AL632" s="1030" t="str">
        <f>IFERROR(INDEX(G632:R632,1,MATCH(Parametres!$B$3,G$1:R$1,0)-1)*IF(OR(F632="L",F632="S",F632="I"),-1,1),"")</f>
        <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38"/>
        <v>H37600</v>
      </c>
      <c r="AU632" s="599" t="str">
        <f t="shared" si="38"/>
        <v>VTE M.O SOUS-TRAITANCE -</v>
      </c>
      <c r="AV632" s="1030" t="str">
        <f>IFERROR(INDEX(V632:AG632,1,MATCH(Parametres!$B$3,V$1:AG$1,0)-1)*IF(OR(C632="L",C632="S",C632="I"),-1,1),"")</f>
        <v/>
      </c>
      <c r="AW632" s="1030">
        <f t="shared" si="3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40"/>
        <v>H37610</v>
      </c>
      <c r="AK633" s="1030" t="str">
        <f t="shared" si="40"/>
        <v>S-TRAITANCE INTERNE CARR</v>
      </c>
      <c r="AL633" s="1030" t="str">
        <f>IFERROR(INDEX(G633:R633,1,MATCH(Parametres!$B$3,G$1:R$1,0)-1)*IF(OR(F633="L",F633="S",F633="I"),-1,1),"")</f>
        <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38"/>
        <v>H37610</v>
      </c>
      <c r="AU633" s="599" t="str">
        <f t="shared" si="38"/>
        <v>S-TRAITANCE INTERNE CARR</v>
      </c>
      <c r="AV633" s="1030" t="str">
        <f>IFERROR(INDEX(V633:AG633,1,MATCH(Parametres!$B$3,V$1:AG$1,0)-1)*IF(OR(C633="L",C633="S",C633="I"),-1,1),"")</f>
        <v/>
      </c>
      <c r="AW633" s="1030">
        <f t="shared" si="3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40"/>
        <v>H37700</v>
      </c>
      <c r="AK634" s="1030" t="str">
        <f t="shared" si="40"/>
        <v>VTE M.O B.R GARANTIE- CAR</v>
      </c>
      <c r="AL634" s="1030" t="str">
        <f>IFERROR(INDEX(G634:R634,1,MATCH(Parametres!$B$3,G$1:R$1,0)-1)*IF(OR(F634="L",F634="S",F634="I"),-1,1),"")</f>
        <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38"/>
        <v>H37700</v>
      </c>
      <c r="AU634" s="599" t="str">
        <f t="shared" si="38"/>
        <v>VTE M.O B.R GARANTIE- CAR</v>
      </c>
      <c r="AV634" s="1030" t="str">
        <f>IFERROR(INDEX(V634:AG634,1,MATCH(Parametres!$B$3,V$1:AG$1,0)-1)*IF(OR(C634="L",C634="S",C634="I"),-1,1),"")</f>
        <v/>
      </c>
      <c r="AW634" s="1030">
        <f t="shared" si="3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40"/>
        <v>H37800</v>
      </c>
      <c r="AK635" s="1030" t="str">
        <f t="shared" si="40"/>
        <v>VTE M.O DIVERSES (AUTOS)_</v>
      </c>
      <c r="AL635" s="1030" t="str">
        <f>IFERROR(INDEX(G635:R635,1,MATCH(Parametres!$B$3,G$1:R$1,0)-1)*IF(OR(F635="L",F635="S",F635="I"),-1,1),"")</f>
        <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38"/>
        <v>H37800</v>
      </c>
      <c r="AU635" s="599" t="str">
        <f t="shared" si="38"/>
        <v>VTE M.O DIVERSES (AUTOS)_</v>
      </c>
      <c r="AV635" s="1030" t="str">
        <f>IFERROR(INDEX(V635:AG635,1,MATCH(Parametres!$B$3,V$1:AG$1,0)-1)*IF(OR(C635="L",C635="S",C635="I"),-1,1),"")</f>
        <v/>
      </c>
      <c r="AW635" s="1030">
        <f t="shared" si="3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40"/>
        <v>H38000</v>
      </c>
      <c r="AK636" s="1030" t="str">
        <f t="shared" si="40"/>
        <v>VTE TEMPS MORT MECANIQUE</v>
      </c>
      <c r="AL636" s="1030" t="str">
        <f>IFERROR(INDEX(G636:R636,1,MATCH(Parametres!$B$3,G$1:R$1,0)-1)*IF(OR(F636="L",F636="S",F636="I"),-1,1),"")</f>
        <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38"/>
        <v>H38000</v>
      </c>
      <c r="AU636" s="599" t="str">
        <f t="shared" si="38"/>
        <v>VTE TEMPS MORT MECANIQUE</v>
      </c>
      <c r="AV636" s="1030" t="str">
        <f>IFERROR(INDEX(V636:AG636,1,MATCH(Parametres!$B$3,V$1:AG$1,0)-1)*IF(OR(C636="L",C636="S",C636="I"),-1,1),"")</f>
        <v/>
      </c>
      <c r="AW636" s="1030">
        <f t="shared" si="3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40"/>
        <v>H38100</v>
      </c>
      <c r="AK637" s="1030" t="str">
        <f t="shared" si="40"/>
        <v>VTE TEMPS MORT CARR</v>
      </c>
      <c r="AL637" s="1030" t="str">
        <f>IFERROR(INDEX(G637:R637,1,MATCH(Parametres!$B$3,G$1:R$1,0)-1)*IF(OR(F637="L",F637="S",F637="I"),-1,1),"")</f>
        <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38"/>
        <v>H38100</v>
      </c>
      <c r="AU637" s="599" t="str">
        <f t="shared" si="38"/>
        <v>VTE TEMPS MORT CARR</v>
      </c>
      <c r="AV637" s="1030" t="str">
        <f>IFERROR(INDEX(V637:AG637,1,MATCH(Parametres!$B$3,V$1:AG$1,0)-1)*IF(OR(C637="L",C637="S",C637="I"),-1,1),"")</f>
        <v/>
      </c>
      <c r="AW637" s="1030">
        <f t="shared" si="3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40"/>
        <v>H38200</v>
      </c>
      <c r="AK638" s="1030" t="str">
        <f t="shared" si="40"/>
        <v>VTE M.O S-TRAITANCE -MEC</v>
      </c>
      <c r="AL638" s="1030" t="str">
        <f>IFERROR(INDEX(G638:R638,1,MATCH(Parametres!$B$3,G$1:R$1,0)-1)*IF(OR(F638="L",F638="S",F638="I"),-1,1),"")</f>
        <v/>
      </c>
      <c r="AM638" s="1030">
        <f t="shared" si="37"/>
        <v>-45982.16</v>
      </c>
      <c r="AN638" s="1030">
        <f>INDEX(G638:R638,1,MATCH(Parametres!$B$3,G$1:R$1,0))*IF(OR(F638="L",F638="S",F638="I"),-1,1)</f>
        <v>-45982.16</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38"/>
        <v>H38200</v>
      </c>
      <c r="AU638" s="599" t="str">
        <f t="shared" si="38"/>
        <v>VTE M.O S-TRAITANCE -MEC</v>
      </c>
      <c r="AV638" s="1030" t="str">
        <f>IFERROR(INDEX(V638:AG638,1,MATCH(Parametres!$B$3,V$1:AG$1,0)-1)*IF(OR(C638="L",C638="S",C638="I"),-1,1),"")</f>
        <v/>
      </c>
      <c r="AW638" s="1030">
        <f t="shared" si="39"/>
        <v>191</v>
      </c>
      <c r="AX638" s="1030">
        <f>INDEX(V638:AG638,1,MATCH(Parametres!$B$3,V$1:AG$1,0))*IF(OR(C638="L",C638="S",C638="I"),-1,1)</f>
        <v>191</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40"/>
        <v>H38210</v>
      </c>
      <c r="AK639" s="1030" t="str">
        <f t="shared" si="40"/>
        <v>VTE SOUS TRAITANCE HPP</v>
      </c>
      <c r="AL639" s="1030" t="str">
        <f>IFERROR(INDEX(G639:R639,1,MATCH(Parametres!$B$3,G$1:R$1,0)-1)*IF(OR(F639="L",F639="S",F639="I"),-1,1),"")</f>
        <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38"/>
        <v>H38210</v>
      </c>
      <c r="AU639" s="599" t="str">
        <f t="shared" si="38"/>
        <v>VTE SOUS TRAITANCE HPP</v>
      </c>
      <c r="AV639" s="1030" t="str">
        <f>IFERROR(INDEX(V639:AG639,1,MATCH(Parametres!$B$3,V$1:AG$1,0)-1)*IF(OR(C639="L",C639="S",C639="I"),-1,1),"")</f>
        <v/>
      </c>
      <c r="AW639" s="1030">
        <f t="shared" si="3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40"/>
        <v>H38300</v>
      </c>
      <c r="AK640" s="1030" t="str">
        <f t="shared" si="40"/>
        <v>VTE ENTREPOSAGE DE PNEU</v>
      </c>
      <c r="AL640" s="1030" t="str">
        <f>IFERROR(INDEX(G640:R640,1,MATCH(Parametres!$B$3,G$1:R$1,0)-1)*IF(OR(F640="L",F640="S",F640="I"),-1,1),"")</f>
        <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38"/>
        <v>H38300</v>
      </c>
      <c r="AU640" s="599" t="str">
        <f t="shared" si="38"/>
        <v>VTE ENTREPOSAGE DE PNEU</v>
      </c>
      <c r="AV640" s="1030" t="str">
        <f>IFERROR(INDEX(V640:AG640,1,MATCH(Parametres!$B$3,V$1:AG$1,0)-1)*IF(OR(C640="L",C640="S",C640="I"),-1,1),"")</f>
        <v/>
      </c>
      <c r="AW640" s="1030">
        <f t="shared" si="3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40"/>
        <v>H38400</v>
      </c>
      <c r="AK641" s="1030" t="str">
        <f t="shared" si="40"/>
        <v>VTE HUILE</v>
      </c>
      <c r="AL641" s="1030" t="str">
        <f>IFERROR(INDEX(G641:R641,1,MATCH(Parametres!$B$3,G$1:R$1,0)-1)*IF(OR(F641="L",F641="S",F641="I"),-1,1),"")</f>
        <v/>
      </c>
      <c r="AM641" s="1030">
        <f t="shared" si="37"/>
        <v>-14521.91</v>
      </c>
      <c r="AN641" s="1030">
        <f>INDEX(G641:R641,1,MATCH(Parametres!$B$3,G$1:R$1,0))*IF(OR(F641="L",F641="S",F641="I"),-1,1)</f>
        <v>-14521.91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38"/>
        <v>H38400</v>
      </c>
      <c r="AU641" s="599" t="str">
        <f t="shared" si="38"/>
        <v>VTE HUILE</v>
      </c>
      <c r="AV641" s="1030" t="str">
        <f>IFERROR(INDEX(V641:AG641,1,MATCH(Parametres!$B$3,V$1:AG$1,0)-1)*IF(OR(C641="L",C641="S",C641="I"),-1,1),"")</f>
        <v/>
      </c>
      <c r="AW641" s="1030">
        <f t="shared" si="39"/>
        <v>343</v>
      </c>
      <c r="AX641" s="1030">
        <f>INDEX(V641:AG641,1,MATCH(Parametres!$B$3,V$1:AG$1,0))*IF(OR(C641="L",C641="S",C641="I"),-1,1)</f>
        <v>343</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40"/>
        <v>H38500</v>
      </c>
      <c r="AK642" s="1030" t="str">
        <f t="shared" si="40"/>
        <v>VTE ESSENCE</v>
      </c>
      <c r="AL642" s="1030" t="str">
        <f>IFERROR(INDEX(G642:R642,1,MATCH(Parametres!$B$3,G$1:R$1,0)-1)*IF(OR(F642="L",F642="S",F642="I"),-1,1),"")</f>
        <v/>
      </c>
      <c r="AM642" s="1030">
        <f t="shared" si="37"/>
        <v>-4387.45</v>
      </c>
      <c r="AN642" s="1030">
        <f>INDEX(G642:R642,1,MATCH(Parametres!$B$3,G$1:R$1,0))*IF(OR(F642="L",F642="S",F642="I"),-1,1)</f>
        <v>-4387.45</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38"/>
        <v>H38500</v>
      </c>
      <c r="AU642" s="599" t="str">
        <f t="shared" si="38"/>
        <v>VTE ESSENCE</v>
      </c>
      <c r="AV642" s="1030" t="str">
        <f>IFERROR(INDEX(V642:AG642,1,MATCH(Parametres!$B$3,V$1:AG$1,0)-1)*IF(OR(C642="L",C642="S",C642="I"),-1,1),"")</f>
        <v/>
      </c>
      <c r="AW642" s="1030">
        <f t="shared" si="39"/>
        <v>66</v>
      </c>
      <c r="AX642" s="1030">
        <f>INDEX(V642:AG642,1,MATCH(Parametres!$B$3,V$1:AG$1,0))*IF(OR(C642="L",C642="S",C642="I"),-1,1)</f>
        <v>66</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40"/>
        <v>H39000</v>
      </c>
      <c r="AK643" s="1030" t="str">
        <f t="shared" si="40"/>
        <v>VTE REVENUS DE LOCATION</v>
      </c>
      <c r="AL643" s="1030" t="str">
        <f>IFERROR(INDEX(G643:R643,1,MATCH(Parametres!$B$3,G$1:R$1,0)-1)*IF(OR(F643="L",F643="S",F643="I"),-1,1),"")</f>
        <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38"/>
        <v>H39000</v>
      </c>
      <c r="AU643" s="599" t="str">
        <f t="shared" si="38"/>
        <v>VTE REVENUS DE LOCATION</v>
      </c>
      <c r="AV643" s="1030" t="str">
        <f>IFERROR(INDEX(V643:AG643,1,MATCH(Parametres!$B$3,V$1:AG$1,0)-1)*IF(OR(C643="L",C643="S",C643="I"),-1,1),"")</f>
        <v/>
      </c>
      <c r="AW643" s="1030">
        <f t="shared" si="3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40"/>
        <v>H39100</v>
      </c>
      <c r="AK644" s="1030" t="str">
        <f t="shared" si="40"/>
        <v>REVENU LOCATION  CT &amp; LT</v>
      </c>
      <c r="AL644" s="1030" t="str">
        <f>IFERROR(INDEX(G644:R644,1,MATCH(Parametres!$B$3,G$1:R$1,0)-1)*IF(OR(F644="L",F644="S",F644="I"),-1,1),"")</f>
        <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U707" si="42">C644</f>
        <v>H39100</v>
      </c>
      <c r="AU644" s="599" t="str">
        <f t="shared" si="42"/>
        <v>REVENU LOCATION  CT &amp; LT</v>
      </c>
      <c r="AV644" s="1030" t="str">
        <f>IFERROR(INDEX(V644:AG644,1,MATCH(Parametres!$B$3,V$1:AG$1,0)-1)*IF(OR(C644="L",C644="S",C644="I"),-1,1),"")</f>
        <v/>
      </c>
      <c r="AW644" s="1030">
        <f t="shared" ref="AW644:AW707" si="43">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40"/>
        <v>H39200</v>
      </c>
      <c r="AK645" s="1030" t="str">
        <f t="shared" si="40"/>
        <v>GAIN/PERTE DISPOSITION</v>
      </c>
      <c r="AL645" s="1030" t="str">
        <f>IFERROR(INDEX(G645:R645,1,MATCH(Parametres!$B$3,G$1:R$1,0)-1)*IF(OR(F645="L",F645="S",F645="I"),-1,1),"")</f>
        <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42"/>
        <v>H39200</v>
      </c>
      <c r="AU645" s="599" t="str">
        <f t="shared" si="42"/>
        <v>GAIN/PERTE DISPOSITION</v>
      </c>
      <c r="AV645" s="1030" t="str">
        <f>IFERROR(INDEX(V645:AG645,1,MATCH(Parametres!$B$3,V$1:AG$1,0)-1)*IF(OR(C645="L",C645="S",C645="I"),-1,1),"")</f>
        <v/>
      </c>
      <c r="AW645" s="1030">
        <f t="shared" si="43"/>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40"/>
        <v>H39300</v>
      </c>
      <c r="AK646" s="1030" t="str">
        <f t="shared" si="40"/>
        <v>AUTRE DEPARTEMENT</v>
      </c>
      <c r="AL646" s="1030" t="str">
        <f>IFERROR(INDEX(G646:R646,1,MATCH(Parametres!$B$3,G$1:R$1,0)-1)*IF(OR(F646="L",F646="S",F646="I"),-1,1),"")</f>
        <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42"/>
        <v>H39300</v>
      </c>
      <c r="AU646" s="599" t="str">
        <f t="shared" si="42"/>
        <v>AUTRE DEPARTEMENT</v>
      </c>
      <c r="AV646" s="1030" t="str">
        <f>IFERROR(INDEX(V646:AG646,1,MATCH(Parametres!$B$3,V$1:AG$1,0)-1)*IF(OR(C646="L",C646="S",C646="I"),-1,1),"")</f>
        <v/>
      </c>
      <c r="AW646" s="1030">
        <f t="shared" si="43"/>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40"/>
        <v>H39400</v>
      </c>
      <c r="AK647" s="1030" t="str">
        <f t="shared" si="40"/>
        <v>AUTRE DEPARTEMENT</v>
      </c>
      <c r="AL647" s="1030" t="str">
        <f>IFERROR(INDEX(G647:R647,1,MATCH(Parametres!$B$3,G$1:R$1,0)-1)*IF(OR(F647="L",F647="S",F647="I"),-1,1),"")</f>
        <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42"/>
        <v>H39400</v>
      </c>
      <c r="AU647" s="599" t="str">
        <f t="shared" si="42"/>
        <v>AUTRE DEPARTEMENT</v>
      </c>
      <c r="AV647" s="1030" t="str">
        <f>IFERROR(INDEX(V647:AG647,1,MATCH(Parametres!$B$3,V$1:AG$1,0)-1)*IF(OR(C647="L",C647="S",C647="I"),-1,1),"")</f>
        <v/>
      </c>
      <c r="AW647" s="1030">
        <f t="shared" si="43"/>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40"/>
        <v>H39500</v>
      </c>
      <c r="AK648" s="1030" t="str">
        <f t="shared" si="40"/>
        <v>AUTRE DEPARTEMENT</v>
      </c>
      <c r="AL648" s="1030" t="str">
        <f>IFERROR(INDEX(G648:R648,1,MATCH(Parametres!$B$3,G$1:R$1,0)-1)*IF(OR(F648="L",F648="S",F648="I"),-1,1),"")</f>
        <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42"/>
        <v>H39500</v>
      </c>
      <c r="AU648" s="599" t="str">
        <f t="shared" si="42"/>
        <v>AUTRE DEPARTEMENT</v>
      </c>
      <c r="AV648" s="1030" t="str">
        <f>IFERROR(INDEX(V648:AG648,1,MATCH(Parametres!$B$3,V$1:AG$1,0)-1)*IF(OR(C648="L",C648="S",C648="I"),-1,1),"")</f>
        <v/>
      </c>
      <c r="AW648" s="1030">
        <f t="shared" si="43"/>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40"/>
        <v>H39600</v>
      </c>
      <c r="AK649" s="1030" t="str">
        <f t="shared" si="40"/>
        <v>AUTRE DEPARTEMENT</v>
      </c>
      <c r="AL649" s="1030" t="str">
        <f>IFERROR(INDEX(G649:R649,1,MATCH(Parametres!$B$3,G$1:R$1,0)-1)*IF(OR(F649="L",F649="S",F649="I"),-1,1),"")</f>
        <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42"/>
        <v>H39600</v>
      </c>
      <c r="AU649" s="599" t="str">
        <f t="shared" si="42"/>
        <v>AUTRE DEPARTEMENT</v>
      </c>
      <c r="AV649" s="1030" t="str">
        <f>IFERROR(INDEX(V649:AG649,1,MATCH(Parametres!$B$3,V$1:AG$1,0)-1)*IF(OR(C649="L",C649="S",C649="I"),-1,1),"")</f>
        <v/>
      </c>
      <c r="AW649" s="1030">
        <f t="shared" si="43"/>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40"/>
        <v>H39700</v>
      </c>
      <c r="AK650" s="1030" t="str">
        <f t="shared" si="40"/>
        <v>AUTRE DEPARTEMENT</v>
      </c>
      <c r="AL650" s="1030" t="str">
        <f>IFERROR(INDEX(G650:R650,1,MATCH(Parametres!$B$3,G$1:R$1,0)-1)*IF(OR(F650="L",F650="S",F650="I"),-1,1),"")</f>
        <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42"/>
        <v>H39700</v>
      </c>
      <c r="AU650" s="599" t="str">
        <f t="shared" si="42"/>
        <v>AUTRE DEPARTEMENT</v>
      </c>
      <c r="AV650" s="1030" t="str">
        <f>IFERROR(INDEX(V650:AG650,1,MATCH(Parametres!$B$3,V$1:AG$1,0)-1)*IF(OR(C650="L",C650="S",C650="I"),-1,1),"")</f>
        <v/>
      </c>
      <c r="AW650" s="1030">
        <f t="shared" si="43"/>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40"/>
        <v>H39800</v>
      </c>
      <c r="AK651" s="1030" t="str">
        <f t="shared" si="40"/>
        <v>AUTRE DEPARTEMENT</v>
      </c>
      <c r="AL651" s="1030" t="str">
        <f>IFERROR(INDEX(G651:R651,1,MATCH(Parametres!$B$3,G$1:R$1,0)-1)*IF(OR(F651="L",F651="S",F651="I"),-1,1),"")</f>
        <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42"/>
        <v>H39800</v>
      </c>
      <c r="AU651" s="599" t="str">
        <f t="shared" si="42"/>
        <v>AUTRE DEPARTEMENT</v>
      </c>
      <c r="AV651" s="1030" t="str">
        <f>IFERROR(INDEX(V651:AG651,1,MATCH(Parametres!$B$3,V$1:AG$1,0)-1)*IF(OR(C651="L",C651="S",C651="I"),-1,1),"")</f>
        <v/>
      </c>
      <c r="AW651" s="1030">
        <f t="shared" si="43"/>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40"/>
        <v>H39900</v>
      </c>
      <c r="AK652" s="1030" t="str">
        <f t="shared" si="40"/>
        <v>AUTRE DEPARTEMENT</v>
      </c>
      <c r="AL652" s="1030" t="str">
        <f>IFERROR(INDEX(G652:R652,1,MATCH(Parametres!$B$3,G$1:R$1,0)-1)*IF(OR(F652="L",F652="S",F652="I"),-1,1),"")</f>
        <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42"/>
        <v>H39900</v>
      </c>
      <c r="AU652" s="599" t="str">
        <f t="shared" si="42"/>
        <v>AUTRE DEPARTEMENT</v>
      </c>
      <c r="AV652" s="1030" t="str">
        <f>IFERROR(INDEX(V652:AG652,1,MATCH(Parametres!$B$3,V$1:AG$1,0)-1)*IF(OR(C652="L",C652="S",C652="I"),-1,1),"")</f>
        <v/>
      </c>
      <c r="AW652" s="1030">
        <f t="shared" si="43"/>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40"/>
        <v>H40100</v>
      </c>
      <c r="AK653" s="1030" t="str">
        <f t="shared" si="40"/>
        <v>CT VEH NF ACCENT 4 PORTES</v>
      </c>
      <c r="AL653" s="1030" t="str">
        <f>IFERROR(INDEX(G653:R653,1,MATCH(Parametres!$B$3,G$1:R$1,0)-1)*IF(OR(F653="L",F653="S",F653="I"),-1,1),"")</f>
        <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42"/>
        <v>H40100</v>
      </c>
      <c r="AU653" s="599" t="str">
        <f t="shared" si="42"/>
        <v>CT VEH NF ACCENT 4 PORTES</v>
      </c>
      <c r="AV653" s="1030" t="str">
        <f>IFERROR(INDEX(V653:AG653,1,MATCH(Parametres!$B$3,V$1:AG$1,0)-1)*IF(OR(C653="L",C653="S",C653="I"),-1,1),"")</f>
        <v/>
      </c>
      <c r="AW653" s="1030">
        <f t="shared" si="43"/>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40"/>
        <v>H40101</v>
      </c>
      <c r="AK654" s="1030" t="str">
        <f t="shared" si="40"/>
        <v>CT ACCENT BERLINE 4P</v>
      </c>
      <c r="AL654" s="1030" t="str">
        <f>IFERROR(INDEX(G654:R654,1,MATCH(Parametres!$B$3,G$1:R$1,0)-1)*IF(OR(F654="L",F654="S",F654="I"),-1,1),"")</f>
        <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42"/>
        <v>H40101</v>
      </c>
      <c r="AU654" s="599" t="str">
        <f t="shared" si="42"/>
        <v>CT ACCENT BERLINE 4P</v>
      </c>
      <c r="AV654" s="1030" t="str">
        <f>IFERROR(INDEX(V654:AG654,1,MATCH(Parametres!$B$3,V$1:AG$1,0)-1)*IF(OR(C654="L",C654="S",C654="I"),-1,1),"")</f>
        <v/>
      </c>
      <c r="AW654" s="1030">
        <f t="shared" si="43"/>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40"/>
        <v>H40200</v>
      </c>
      <c r="AK655" s="1030" t="str">
        <f t="shared" si="40"/>
        <v>CT VHE NF ACCENT 5 PORTES</v>
      </c>
      <c r="AL655" s="1030" t="str">
        <f>IFERROR(INDEX(G655:R655,1,MATCH(Parametres!$B$3,G$1:R$1,0)-1)*IF(OR(F655="L",F655="S",F655="I"),-1,1),"")</f>
        <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42"/>
        <v>H40200</v>
      </c>
      <c r="AU655" s="599" t="str">
        <f t="shared" si="42"/>
        <v>CT VHE NF ACCENT 5 PORTES</v>
      </c>
      <c r="AV655" s="1030" t="str">
        <f>IFERROR(INDEX(V655:AG655,1,MATCH(Parametres!$B$3,V$1:AG$1,0)-1)*IF(OR(C655="L",C655="S",C655="I"),-1,1),"")</f>
        <v/>
      </c>
      <c r="AW655" s="1030">
        <f t="shared" si="43"/>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40"/>
        <v>H40300</v>
      </c>
      <c r="AK656" s="1030" t="str">
        <f t="shared" si="40"/>
        <v>CT VEH NF GENESIS COUPE</v>
      </c>
      <c r="AL656" s="1030" t="str">
        <f>IFERROR(INDEX(G656:R656,1,MATCH(Parametres!$B$3,G$1:R$1,0)-1)*IF(OR(F656="L",F656="S",F656="I"),-1,1),"")</f>
        <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42"/>
        <v>H40300</v>
      </c>
      <c r="AU656" s="599" t="str">
        <f t="shared" si="42"/>
        <v>CT VEH NF GENESIS COUPE</v>
      </c>
      <c r="AV656" s="1030" t="str">
        <f>IFERROR(INDEX(V656:AG656,1,MATCH(Parametres!$B$3,V$1:AG$1,0)-1)*IF(OR(C656="L",C656="S",C656="I"),-1,1),"")</f>
        <v/>
      </c>
      <c r="AW656" s="1030">
        <f t="shared" si="43"/>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40"/>
        <v>H40400</v>
      </c>
      <c r="AK657" s="1030" t="str">
        <f t="shared" si="40"/>
        <v>CT SANTA FE</v>
      </c>
      <c r="AL657" s="1030" t="str">
        <f>IFERROR(INDEX(G657:R657,1,MATCH(Parametres!$B$3,G$1:R$1,0)-1)*IF(OR(F657="L",F657="S",F657="I"),-1,1),"")</f>
        <v/>
      </c>
      <c r="AM657" s="1030">
        <f t="shared" si="41"/>
        <v>0</v>
      </c>
      <c r="AN657" s="1030">
        <f>INDEX(G657:R657,1,MATCH(Parametres!$B$3,G$1:R$1,0))*IF(OR(F657="L",F657="S",F657="I"),-1,1)</f>
        <v>0</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42"/>
        <v>H40400</v>
      </c>
      <c r="AU657" s="599" t="str">
        <f t="shared" si="42"/>
        <v>CT SANTA FE</v>
      </c>
      <c r="AV657" s="1030" t="str">
        <f>IFERROR(INDEX(V657:AG657,1,MATCH(Parametres!$B$3,V$1:AG$1,0)-1)*IF(OR(C657="L",C657="S",C657="I"),-1,1),"")</f>
        <v/>
      </c>
      <c r="AW657" s="1030">
        <f t="shared" si="43"/>
        <v>0</v>
      </c>
      <c r="AX657" s="1030">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40"/>
        <v>H40401</v>
      </c>
      <c r="AK658" s="1030" t="str">
        <f t="shared" si="40"/>
        <v>CT SANTA FE XL</v>
      </c>
      <c r="AL658" s="1030" t="str">
        <f>IFERROR(INDEX(G658:R658,1,MATCH(Parametres!$B$3,G$1:R$1,0)-1)*IF(OR(F658="L",F658="S",F658="I"),-1,1),"")</f>
        <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42"/>
        <v>H40401</v>
      </c>
      <c r="AU658" s="599" t="str">
        <f t="shared" si="42"/>
        <v>CT SANTA FE XL</v>
      </c>
      <c r="AV658" s="1030" t="str">
        <f>IFERROR(INDEX(V658:AG658,1,MATCH(Parametres!$B$3,V$1:AG$1,0)-1)*IF(OR(C658="L",C658="S",C658="I"),-1,1),"")</f>
        <v/>
      </c>
      <c r="AW658" s="1030">
        <f t="shared" si="43"/>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si="40"/>
        <v>H40402</v>
      </c>
      <c r="AK659" s="1030" t="str">
        <f t="shared" si="40"/>
        <v>CT SANTA FE HYBRIDE</v>
      </c>
      <c r="AL659" s="1030" t="str">
        <f>IFERROR(INDEX(G659:R659,1,MATCH(Parametres!$B$3,G$1:R$1,0)-1)*IF(OR(F659="L",F659="S",F659="I"),-1,1),"")</f>
        <v/>
      </c>
      <c r="AM659" s="1030">
        <f t="shared" si="41"/>
        <v>235121.72</v>
      </c>
      <c r="AN659" s="1030">
        <f>INDEX(G659:R659,1,MATCH(Parametres!$B$3,G$1:R$1,0))*IF(OR(F659="L",F659="S",F659="I"),-1,1)</f>
        <v>235121.72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42"/>
        <v>H40402</v>
      </c>
      <c r="AU659" s="599" t="str">
        <f t="shared" si="42"/>
        <v>CT SANTA FE HYBRIDE</v>
      </c>
      <c r="AV659" s="1030" t="str">
        <f>IFERROR(INDEX(V659:AG659,1,MATCH(Parametres!$B$3,V$1:AG$1,0)-1)*IF(OR(C659="L",C659="S",C659="I"),-1,1),"")</f>
        <v/>
      </c>
      <c r="AW659" s="1030">
        <f t="shared" si="43"/>
        <v>0</v>
      </c>
      <c r="AX659" s="1030">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ref="AJ660:AK723" si="44">C660</f>
        <v>H40403</v>
      </c>
      <c r="AK660" s="1030" t="str">
        <f t="shared" si="44"/>
        <v>CT VENTE SANTA FE PHEV</v>
      </c>
      <c r="AL660" s="1030" t="str">
        <f>IFERROR(INDEX(G660:R660,1,MATCH(Parametres!$B$3,G$1:R$1,0)-1)*IF(OR(F660="L",F660="S",F660="I"),-1,1),"")</f>
        <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42"/>
        <v>H40403</v>
      </c>
      <c r="AU660" s="599" t="str">
        <f t="shared" si="42"/>
        <v>CT VENTE SANTA FE PHEV</v>
      </c>
      <c r="AV660" s="1030" t="str">
        <f>IFERROR(INDEX(V660:AG660,1,MATCH(Parametres!$B$3,V$1:AG$1,0)-1)*IF(OR(C660="L",C660="S",C660="I"),-1,1),"")</f>
        <v/>
      </c>
      <c r="AW660" s="1030">
        <f t="shared" si="43"/>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44"/>
        <v>H40410</v>
      </c>
      <c r="AK661" s="1030" t="str">
        <f t="shared" si="44"/>
        <v>CT SANTA FE  LWB</v>
      </c>
      <c r="AL661" s="1030" t="str">
        <f>IFERROR(INDEX(G661:R661,1,MATCH(Parametres!$B$3,G$1:R$1,0)-1)*IF(OR(F661="L",F661="S",F661="I"),-1,1),"")</f>
        <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42"/>
        <v>H40410</v>
      </c>
      <c r="AU661" s="599" t="str">
        <f t="shared" si="42"/>
        <v>CT SANTA FE  LWB</v>
      </c>
      <c r="AV661" s="1030" t="str">
        <f>IFERROR(INDEX(V661:AG661,1,MATCH(Parametres!$B$3,V$1:AG$1,0)-1)*IF(OR(C661="L",C661="S",C661="I"),-1,1),"")</f>
        <v/>
      </c>
      <c r="AW661" s="1030">
        <f t="shared" si="43"/>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44"/>
        <v>H40500</v>
      </c>
      <c r="AK662" s="1030" t="str">
        <f t="shared" si="44"/>
        <v>CT SONATA HYBRYDE</v>
      </c>
      <c r="AL662" s="1030" t="str">
        <f>IFERROR(INDEX(G662:R662,1,MATCH(Parametres!$B$3,G$1:R$1,0)-1)*IF(OR(F662="L",F662="S",F662="I"),-1,1),"")</f>
        <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42"/>
        <v>H40500</v>
      </c>
      <c r="AU662" s="599" t="str">
        <f t="shared" si="42"/>
        <v>CT SONATA HYBRYDE</v>
      </c>
      <c r="AV662" s="1030" t="str">
        <f>IFERROR(INDEX(V662:AG662,1,MATCH(Parametres!$B$3,V$1:AG$1,0)-1)*IF(OR(C662="L",C662="S",C662="I"),-1,1),"")</f>
        <v/>
      </c>
      <c r="AW662" s="1030">
        <f t="shared" si="43"/>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44"/>
        <v>H40600</v>
      </c>
      <c r="AK663" s="1030" t="str">
        <f t="shared" si="44"/>
        <v>CT ELANTRA  TOURING</v>
      </c>
      <c r="AL663" s="1030" t="str">
        <f>IFERROR(INDEX(G663:R663,1,MATCH(Parametres!$B$3,G$1:R$1,0)-1)*IF(OR(F663="L",F663="S",F663="I"),-1,1),"")</f>
        <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42"/>
        <v>H40600</v>
      </c>
      <c r="AU663" s="599" t="str">
        <f t="shared" si="42"/>
        <v>CT ELANTRA  TOURING</v>
      </c>
      <c r="AV663" s="1030" t="str">
        <f>IFERROR(INDEX(V663:AG663,1,MATCH(Parametres!$B$3,V$1:AG$1,0)-1)*IF(OR(C663="L",C663="S",C663="I"),-1,1),"")</f>
        <v/>
      </c>
      <c r="AW663" s="1030">
        <f t="shared" si="43"/>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44"/>
        <v>H40601</v>
      </c>
      <c r="AK664" s="1030" t="str">
        <f t="shared" si="44"/>
        <v>CT ELANTRA</v>
      </c>
      <c r="AL664" s="1030" t="str">
        <f>IFERROR(INDEX(G664:R664,1,MATCH(Parametres!$B$3,G$1:R$1,0)-1)*IF(OR(F664="L",F664="S",F664="I"),-1,1),"")</f>
        <v/>
      </c>
      <c r="AM664" s="1030">
        <f t="shared" si="41"/>
        <v>219728.81</v>
      </c>
      <c r="AN664" s="1030">
        <f>INDEX(G664:R664,1,MATCH(Parametres!$B$3,G$1:R$1,0))*IF(OR(F664="L",F664="S",F664="I"),-1,1)</f>
        <v>219728.81</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42"/>
        <v>H40601</v>
      </c>
      <c r="AU664" s="599" t="str">
        <f t="shared" si="42"/>
        <v>CT ELANTRA</v>
      </c>
      <c r="AV664" s="1030" t="str">
        <f>IFERROR(INDEX(V664:AG664,1,MATCH(Parametres!$B$3,V$1:AG$1,0)-1)*IF(OR(C664="L",C664="S",C664="I"),-1,1),"")</f>
        <v/>
      </c>
      <c r="AW664" s="1030">
        <f t="shared" si="43"/>
        <v>0</v>
      </c>
      <c r="AX664" s="1030">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44"/>
        <v>H40602</v>
      </c>
      <c r="AK665" s="1030" t="str">
        <f t="shared" si="44"/>
        <v>CT ELANTRA COUPE</v>
      </c>
      <c r="AL665" s="1030" t="str">
        <f>IFERROR(INDEX(G665:R665,1,MATCH(Parametres!$B$3,G$1:R$1,0)-1)*IF(OR(F665="L",F665="S",F665="I"),-1,1),"")</f>
        <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42"/>
        <v>H40602</v>
      </c>
      <c r="AU665" s="599" t="str">
        <f t="shared" si="42"/>
        <v>CT ELANTRA COUPE</v>
      </c>
      <c r="AV665" s="1030" t="str">
        <f>IFERROR(INDEX(V665:AG665,1,MATCH(Parametres!$B$3,V$1:AG$1,0)-1)*IF(OR(C665="L",C665="S",C665="I"),-1,1),"")</f>
        <v/>
      </c>
      <c r="AW665" s="1030">
        <f t="shared" si="43"/>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44"/>
        <v>H40603</v>
      </c>
      <c r="AK666" s="1030" t="str">
        <f t="shared" si="44"/>
        <v>CT ELANTRA GT</v>
      </c>
      <c r="AL666" s="1030" t="str">
        <f>IFERROR(INDEX(G666:R666,1,MATCH(Parametres!$B$3,G$1:R$1,0)-1)*IF(OR(F666="L",F666="S",F666="I"),-1,1),"")</f>
        <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42"/>
        <v>H40603</v>
      </c>
      <c r="AU666" s="599" t="str">
        <f t="shared" si="42"/>
        <v>CT ELANTRA GT</v>
      </c>
      <c r="AV666" s="1030" t="str">
        <f>IFERROR(INDEX(V666:AG666,1,MATCH(Parametres!$B$3,V$1:AG$1,0)-1)*IF(OR(C666="L",C666="S",C666="I"),-1,1),"")</f>
        <v/>
      </c>
      <c r="AW666" s="1030">
        <f t="shared" si="43"/>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44"/>
        <v>H40604</v>
      </c>
      <c r="AK667" s="1030" t="str">
        <f t="shared" si="44"/>
        <v>CT ELANTRA HYBRIDE</v>
      </c>
      <c r="AL667" s="1030" t="str">
        <f>IFERROR(INDEX(G667:R667,1,MATCH(Parametres!$B$3,G$1:R$1,0)-1)*IF(OR(F667="L",F667="S",F667="I"),-1,1),"")</f>
        <v/>
      </c>
      <c r="AM667" s="1030">
        <f t="shared" si="41"/>
        <v>0</v>
      </c>
      <c r="AN667" s="1030">
        <f>INDEX(G667:R667,1,MATCH(Parametres!$B$3,G$1:R$1,0))*IF(OR(F667="L",F667="S",F667="I"),-1,1)</f>
        <v>0</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42"/>
        <v>H40604</v>
      </c>
      <c r="AU667" s="599" t="str">
        <f t="shared" si="42"/>
        <v>CT ELANTRA HYBRIDE</v>
      </c>
      <c r="AV667" s="1030" t="str">
        <f>IFERROR(INDEX(V667:AG667,1,MATCH(Parametres!$B$3,V$1:AG$1,0)-1)*IF(OR(C667="L",C667="S",C667="I"),-1,1),"")</f>
        <v/>
      </c>
      <c r="AW667" s="1030">
        <f t="shared" si="43"/>
        <v>0</v>
      </c>
      <c r="AX667" s="1030">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44"/>
        <v>H40620</v>
      </c>
      <c r="AK668" s="1030" t="str">
        <f t="shared" si="44"/>
        <v>CT ELANTRA COUPE</v>
      </c>
      <c r="AL668" s="1030" t="str">
        <f>IFERROR(INDEX(G668:R668,1,MATCH(Parametres!$B$3,G$1:R$1,0)-1)*IF(OR(F668="L",F668="S",F668="I"),-1,1),"")</f>
        <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42"/>
        <v>H40620</v>
      </c>
      <c r="AU668" s="599" t="str">
        <f t="shared" si="42"/>
        <v>CT ELANTRA COUPE</v>
      </c>
      <c r="AV668" s="1030" t="str">
        <f>IFERROR(INDEX(V668:AG668,1,MATCH(Parametres!$B$3,V$1:AG$1,0)-1)*IF(OR(C668="L",C668="S",C668="I"),-1,1),"")</f>
        <v/>
      </c>
      <c r="AW668" s="1030">
        <f t="shared" si="43"/>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44"/>
        <v>H40700</v>
      </c>
      <c r="AK669" s="1030" t="str">
        <f t="shared" si="44"/>
        <v>CT VEH NF GENESIS</v>
      </c>
      <c r="AL669" s="1030" t="str">
        <f>IFERROR(INDEX(G669:R669,1,MATCH(Parametres!$B$3,G$1:R$1,0)-1)*IF(OR(F669="L",F669="S",F669="I"),-1,1),"")</f>
        <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42"/>
        <v>H40700</v>
      </c>
      <c r="AU669" s="599" t="str">
        <f t="shared" si="42"/>
        <v>CT VEH NF GENESIS</v>
      </c>
      <c r="AV669" s="1030" t="str">
        <f>IFERROR(INDEX(V669:AG669,1,MATCH(Parametres!$B$3,V$1:AG$1,0)-1)*IF(OR(C669="L",C669="S",C669="I"),-1,1),"")</f>
        <v/>
      </c>
      <c r="AW669" s="1030">
        <f t="shared" si="43"/>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44"/>
        <v>H40800</v>
      </c>
      <c r="AK670" s="1030" t="str">
        <f t="shared" si="44"/>
        <v>CT VEH NF IONIQ EV ET H</v>
      </c>
      <c r="AL670" s="1030" t="str">
        <f>IFERROR(INDEX(G670:R670,1,MATCH(Parametres!$B$3,G$1:R$1,0)-1)*IF(OR(F670="L",F670="S",F670="I"),-1,1),"")</f>
        <v/>
      </c>
      <c r="AM670" s="1030">
        <f t="shared" si="41"/>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42"/>
        <v>H40800</v>
      </c>
      <c r="AU670" s="599" t="str">
        <f t="shared" si="42"/>
        <v>CT VEH NF IONIQ EV ET H</v>
      </c>
      <c r="AV670" s="1030" t="str">
        <f>IFERROR(INDEX(V670:AG670,1,MATCH(Parametres!$B$3,V$1:AG$1,0)-1)*IF(OR(C670="L",C670="S",C670="I"),-1,1),"")</f>
        <v/>
      </c>
      <c r="AW670" s="1030">
        <f t="shared" si="43"/>
        <v>0</v>
      </c>
      <c r="AX670" s="1030">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44"/>
        <v>H40801</v>
      </c>
      <c r="AK671" s="1030" t="str">
        <f t="shared" si="44"/>
        <v>CT VEH NF IONIQ HYBRIDE</v>
      </c>
      <c r="AL671" s="1030" t="str">
        <f>IFERROR(INDEX(G671:R671,1,MATCH(Parametres!$B$3,G$1:R$1,0)-1)*IF(OR(F671="L",F671="S",F671="I"),-1,1),"")</f>
        <v/>
      </c>
      <c r="AM671" s="1030">
        <f t="shared" si="41"/>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42"/>
        <v>H40801</v>
      </c>
      <c r="AU671" s="599" t="str">
        <f t="shared" si="42"/>
        <v>CT VEH NF IONIQ HYBRIDE</v>
      </c>
      <c r="AV671" s="1030" t="str">
        <f>IFERROR(INDEX(V671:AG671,1,MATCH(Parametres!$B$3,V$1:AG$1,0)-1)*IF(OR(C671="L",C671="S",C671="I"),-1,1),"")</f>
        <v/>
      </c>
      <c r="AW671" s="1030">
        <f t="shared" si="43"/>
        <v>0</v>
      </c>
      <c r="AX671" s="1030">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44"/>
        <v>H40900</v>
      </c>
      <c r="AK672" s="1030" t="str">
        <f t="shared" si="44"/>
        <v>CT KONA</v>
      </c>
      <c r="AL672" s="1030" t="str">
        <f>IFERROR(INDEX(G672:R672,1,MATCH(Parametres!$B$3,G$1:R$1,0)-1)*IF(OR(F672="L",F672="S",F672="I"),-1,1),"")</f>
        <v/>
      </c>
      <c r="AM672" s="1030">
        <f t="shared" si="41"/>
        <v>393899.13</v>
      </c>
      <c r="AN672" s="1030">
        <f>INDEX(G672:R672,1,MATCH(Parametres!$B$3,G$1:R$1,0))*IF(OR(F672="L",F672="S",F672="I"),-1,1)</f>
        <v>393899.13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42"/>
        <v>H40900</v>
      </c>
      <c r="AU672" s="599" t="str">
        <f t="shared" si="42"/>
        <v>CT KONA</v>
      </c>
      <c r="AV672" s="1030" t="str">
        <f>IFERROR(INDEX(V672:AG672,1,MATCH(Parametres!$B$3,V$1:AG$1,0)-1)*IF(OR(C672="L",C672="S",C672="I"),-1,1),"")</f>
        <v/>
      </c>
      <c r="AW672" s="1030">
        <f t="shared" si="43"/>
        <v>0</v>
      </c>
      <c r="AX672" s="1030">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44"/>
        <v>H40901</v>
      </c>
      <c r="AK673" s="1030" t="str">
        <f t="shared" si="44"/>
        <v>CT KONA EV</v>
      </c>
      <c r="AL673" s="1030" t="str">
        <f>IFERROR(INDEX(G673:R673,1,MATCH(Parametres!$B$3,G$1:R$1,0)-1)*IF(OR(F673="L",F673="S",F673="I"),-1,1),"")</f>
        <v/>
      </c>
      <c r="AM673" s="1030">
        <f t="shared" si="41"/>
        <v>372077.14</v>
      </c>
      <c r="AN673" s="1030">
        <f>INDEX(G673:R673,1,MATCH(Parametres!$B$3,G$1:R$1,0))*IF(OR(F673="L",F673="S",F673="I"),-1,1)</f>
        <v>372077.14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42"/>
        <v>H40901</v>
      </c>
      <c r="AU673" s="599" t="str">
        <f t="shared" si="42"/>
        <v>CT KONA EV</v>
      </c>
      <c r="AV673" s="1030" t="str">
        <f>IFERROR(INDEX(V673:AG673,1,MATCH(Parametres!$B$3,V$1:AG$1,0)-1)*IF(OR(C673="L",C673="S",C673="I"),-1,1),"")</f>
        <v/>
      </c>
      <c r="AW673" s="1030">
        <f t="shared" si="43"/>
        <v>0</v>
      </c>
      <c r="AX673" s="1030">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44"/>
        <v>H41000</v>
      </c>
      <c r="AK674" s="1030" t="str">
        <f t="shared" si="44"/>
        <v>CT SONATA</v>
      </c>
      <c r="AL674" s="1030" t="str">
        <f>IFERROR(INDEX(G674:R674,1,MATCH(Parametres!$B$3,G$1:R$1,0)-1)*IF(OR(F674="L",F674="S",F674="I"),-1,1),"")</f>
        <v/>
      </c>
      <c r="AM674" s="1030">
        <f t="shared" si="41"/>
        <v>0</v>
      </c>
      <c r="AN674" s="1030">
        <f>INDEX(G674:R674,1,MATCH(Parametres!$B$3,G$1:R$1,0))*IF(OR(F674="L",F674="S",F674="I"),-1,1)</f>
        <v>0</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42"/>
        <v>H41000</v>
      </c>
      <c r="AU674" s="599" t="str">
        <f t="shared" si="42"/>
        <v>CT SONATA</v>
      </c>
      <c r="AV674" s="1030" t="str">
        <f>IFERROR(INDEX(V674:AG674,1,MATCH(Parametres!$B$3,V$1:AG$1,0)-1)*IF(OR(C674="L",C674="S",C674="I"),-1,1),"")</f>
        <v/>
      </c>
      <c r="AW674" s="1030">
        <f t="shared" si="43"/>
        <v>0</v>
      </c>
      <c r="AX674" s="1030">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44"/>
        <v>H41100</v>
      </c>
      <c r="AK675" s="1030" t="str">
        <f t="shared" si="44"/>
        <v>CT EQUUS</v>
      </c>
      <c r="AL675" s="1030" t="str">
        <f>IFERROR(INDEX(G675:R675,1,MATCH(Parametres!$B$3,G$1:R$1,0)-1)*IF(OR(F675="L",F675="S",F675="I"),-1,1),"")</f>
        <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42"/>
        <v>H41100</v>
      </c>
      <c r="AU675" s="599" t="str">
        <f t="shared" si="42"/>
        <v>CT EQUUS</v>
      </c>
      <c r="AV675" s="1030" t="str">
        <f>IFERROR(INDEX(V675:AG675,1,MATCH(Parametres!$B$3,V$1:AG$1,0)-1)*IF(OR(C675="L",C675="S",C675="I"),-1,1),"")</f>
        <v/>
      </c>
      <c r="AW675" s="1030">
        <f t="shared" si="43"/>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44"/>
        <v>H41200</v>
      </c>
      <c r="AK676" s="1030" t="str">
        <f t="shared" si="44"/>
        <v>CT VELOSTER</v>
      </c>
      <c r="AL676" s="1030" t="str">
        <f>IFERROR(INDEX(G676:R676,1,MATCH(Parametres!$B$3,G$1:R$1,0)-1)*IF(OR(F676="L",F676="S",F676="I"),-1,1),"")</f>
        <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42"/>
        <v>H41200</v>
      </c>
      <c r="AU676" s="599" t="str">
        <f t="shared" si="42"/>
        <v>CT VELOSTER</v>
      </c>
      <c r="AV676" s="1030" t="str">
        <f>IFERROR(INDEX(V676:AG676,1,MATCH(Parametres!$B$3,V$1:AG$1,0)-1)*IF(OR(C676="L",C676="S",C676="I"),-1,1),"")</f>
        <v/>
      </c>
      <c r="AW676" s="1030">
        <f t="shared" si="43"/>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44"/>
        <v>H41300</v>
      </c>
      <c r="AK677" s="1030" t="str">
        <f t="shared" si="44"/>
        <v>CT VEH NF TUCSON</v>
      </c>
      <c r="AL677" s="1030" t="str">
        <f>IFERROR(INDEX(G677:R677,1,MATCH(Parametres!$B$3,G$1:R$1,0)-1)*IF(OR(F677="L",F677="S",F677="I"),-1,1),"")</f>
        <v/>
      </c>
      <c r="AM677" s="1030">
        <f t="shared" si="41"/>
        <v>185629.07</v>
      </c>
      <c r="AN677" s="1030">
        <f>INDEX(G677:R677,1,MATCH(Parametres!$B$3,G$1:R$1,0))*IF(OR(F677="L",F677="S",F677="I"),-1,1)</f>
        <v>185629.07</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42"/>
        <v>H41300</v>
      </c>
      <c r="AU677" s="599" t="str">
        <f t="shared" si="42"/>
        <v>CT VEH NF TUCSON</v>
      </c>
      <c r="AV677" s="1030" t="str">
        <f>IFERROR(INDEX(V677:AG677,1,MATCH(Parametres!$B$3,V$1:AG$1,0)-1)*IF(OR(C677="L",C677="S",C677="I"),-1,1),"")</f>
        <v/>
      </c>
      <c r="AW677" s="1030">
        <f t="shared" si="43"/>
        <v>0</v>
      </c>
      <c r="AX677" s="1030">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44"/>
        <v>H41301</v>
      </c>
      <c r="AK678" s="1030" t="str">
        <f t="shared" si="44"/>
        <v>CT TUCSON HYBRID</v>
      </c>
      <c r="AL678" s="1030" t="str">
        <f>IFERROR(INDEX(G678:R678,1,MATCH(Parametres!$B$3,G$1:R$1,0)-1)*IF(OR(F678="L",F678="S",F678="I"),-1,1),"")</f>
        <v/>
      </c>
      <c r="AM678" s="1030">
        <f t="shared" si="41"/>
        <v>363990.21</v>
      </c>
      <c r="AN678" s="1030">
        <f>INDEX(G678:R678,1,MATCH(Parametres!$B$3,G$1:R$1,0))*IF(OR(F678="L",F678="S",F678="I"),-1,1)</f>
        <v>363990.21</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42"/>
        <v>H41301</v>
      </c>
      <c r="AU678" s="599" t="str">
        <f t="shared" si="42"/>
        <v>CT TUCSON HYBRID</v>
      </c>
      <c r="AV678" s="1030" t="str">
        <f>IFERROR(INDEX(V678:AG678,1,MATCH(Parametres!$B$3,V$1:AG$1,0)-1)*IF(OR(C678="L",C678="S",C678="I"),-1,1),"")</f>
        <v/>
      </c>
      <c r="AW678" s="1030">
        <f t="shared" si="43"/>
        <v>0</v>
      </c>
      <c r="AX678" s="1030">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44"/>
        <v>H41302</v>
      </c>
      <c r="AK679" s="1030" t="str">
        <f t="shared" si="44"/>
        <v>CT TUCSON PHEV</v>
      </c>
      <c r="AL679" s="1030" t="str">
        <f>IFERROR(INDEX(G679:R679,1,MATCH(Parametres!$B$3,G$1:R$1,0)-1)*IF(OR(F679="L",F679="S",F679="I"),-1,1),"")</f>
        <v/>
      </c>
      <c r="AM679" s="1030">
        <f t="shared" si="41"/>
        <v>158097.73000000001</v>
      </c>
      <c r="AN679" s="1030">
        <f>INDEX(G679:R679,1,MATCH(Parametres!$B$3,G$1:R$1,0))*IF(OR(F679="L",F679="S",F679="I"),-1,1)</f>
        <v>158097.73000000001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42"/>
        <v>H41302</v>
      </c>
      <c r="AU679" s="599" t="str">
        <f t="shared" si="42"/>
        <v>CT TUCSON PHEV</v>
      </c>
      <c r="AV679" s="1030" t="str">
        <f>IFERROR(INDEX(V679:AG679,1,MATCH(Parametres!$B$3,V$1:AG$1,0)-1)*IF(OR(C679="L",C679="S",C679="I"),-1,1),"")</f>
        <v/>
      </c>
      <c r="AW679" s="1030">
        <f t="shared" si="43"/>
        <v>0</v>
      </c>
      <c r="AX679" s="1030">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44"/>
        <v>H41400</v>
      </c>
      <c r="AK680" s="1030" t="str">
        <f t="shared" si="44"/>
        <v>CT ACC. INST. CONC.</v>
      </c>
      <c r="AL680" s="1030" t="str">
        <f>IFERROR(INDEX(G680:R680,1,MATCH(Parametres!$B$3,G$1:R$1,0)-1)*IF(OR(F680="L",F680="S",F680="I"),-1,1),"")</f>
        <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42"/>
        <v>H41400</v>
      </c>
      <c r="AU680" s="599" t="str">
        <f t="shared" si="42"/>
        <v>CT ACC. INST. CONC.</v>
      </c>
      <c r="AV680" s="1030" t="str">
        <f>IFERROR(INDEX(V680:AG680,1,MATCH(Parametres!$B$3,V$1:AG$1,0)-1)*IF(OR(C680="L",C680="S",C680="I"),-1,1),"")</f>
        <v/>
      </c>
      <c r="AW680" s="1030">
        <f t="shared" si="43"/>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44"/>
        <v>H41500</v>
      </c>
      <c r="AK681" s="1030" t="str">
        <f t="shared" si="44"/>
        <v>CT P.P.H.</v>
      </c>
      <c r="AL681" s="1030" t="str">
        <f>IFERROR(INDEX(G681:R681,1,MATCH(Parametres!$B$3,G$1:R$1,0)-1)*IF(OR(F681="L",F681="S",F681="I"),-1,1),"")</f>
        <v/>
      </c>
      <c r="AM681" s="1030">
        <f t="shared" si="41"/>
        <v>58578</v>
      </c>
      <c r="AN681" s="1030">
        <f>INDEX(G681:R681,1,MATCH(Parametres!$B$3,G$1:R$1,0))*IF(OR(F681="L",F681="S",F681="I"),-1,1)</f>
        <v>58578</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42"/>
        <v>H41500</v>
      </c>
      <c r="AU681" s="599" t="str">
        <f t="shared" si="42"/>
        <v>CT P.P.H.</v>
      </c>
      <c r="AV681" s="1030" t="str">
        <f>IFERROR(INDEX(V681:AG681,1,MATCH(Parametres!$B$3,V$1:AG$1,0)-1)*IF(OR(C681="L",C681="S",C681="I"),-1,1),"")</f>
        <v/>
      </c>
      <c r="AW681" s="1030">
        <f t="shared" si="43"/>
        <v>0</v>
      </c>
      <c r="AX681" s="1030">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44"/>
        <v>H41600</v>
      </c>
      <c r="AK682" s="1030" t="str">
        <f t="shared" si="44"/>
        <v>CT VEH NF REV ASSURANCE</v>
      </c>
      <c r="AL682" s="1030" t="str">
        <f>IFERROR(INDEX(G682:R682,1,MATCH(Parametres!$B$3,G$1:R$1,0)-1)*IF(OR(F682="L",F682="S",F682="I"),-1,1),"")</f>
        <v/>
      </c>
      <c r="AM682" s="1030">
        <f t="shared" si="41"/>
        <v>0</v>
      </c>
      <c r="AN682" s="1030">
        <f>INDEX(G682:R682,1,MATCH(Parametres!$B$3,G$1:R$1,0))*IF(OR(F682="L",F682="S",F682="I"),-1,1)</f>
        <v>0</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42"/>
        <v>H41600</v>
      </c>
      <c r="AU682" s="599" t="str">
        <f t="shared" si="42"/>
        <v>CT VEH NF REV ASSURANCE</v>
      </c>
      <c r="AV682" s="1030" t="str">
        <f>IFERROR(INDEX(V682:AG682,1,MATCH(Parametres!$B$3,V$1:AG$1,0)-1)*IF(OR(C682="L",C682="S",C682="I"),-1,1),"")</f>
        <v/>
      </c>
      <c r="AW682" s="1030">
        <f t="shared" si="43"/>
        <v>0</v>
      </c>
      <c r="AX682" s="1030">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44"/>
        <v>H41610</v>
      </c>
      <c r="AK683" s="1030" t="str">
        <f t="shared" si="44"/>
        <v>CT ASSURANCE ROUTIERE</v>
      </c>
      <c r="AL683" s="1030" t="str">
        <f>IFERROR(INDEX(G683:R683,1,MATCH(Parametres!$B$3,G$1:R$1,0)-1)*IF(OR(F683="L",F683="S",F683="I"),-1,1),"")</f>
        <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42"/>
        <v>H41610</v>
      </c>
      <c r="AU683" s="599" t="str">
        <f t="shared" si="42"/>
        <v>CT ASSURANCE ROUTIERE</v>
      </c>
      <c r="AV683" s="1030" t="str">
        <f>IFERROR(INDEX(V683:AG683,1,MATCH(Parametres!$B$3,V$1:AG$1,0)-1)*IF(OR(C683="L",C683="S",C683="I"),-1,1),"")</f>
        <v/>
      </c>
      <c r="AW683" s="1030">
        <f t="shared" si="43"/>
        <v>0</v>
      </c>
      <c r="AX683" s="1030">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44"/>
        <v>H41640</v>
      </c>
      <c r="AK684" s="1030" t="str">
        <f t="shared" si="44"/>
        <v>CT ASSURANCE ROUTIERE</v>
      </c>
      <c r="AL684" s="1030" t="str">
        <f>IFERROR(INDEX(G684:R684,1,MATCH(Parametres!$B$3,G$1:R$1,0)-1)*IF(OR(F684="L",F684="S",F684="I"),-1,1),"")</f>
        <v/>
      </c>
      <c r="AM684" s="1030">
        <f t="shared" si="41"/>
        <v>2800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42"/>
        <v>H41640</v>
      </c>
      <c r="AU684" s="599" t="str">
        <f t="shared" si="42"/>
        <v>CT ASSURANCE ROUTIERE</v>
      </c>
      <c r="AV684" s="1030" t="str">
        <f>IFERROR(INDEX(V684:AG684,1,MATCH(Parametres!$B$3,V$1:AG$1,0)-1)*IF(OR(C684="L",C684="S",C684="I"),-1,1),"")</f>
        <v/>
      </c>
      <c r="AW684" s="1030">
        <f t="shared" si="43"/>
        <v>0</v>
      </c>
      <c r="AX684" s="1030">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44"/>
        <v>H41700</v>
      </c>
      <c r="AK685" s="1030" t="str">
        <f t="shared" si="44"/>
        <v>CT VEH NF REV FINANCE</v>
      </c>
      <c r="AL685" s="1030" t="str">
        <f>IFERROR(INDEX(G685:R685,1,MATCH(Parametres!$B$3,G$1:R$1,0)-1)*IF(OR(F685="L",F685="S",F685="I"),-1,1),"")</f>
        <v/>
      </c>
      <c r="AM685" s="1030">
        <f t="shared" si="41"/>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42"/>
        <v>H41700</v>
      </c>
      <c r="AU685" s="599" t="str">
        <f t="shared" si="42"/>
        <v>CT VEH NF REV FINANCE</v>
      </c>
      <c r="AV685" s="1030" t="str">
        <f>IFERROR(INDEX(V685:AG685,1,MATCH(Parametres!$B$3,V$1:AG$1,0)-1)*IF(OR(C685="L",C685="S",C685="I"),-1,1),"")</f>
        <v/>
      </c>
      <c r="AW685" s="1030">
        <f t="shared" si="43"/>
        <v>0</v>
      </c>
      <c r="AX685" s="1030">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44"/>
        <v>H41800</v>
      </c>
      <c r="AK686" s="1030" t="str">
        <f t="shared" si="44"/>
        <v>CT CHIMIQUES</v>
      </c>
      <c r="AL686" s="1030" t="str">
        <f>IFERROR(INDEX(G686:R686,1,MATCH(Parametres!$B$3,G$1:R$1,0)-1)*IF(OR(F686="L",F686="S",F686="I"),-1,1),"")</f>
        <v/>
      </c>
      <c r="AM686" s="1030">
        <f t="shared" si="41"/>
        <v>37865.839999999997</v>
      </c>
      <c r="AN686" s="1030">
        <f>INDEX(G686:R686,1,MATCH(Parametres!$B$3,G$1:R$1,0))*IF(OR(F686="L",F686="S",F686="I"),-1,1)</f>
        <v>37865.839999999997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42"/>
        <v>H41800</v>
      </c>
      <c r="AU686" s="599" t="str">
        <f t="shared" si="42"/>
        <v>CT CHIMIQUES</v>
      </c>
      <c r="AV686" s="1030" t="str">
        <f>IFERROR(INDEX(V686:AG686,1,MATCH(Parametres!$B$3,V$1:AG$1,0)-1)*IF(OR(C686="L",C686="S",C686="I"),-1,1),"")</f>
        <v/>
      </c>
      <c r="AW686" s="1030">
        <f t="shared" si="43"/>
        <v>0</v>
      </c>
      <c r="AX686" s="1030">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44"/>
        <v>H41810</v>
      </c>
      <c r="AK687" s="1030" t="str">
        <f t="shared" si="44"/>
        <v>CT NF ENREGISTREMENT &amp;ADM</v>
      </c>
      <c r="AL687" s="1030" t="str">
        <f>IFERROR(INDEX(G687:R687,1,MATCH(Parametres!$B$3,G$1:R$1,0)-1)*IF(OR(F687="L",F687="S",F687="I"),-1,1),"")</f>
        <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42"/>
        <v>H41810</v>
      </c>
      <c r="AU687" s="599" t="str">
        <f t="shared" si="42"/>
        <v>CT NF ENREGISTREMENT &amp;ADM</v>
      </c>
      <c r="AV687" s="1030" t="str">
        <f>IFERROR(INDEX(V687:AG687,1,MATCH(Parametres!$B$3,V$1:AG$1,0)-1)*IF(OR(C687="L",C687="S",C687="I"),-1,1),"")</f>
        <v/>
      </c>
      <c r="AW687" s="1030">
        <f t="shared" si="43"/>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44"/>
        <v>H41811</v>
      </c>
      <c r="AK688" s="1030" t="str">
        <f t="shared" si="44"/>
        <v>CT NF ASS. USURE</v>
      </c>
      <c r="AL688" s="1030" t="str">
        <f>IFERROR(INDEX(G688:R688,1,MATCH(Parametres!$B$3,G$1:R$1,0)-1)*IF(OR(F688="L",F688="S",F688="I"),-1,1),"")</f>
        <v/>
      </c>
      <c r="AM688" s="1030">
        <f t="shared" si="41"/>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42"/>
        <v>H41811</v>
      </c>
      <c r="AU688" s="599" t="str">
        <f t="shared" si="42"/>
        <v>CT NF ASS. USURE</v>
      </c>
      <c r="AV688" s="1030" t="str">
        <f>IFERROR(INDEX(V688:AG688,1,MATCH(Parametres!$B$3,V$1:AG$1,0)-1)*IF(OR(C688="L",C688="S",C688="I"),-1,1),"")</f>
        <v/>
      </c>
      <c r="AW688" s="1030">
        <f t="shared" si="43"/>
        <v>0</v>
      </c>
      <c r="AX688" s="1030">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44"/>
        <v>H41900</v>
      </c>
      <c r="AK689" s="1030" t="str">
        <f t="shared" si="44"/>
        <v>CT VTE PARCS NEUFS</v>
      </c>
      <c r="AL689" s="1030" t="str">
        <f>IFERROR(INDEX(G689:R689,1,MATCH(Parametres!$B$3,G$1:R$1,0)-1)*IF(OR(F689="L",F689="S",F689="I"),-1,1),"")</f>
        <v/>
      </c>
      <c r="AM689" s="1030">
        <f t="shared" si="41"/>
        <v>0</v>
      </c>
      <c r="AN689" s="1030">
        <f>INDEX(G689:R689,1,MATCH(Parametres!$B$3,G$1:R$1,0))*IF(OR(F689="L",F689="S",F689="I"),-1,1)</f>
        <v>0</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42"/>
        <v>H41900</v>
      </c>
      <c r="AU689" s="599" t="str">
        <f t="shared" si="42"/>
        <v>CT VTE PARCS NEUFS</v>
      </c>
      <c r="AV689" s="1030" t="str">
        <f>IFERROR(INDEX(V689:AG689,1,MATCH(Parametres!$B$3,V$1:AG$1,0)-1)*IF(OR(C689="L",C689="S",C689="I"),-1,1),"")</f>
        <v/>
      </c>
      <c r="AW689" s="1030">
        <f t="shared" si="43"/>
        <v>0</v>
      </c>
      <c r="AX689" s="1030">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44"/>
        <v>H41910</v>
      </c>
      <c r="AK690" s="1030" t="str">
        <f t="shared" si="44"/>
        <v>CT PARC CAMION NEUF</v>
      </c>
      <c r="AL690" s="1030" t="str">
        <f>IFERROR(INDEX(G690:R690,1,MATCH(Parametres!$B$3,G$1:R$1,0)-1)*IF(OR(F690="L",F690="S",F690="I"),-1,1),"")</f>
        <v/>
      </c>
      <c r="AM690" s="1030">
        <f t="shared" si="41"/>
        <v>0</v>
      </c>
      <c r="AN690" s="1030">
        <f>INDEX(G690:R690,1,MATCH(Parametres!$B$3,G$1:R$1,0))*IF(OR(F690="L",F690="S",F690="I"),-1,1)</f>
        <v>0</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42"/>
        <v>H41910</v>
      </c>
      <c r="AU690" s="599" t="str">
        <f t="shared" si="42"/>
        <v>CT PARC CAMION NEUF</v>
      </c>
      <c r="AV690" s="1030" t="str">
        <f>IFERROR(INDEX(V690:AG690,1,MATCH(Parametres!$B$3,V$1:AG$1,0)-1)*IF(OR(C690="L",C690="S",C690="I"),-1,1),"")</f>
        <v/>
      </c>
      <c r="AW690" s="1030">
        <f t="shared" si="43"/>
        <v>0</v>
      </c>
      <c r="AX690" s="1030">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44"/>
        <v>H42000</v>
      </c>
      <c r="AK691" s="1030" t="str">
        <f t="shared" si="44"/>
        <v>CT DIVERS(AUTOS)</v>
      </c>
      <c r="AL691" s="1030" t="str">
        <f>IFERROR(INDEX(G691:R691,1,MATCH(Parametres!$B$3,G$1:R$1,0)-1)*IF(OR(F691="L",F691="S",F691="I"),-1,1),"")</f>
        <v/>
      </c>
      <c r="AM691" s="1030">
        <f t="shared" si="41"/>
        <v>185283.88</v>
      </c>
      <c r="AN691" s="1030">
        <f>INDEX(G691:R691,1,MATCH(Parametres!$B$3,G$1:R$1,0))*IF(OR(F691="L",F691="S",F691="I"),-1,1)</f>
        <v>185283.88</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42"/>
        <v>H42000</v>
      </c>
      <c r="AU691" s="599" t="str">
        <f t="shared" si="42"/>
        <v>CT DIVERS(AUTOS)</v>
      </c>
      <c r="AV691" s="1030" t="str">
        <f>IFERROR(INDEX(V691:AG691,1,MATCH(Parametres!$B$3,V$1:AG$1,0)-1)*IF(OR(C691="L",C691="S",C691="I"),-1,1),"")</f>
        <v/>
      </c>
      <c r="AW691" s="1030">
        <f t="shared" si="43"/>
        <v>0</v>
      </c>
      <c r="AX691" s="1030">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44"/>
        <v>H42100</v>
      </c>
      <c r="AK692" s="1030" t="str">
        <f t="shared" si="44"/>
        <v>CT PALISADE</v>
      </c>
      <c r="AL692" s="1030" t="str">
        <f>IFERROR(INDEX(G692:R692,1,MATCH(Parametres!$B$3,G$1:R$1,0)-1)*IF(OR(F692="L",F692="S",F692="I"),-1,1),"")</f>
        <v/>
      </c>
      <c r="AM692" s="1030">
        <f t="shared" si="41"/>
        <v>0</v>
      </c>
      <c r="AN692" s="1030">
        <f>INDEX(G692:R692,1,MATCH(Parametres!$B$3,G$1:R$1,0))*IF(OR(F692="L",F692="S",F692="I"),-1,1)</f>
        <v>0</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42"/>
        <v>H42100</v>
      </c>
      <c r="AU692" s="599" t="str">
        <f t="shared" si="42"/>
        <v>CT PALISADE</v>
      </c>
      <c r="AV692" s="1030" t="str">
        <f>IFERROR(INDEX(V692:AG692,1,MATCH(Parametres!$B$3,V$1:AG$1,0)-1)*IF(OR(C692="L",C692="S",C692="I"),-1,1),"")</f>
        <v/>
      </c>
      <c r="AW692" s="1030">
        <f t="shared" si="43"/>
        <v>0</v>
      </c>
      <c r="AX692" s="1030">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44"/>
        <v>H42200</v>
      </c>
      <c r="AK693" s="1030" t="str">
        <f t="shared" si="44"/>
        <v>CT VENUE</v>
      </c>
      <c r="AL693" s="1030" t="str">
        <f>IFERROR(INDEX(G693:R693,1,MATCH(Parametres!$B$3,G$1:R$1,0)-1)*IF(OR(F693="L",F693="S",F693="I"),-1,1),"")</f>
        <v/>
      </c>
      <c r="AM693" s="1030">
        <f t="shared" si="41"/>
        <v>220282.48</v>
      </c>
      <c r="AN693" s="1030">
        <f>INDEX(G693:R693,1,MATCH(Parametres!$B$3,G$1:R$1,0))*IF(OR(F693="L",F693="S",F693="I"),-1,1)</f>
        <v>220282.48</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42"/>
        <v>H42200</v>
      </c>
      <c r="AU693" s="599" t="str">
        <f t="shared" si="42"/>
        <v>CT VENUE</v>
      </c>
      <c r="AV693" s="1030" t="str">
        <f>IFERROR(INDEX(V693:AG693,1,MATCH(Parametres!$B$3,V$1:AG$1,0)-1)*IF(OR(C693="L",C693="S",C693="I"),-1,1),"")</f>
        <v/>
      </c>
      <c r="AW693" s="1030">
        <f t="shared" si="43"/>
        <v>0</v>
      </c>
      <c r="AX693" s="1030">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44"/>
        <v>H42300</v>
      </c>
      <c r="AK694" s="1030" t="str">
        <f t="shared" si="44"/>
        <v>CT USAGE CERTIFIE HD</v>
      </c>
      <c r="AL694" s="1030" t="str">
        <f>IFERROR(INDEX(G694:R694,1,MATCH(Parametres!$B$3,G$1:R$1,0)-1)*IF(OR(F694="L",F694="S",F694="I"),-1,1),"")</f>
        <v/>
      </c>
      <c r="AM694" s="1030">
        <f t="shared" si="41"/>
        <v>88785.81</v>
      </c>
      <c r="AN694" s="1030">
        <f>INDEX(G694:R694,1,MATCH(Parametres!$B$3,G$1:R$1,0))*IF(OR(F694="L",F694="S",F694="I"),-1,1)</f>
        <v>88785.81</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42"/>
        <v>H42300</v>
      </c>
      <c r="AU694" s="599" t="str">
        <f t="shared" si="42"/>
        <v>CT USAGE CERTIFIE HD</v>
      </c>
      <c r="AV694" s="1030" t="str">
        <f>IFERROR(INDEX(V694:AG694,1,MATCH(Parametres!$B$3,V$1:AG$1,0)-1)*IF(OR(C694="L",C694="S",C694="I"),-1,1),"")</f>
        <v/>
      </c>
      <c r="AW694" s="1030">
        <f t="shared" si="43"/>
        <v>0</v>
      </c>
      <c r="AX694" s="1030">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44"/>
        <v>H42400</v>
      </c>
      <c r="AK695" s="1030" t="str">
        <f t="shared" si="44"/>
        <v>CT USA REC CERTIF HYUNDAI</v>
      </c>
      <c r="AL695" s="1030" t="str">
        <f>IFERROR(INDEX(G695:R695,1,MATCH(Parametres!$B$3,G$1:R$1,0)-1)*IF(OR(F695="L",F695="S",F695="I"),-1,1),"")</f>
        <v/>
      </c>
      <c r="AM695" s="1030">
        <f t="shared" si="41"/>
        <v>1</v>
      </c>
      <c r="AN695" s="1030">
        <f>INDEX(G695:R695,1,MATCH(Parametres!$B$3,G$1:R$1,0))*IF(OR(F695="L",F695="S",F695="I"),-1,1)</f>
        <v>1</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42"/>
        <v>H42400</v>
      </c>
      <c r="AU695" s="599" t="str">
        <f t="shared" si="42"/>
        <v>CT USA REC CERTIF HYUNDAI</v>
      </c>
      <c r="AV695" s="1030" t="str">
        <f>IFERROR(INDEX(V695:AG695,1,MATCH(Parametres!$B$3,V$1:AG$1,0)-1)*IF(OR(C695="L",C695="S",C695="I"),-1,1),"")</f>
        <v/>
      </c>
      <c r="AW695" s="1030">
        <f t="shared" si="43"/>
        <v>0</v>
      </c>
      <c r="AX695" s="1030">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44"/>
        <v>H42500</v>
      </c>
      <c r="AK696" s="1030" t="str">
        <f t="shared" si="44"/>
        <v>CT VEHICULES OCC HYUNDAI</v>
      </c>
      <c r="AL696" s="1030" t="str">
        <f>IFERROR(INDEX(G696:R696,1,MATCH(Parametres!$B$3,G$1:R$1,0)-1)*IF(OR(F696="L",F696="S",F696="I"),-1,1),"")</f>
        <v/>
      </c>
      <c r="AM696" s="1030">
        <f t="shared" si="41"/>
        <v>18449.560000000001</v>
      </c>
      <c r="AN696" s="1030">
        <f>INDEX(G696:R696,1,MATCH(Parametres!$B$3,G$1:R$1,0))*IF(OR(F696="L",F696="S",F696="I"),-1,1)</f>
        <v>18449.560000000001</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42"/>
        <v>H42500</v>
      </c>
      <c r="AU696" s="599" t="str">
        <f t="shared" si="42"/>
        <v>CT VEHICULES OCC HYUNDAI</v>
      </c>
      <c r="AV696" s="1030" t="str">
        <f>IFERROR(INDEX(V696:AG696,1,MATCH(Parametres!$B$3,V$1:AG$1,0)-1)*IF(OR(C696="L",C696="S",C696="I"),-1,1),"")</f>
        <v/>
      </c>
      <c r="AW696" s="1030">
        <f t="shared" si="43"/>
        <v>0</v>
      </c>
      <c r="AX696" s="1030">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44"/>
        <v>H42600</v>
      </c>
      <c r="AK697" s="1030" t="str">
        <f t="shared" si="44"/>
        <v>REMISE EN ETAT VEH OCCASS</v>
      </c>
      <c r="AL697" s="1030" t="str">
        <f>IFERROR(INDEX(G697:R697,1,MATCH(Parametres!$B$3,G$1:R$1,0)-1)*IF(OR(F697="L",F697="S",F697="I"),-1,1),"")</f>
        <v/>
      </c>
      <c r="AM697" s="1030">
        <f t="shared" si="41"/>
        <v>1</v>
      </c>
      <c r="AN697" s="1030">
        <f>INDEX(G697:R697,1,MATCH(Parametres!$B$3,G$1:R$1,0))*IF(OR(F697="L",F697="S",F697="I"),-1,1)</f>
        <v>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42"/>
        <v>H42600</v>
      </c>
      <c r="AU697" s="599" t="str">
        <f t="shared" si="42"/>
        <v>REMISE EN ETAT VEH OCCASS</v>
      </c>
      <c r="AV697" s="1030" t="str">
        <f>IFERROR(INDEX(V697:AG697,1,MATCH(Parametres!$B$3,V$1:AG$1,0)-1)*IF(OR(C697="L",C697="S",C697="I"),-1,1),"")</f>
        <v/>
      </c>
      <c r="AW697" s="1030">
        <f t="shared" si="43"/>
        <v>0</v>
      </c>
      <c r="AX697" s="1030">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44"/>
        <v>H42700</v>
      </c>
      <c r="AK698" s="1030" t="str">
        <f t="shared" si="44"/>
        <v>CT OCC VEH AUTRE DÉTAIL</v>
      </c>
      <c r="AL698" s="1030" t="str">
        <f>IFERROR(INDEX(G698:R698,1,MATCH(Parametres!$B$3,G$1:R$1,0)-1)*IF(OR(F698="L",F698="S",F698="I"),-1,1),"")</f>
        <v/>
      </c>
      <c r="AM698" s="1030">
        <f t="shared" si="41"/>
        <v>-1</v>
      </c>
      <c r="AN698" s="1030">
        <f>INDEX(G698:R698,1,MATCH(Parametres!$B$3,G$1:R$1,0))*IF(OR(F698="L",F698="S",F698="I"),-1,1)</f>
        <v>-1</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42"/>
        <v>H42700</v>
      </c>
      <c r="AU698" s="599" t="str">
        <f t="shared" si="42"/>
        <v>CT OCC VEH AUTRE DÉTAIL</v>
      </c>
      <c r="AV698" s="1030" t="str">
        <f>IFERROR(INDEX(V698:AG698,1,MATCH(Parametres!$B$3,V$1:AG$1,0)-1)*IF(OR(C698="L",C698="S",C698="I"),-1,1),"")</f>
        <v/>
      </c>
      <c r="AW698" s="1030">
        <f t="shared" si="43"/>
        <v>0</v>
      </c>
      <c r="AX698" s="1030">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44"/>
        <v>H42800</v>
      </c>
      <c r="AK699" s="1030" t="str">
        <f t="shared" si="44"/>
        <v>REMISE ETAT VEH OCC AUTRE</v>
      </c>
      <c r="AL699" s="1030" t="str">
        <f>IFERROR(INDEX(G699:R699,1,MATCH(Parametres!$B$3,G$1:R$1,0)-1)*IF(OR(F699="L",F699="S",F699="I"),-1,1),"")</f>
        <v/>
      </c>
      <c r="AM699" s="1030">
        <f t="shared" si="41"/>
        <v>1</v>
      </c>
      <c r="AN699" s="1030">
        <f>INDEX(G699:R699,1,MATCH(Parametres!$B$3,G$1:R$1,0))*IF(OR(F699="L",F699="S",F699="I"),-1,1)</f>
        <v>1</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42"/>
        <v>H42800</v>
      </c>
      <c r="AU699" s="599" t="str">
        <f t="shared" si="42"/>
        <v>REMISE ETAT VEH OCC AUTRE</v>
      </c>
      <c r="AV699" s="1030" t="str">
        <f>IFERROR(INDEX(V699:AG699,1,MATCH(Parametres!$B$3,V$1:AG$1,0)-1)*IF(OR(C699="L",C699="S",C699="I"),-1,1),"")</f>
        <v/>
      </c>
      <c r="AW699" s="1030">
        <f t="shared" si="43"/>
        <v>0</v>
      </c>
      <c r="AX699" s="1030">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44"/>
        <v>H42900</v>
      </c>
      <c r="AK700" s="1030" t="str">
        <f t="shared" si="44"/>
        <v>CT ACCOMODATION</v>
      </c>
      <c r="AL700" s="1030" t="str">
        <f>IFERROR(INDEX(G700:R700,1,MATCH(Parametres!$B$3,G$1:R$1,0)-1)*IF(OR(F700="L",F700="S",F700="I"),-1,1),"")</f>
        <v/>
      </c>
      <c r="AM700" s="1030">
        <f t="shared" si="41"/>
        <v>89200</v>
      </c>
      <c r="AN700" s="1030">
        <f>INDEX(G700:R700,1,MATCH(Parametres!$B$3,G$1:R$1,0))*IF(OR(F700="L",F700="S",F700="I"),-1,1)</f>
        <v>89200</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42"/>
        <v>H42900</v>
      </c>
      <c r="AU700" s="599" t="str">
        <f t="shared" si="42"/>
        <v>CT ACCOMODATION</v>
      </c>
      <c r="AV700" s="1030" t="str">
        <f>IFERROR(INDEX(V700:AG700,1,MATCH(Parametres!$B$3,V$1:AG$1,0)-1)*IF(OR(C700="L",C700="S",C700="I"),-1,1),"")</f>
        <v/>
      </c>
      <c r="AW700" s="1030">
        <f t="shared" si="43"/>
        <v>0</v>
      </c>
      <c r="AX700" s="1030">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44"/>
        <v>H42999</v>
      </c>
      <c r="AK701" s="1030" t="str">
        <f t="shared" si="44"/>
        <v>CT ECHANGE CONCESSIONNAIR</v>
      </c>
      <c r="AL701" s="1030" t="str">
        <f>IFERROR(INDEX(G701:R701,1,MATCH(Parametres!$B$3,G$1:R$1,0)-1)*IF(OR(F701="L",F701="S",F701="I"),-1,1),"")</f>
        <v/>
      </c>
      <c r="AM701" s="1030">
        <f t="shared" si="41"/>
        <v>104660.03</v>
      </c>
      <c r="AN701" s="1030">
        <f>INDEX(G701:R701,1,MATCH(Parametres!$B$3,G$1:R$1,0))*IF(OR(F701="L",F701="S",F701="I"),-1,1)</f>
        <v>104660.03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42"/>
        <v>H42999</v>
      </c>
      <c r="AU701" s="599" t="str">
        <f t="shared" si="42"/>
        <v>CT ECHANGE CONCESSIONNAIR</v>
      </c>
      <c r="AV701" s="1030" t="str">
        <f>IFERROR(INDEX(V701:AG701,1,MATCH(Parametres!$B$3,V$1:AG$1,0)-1)*IF(OR(C701="L",C701="S",C701="I"),-1,1),"")</f>
        <v/>
      </c>
      <c r="AW701" s="1030">
        <f t="shared" si="43"/>
        <v>0</v>
      </c>
      <c r="AX701" s="1030">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44"/>
        <v>H43000</v>
      </c>
      <c r="AK702" s="1030" t="str">
        <f t="shared" si="44"/>
        <v>CT ELANTRA</v>
      </c>
      <c r="AL702" s="1030" t="str">
        <f>IFERROR(INDEX(G702:R702,1,MATCH(Parametres!$B$3,G$1:R$1,0)-1)*IF(OR(F702="L",F702="S",F702="I"),-1,1),"")</f>
        <v/>
      </c>
      <c r="AM702" s="1030">
        <f t="shared" si="41"/>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42"/>
        <v>H43000</v>
      </c>
      <c r="AU702" s="599" t="str">
        <f t="shared" si="42"/>
        <v>CT ELANTRA</v>
      </c>
      <c r="AV702" s="1030" t="str">
        <f>IFERROR(INDEX(V702:AG702,1,MATCH(Parametres!$B$3,V$1:AG$1,0)-1)*IF(OR(C702="L",C702="S",C702="I"),-1,1),"")</f>
        <v/>
      </c>
      <c r="AW702" s="1030">
        <f t="shared" si="43"/>
        <v>0</v>
      </c>
      <c r="AX702" s="1030">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44"/>
        <v>H43200</v>
      </c>
      <c r="AK703" s="1030" t="str">
        <f t="shared" si="44"/>
        <v>CT VEHICULES D OC- GROS</v>
      </c>
      <c r="AL703" s="1030" t="str">
        <f>IFERROR(INDEX(G703:R703,1,MATCH(Parametres!$B$3,G$1:R$1,0)-1)*IF(OR(F703="L",F703="S",F703="I"),-1,1),"")</f>
        <v/>
      </c>
      <c r="AM703" s="1030">
        <f t="shared" si="41"/>
        <v>470967.16</v>
      </c>
      <c r="AN703" s="1030">
        <f>INDEX(G703:R703,1,MATCH(Parametres!$B$3,G$1:R$1,0))*IF(OR(F703="L",F703="S",F703="I"),-1,1)</f>
        <v>470967.16</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42"/>
        <v>H43200</v>
      </c>
      <c r="AU703" s="599" t="str">
        <f t="shared" si="42"/>
        <v>CT VEHICULES D OC- GROS</v>
      </c>
      <c r="AV703" s="1030" t="str">
        <f>IFERROR(INDEX(V703:AG703,1,MATCH(Parametres!$B$3,V$1:AG$1,0)-1)*IF(OR(C703="L",C703="S",C703="I"),-1,1),"")</f>
        <v/>
      </c>
      <c r="AW703" s="1030">
        <f t="shared" si="43"/>
        <v>0</v>
      </c>
      <c r="AX703" s="1030">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44"/>
        <v>H43201</v>
      </c>
      <c r="AK704" s="1030" t="str">
        <f t="shared" si="44"/>
        <v>CT EBLOCK - EN GROS</v>
      </c>
      <c r="AL704" s="1030" t="str">
        <f>IFERROR(INDEX(G704:R704,1,MATCH(Parametres!$B$3,G$1:R$1,0)-1)*IF(OR(F704="L",F704="S",F704="I"),-1,1),"")</f>
        <v/>
      </c>
      <c r="AM704" s="1030">
        <f t="shared" si="41"/>
        <v>241266.44</v>
      </c>
      <c r="AN704" s="1030">
        <f>INDEX(G704:R704,1,MATCH(Parametres!$B$3,G$1:R$1,0))*IF(OR(F704="L",F704="S",F704="I"),-1,1)</f>
        <v>241266.44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42"/>
        <v>H43201</v>
      </c>
      <c r="AU704" s="599" t="str">
        <f t="shared" si="42"/>
        <v>CT EBLOCK - EN GROS</v>
      </c>
      <c r="AV704" s="1030" t="str">
        <f>IFERROR(INDEX(V704:AG704,1,MATCH(Parametres!$B$3,V$1:AG$1,0)-1)*IF(OR(C704="L",C704="S",C704="I"),-1,1),"")</f>
        <v/>
      </c>
      <c r="AW704" s="1030">
        <f t="shared" si="43"/>
        <v>0</v>
      </c>
      <c r="AX704" s="1030">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44"/>
        <v>H43202</v>
      </c>
      <c r="AK705" s="1030" t="str">
        <f t="shared" si="44"/>
        <v>CT WHOLESALE PAT</v>
      </c>
      <c r="AL705" s="1030" t="str">
        <f>IFERROR(INDEX(G705:R705,1,MATCH(Parametres!$B$3,G$1:R$1,0)-1)*IF(OR(F705="L",F705="S",F705="I"),-1,1),"")</f>
        <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42"/>
        <v>H43202</v>
      </c>
      <c r="AU705" s="599" t="str">
        <f t="shared" si="42"/>
        <v>CT WHOLESALE PAT</v>
      </c>
      <c r="AV705" s="1030" t="str">
        <f>IFERROR(INDEX(V705:AG705,1,MATCH(Parametres!$B$3,V$1:AG$1,0)-1)*IF(OR(C705="L",C705="S",C705="I"),-1,1),"")</f>
        <v/>
      </c>
      <c r="AW705" s="1030">
        <f t="shared" si="43"/>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44"/>
        <v>H43300</v>
      </c>
      <c r="AK706" s="1030" t="str">
        <f t="shared" si="44"/>
        <v>CT USAGE RACHAT LOCATION</v>
      </c>
      <c r="AL706" s="1030" t="str">
        <f>IFERROR(INDEX(G706:R706,1,MATCH(Parametres!$B$3,G$1:R$1,0)-1)*IF(OR(F706="L",F706="S",F706="I"),-1,1),"")</f>
        <v/>
      </c>
      <c r="AM706" s="1030">
        <f t="shared" si="41"/>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42"/>
        <v>H43300</v>
      </c>
      <c r="AU706" s="599" t="str">
        <f t="shared" si="42"/>
        <v>CT USAGE RACHAT LOCATION</v>
      </c>
      <c r="AV706" s="1030" t="str">
        <f>IFERROR(INDEX(V706:AG706,1,MATCH(Parametres!$B$3,V$1:AG$1,0)-1)*IF(OR(C706="L",C706="S",C706="I"),-1,1),"")</f>
        <v/>
      </c>
      <c r="AW706" s="1030">
        <f t="shared" si="43"/>
        <v>0</v>
      </c>
      <c r="AX706" s="1030">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44"/>
        <v>H43310</v>
      </c>
      <c r="AK707" s="1030" t="str">
        <f t="shared" si="44"/>
        <v>CT PPP USED</v>
      </c>
      <c r="AL707" s="1030" t="str">
        <f>IFERROR(INDEX(G707:R707,1,MATCH(Parametres!$B$3,G$1:R$1,0)-1)*IF(OR(F707="L",F707="S",F707="I"),-1,1),"")</f>
        <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42"/>
        <v>H43310</v>
      </c>
      <c r="AU707" s="599" t="str">
        <f t="shared" si="42"/>
        <v>CT PPP USED</v>
      </c>
      <c r="AV707" s="1030" t="str">
        <f>IFERROR(INDEX(V707:AG707,1,MATCH(Parametres!$B$3,V$1:AG$1,0)-1)*IF(OR(C707="L",C707="S",C707="I"),-1,1),"")</f>
        <v/>
      </c>
      <c r="AW707" s="1030">
        <f t="shared" si="43"/>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44"/>
        <v>H43320</v>
      </c>
      <c r="AK708" s="1030" t="str">
        <f t="shared" si="44"/>
        <v>CT ASSURANCE USAGES</v>
      </c>
      <c r="AL708" s="1030" t="str">
        <f>IFERROR(INDEX(G708:R708,1,MATCH(Parametres!$B$3,G$1:R$1,0)-1)*IF(OR(F708="L",F708="S",F708="I"),-1,1),"")</f>
        <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U771" si="46">C708</f>
        <v>H43320</v>
      </c>
      <c r="AU708" s="599" t="str">
        <f t="shared" si="46"/>
        <v>CT ASSURANCE USAGES</v>
      </c>
      <c r="AV708" s="1030" t="str">
        <f>IFERROR(INDEX(V708:AG708,1,MATCH(Parametres!$B$3,V$1:AG$1,0)-1)*IF(OR(C708="L",C708="S",C708="I"),-1,1),"")</f>
        <v/>
      </c>
      <c r="AW708" s="1030">
        <f t="shared" ref="AW708:AW771" si="47">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44"/>
        <v>H43330</v>
      </c>
      <c r="AK709" s="1030" t="str">
        <f t="shared" si="44"/>
        <v>CT OCC REVENU FINANCE</v>
      </c>
      <c r="AL709" s="1030" t="str">
        <f>IFERROR(INDEX(G709:R709,1,MATCH(Parametres!$B$3,G$1:R$1,0)-1)*IF(OR(F709="L",F709="S",F709="I"),-1,1),"")</f>
        <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46"/>
        <v>H43330</v>
      </c>
      <c r="AU709" s="599" t="str">
        <f t="shared" si="46"/>
        <v>CT OCC REVENU FINANCE</v>
      </c>
      <c r="AV709" s="1030" t="str">
        <f>IFERROR(INDEX(V709:AG709,1,MATCH(Parametres!$B$3,V$1:AG$1,0)-1)*IF(OR(C709="L",C709="S",C709="I"),-1,1),"")</f>
        <v/>
      </c>
      <c r="AW709" s="1030">
        <f t="shared" si="47"/>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44"/>
        <v>H43340</v>
      </c>
      <c r="AK710" s="1030" t="str">
        <f t="shared" si="44"/>
        <v>CT OCC CHIMIQUES</v>
      </c>
      <c r="AL710" s="1030" t="str">
        <f>IFERROR(INDEX(G710:R710,1,MATCH(Parametres!$B$3,G$1:R$1,0)-1)*IF(OR(F710="L",F710="S",F710="I"),-1,1),"")</f>
        <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46"/>
        <v>H43340</v>
      </c>
      <c r="AU710" s="599" t="str">
        <f t="shared" si="46"/>
        <v>CT OCC CHIMIQUES</v>
      </c>
      <c r="AV710" s="1030" t="str">
        <f>IFERROR(INDEX(V710:AG710,1,MATCH(Parametres!$B$3,V$1:AG$1,0)-1)*IF(OR(C710="L",C710="S",C710="I"),-1,1),"")</f>
        <v/>
      </c>
      <c r="AW710" s="1030">
        <f t="shared" si="47"/>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44"/>
        <v>H43350</v>
      </c>
      <c r="AK711" s="1030" t="str">
        <f t="shared" si="44"/>
        <v>CT OCC  ANTIVOL</v>
      </c>
      <c r="AL711" s="1030" t="str">
        <f>IFERROR(INDEX(G711:R711,1,MATCH(Parametres!$B$3,G$1:R$1,0)-1)*IF(OR(F711="L",F711="S",F711="I"),-1,1),"")</f>
        <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46"/>
        <v>H43350</v>
      </c>
      <c r="AU711" s="599" t="str">
        <f t="shared" si="46"/>
        <v>CT OCC  ANTIVOL</v>
      </c>
      <c r="AV711" s="1030" t="str">
        <f>IFERROR(INDEX(V711:AG711,1,MATCH(Parametres!$B$3,V$1:AG$1,0)-1)*IF(OR(C711="L",C711="S",C711="I"),-1,1),"")</f>
        <v/>
      </c>
      <c r="AW711" s="1030">
        <f t="shared" si="47"/>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44"/>
        <v>H43360</v>
      </c>
      <c r="AK712" s="1030" t="str">
        <f t="shared" si="44"/>
        <v>CT OCC AUTRES PRODUIT</v>
      </c>
      <c r="AL712" s="1030" t="str">
        <f>IFERROR(INDEX(G712:R712,1,MATCH(Parametres!$B$3,G$1:R$1,0)-1)*IF(OR(F712="L",F712="S",F712="I"),-1,1),"")</f>
        <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46"/>
        <v>H43360</v>
      </c>
      <c r="AU712" s="599" t="str">
        <f t="shared" si="46"/>
        <v>CT OCC AUTRES PRODUIT</v>
      </c>
      <c r="AV712" s="1030" t="str">
        <f>IFERROR(INDEX(V712:AG712,1,MATCH(Parametres!$B$3,V$1:AG$1,0)-1)*IF(OR(C712="L",C712="S",C712="I"),-1,1),"")</f>
        <v/>
      </c>
      <c r="AW712" s="1030">
        <f t="shared" si="47"/>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44"/>
        <v>H43390</v>
      </c>
      <c r="AK713" s="1030" t="str">
        <f t="shared" si="44"/>
        <v>CT OCC RACHAT CONT LOC</v>
      </c>
      <c r="AL713" s="1030" t="str">
        <f>IFERROR(INDEX(G713:R713,1,MATCH(Parametres!$B$3,G$1:R$1,0)-1)*IF(OR(F713="L",F713="S",F713="I"),-1,1),"")</f>
        <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46"/>
        <v>H43390</v>
      </c>
      <c r="AU713" s="599" t="str">
        <f t="shared" si="46"/>
        <v>CT OCC RACHAT CONT LOC</v>
      </c>
      <c r="AV713" s="1030" t="str">
        <f>IFERROR(INDEX(V713:AG713,1,MATCH(Parametres!$B$3,V$1:AG$1,0)-1)*IF(OR(C713="L",C713="S",C713="I"),-1,1),"")</f>
        <v/>
      </c>
      <c r="AW713" s="1030">
        <f t="shared" si="47"/>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44"/>
        <v>H43400</v>
      </c>
      <c r="AK714" s="1030" t="str">
        <f t="shared" si="44"/>
        <v>CT HPP - MARQUAGE</v>
      </c>
      <c r="AL714" s="1030" t="str">
        <f>IFERROR(INDEX(G714:R714,1,MATCH(Parametres!$B$3,G$1:R$1,0)-1)*IF(OR(F714="L",F714="S",F714="I"),-1,1),"")</f>
        <v/>
      </c>
      <c r="AM714" s="1030">
        <f t="shared" si="45"/>
        <v>11215</v>
      </c>
      <c r="AN714" s="1030">
        <f>INDEX(G714:R714,1,MATCH(Parametres!$B$3,G$1:R$1,0))*IF(OR(F714="L",F714="S",F714="I"),-1,1)</f>
        <v>11215</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46"/>
        <v>H43400</v>
      </c>
      <c r="AU714" s="599" t="str">
        <f t="shared" si="46"/>
        <v>CT HPP - MARQUAGE</v>
      </c>
      <c r="AV714" s="1030" t="str">
        <f>IFERROR(INDEX(V714:AG714,1,MATCH(Parametres!$B$3,V$1:AG$1,0)-1)*IF(OR(C714="L",C714="S",C714="I"),-1,1),"")</f>
        <v/>
      </c>
      <c r="AW714" s="1030">
        <f t="shared" si="47"/>
        <v>0</v>
      </c>
      <c r="AX714" s="1030">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44"/>
        <v>H43410</v>
      </c>
      <c r="AK715" s="1030" t="str">
        <f t="shared" si="44"/>
        <v>CT OCC ASS VIE REMPL</v>
      </c>
      <c r="AL715" s="1030" t="str">
        <f>IFERROR(INDEX(G715:R715,1,MATCH(Parametres!$B$3,G$1:R$1,0)-1)*IF(OR(F715="L",F715="S",F715="I"),-1,1),"")</f>
        <v/>
      </c>
      <c r="AM715" s="1030">
        <f t="shared" si="45"/>
        <v>0</v>
      </c>
      <c r="AN715" s="1030">
        <f>INDEX(G715:R715,1,MATCH(Parametres!$B$3,G$1:R$1,0))*IF(OR(F715="L",F715="S",F715="I"),-1,1)</f>
        <v>0</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46"/>
        <v>H43410</v>
      </c>
      <c r="AU715" s="599" t="str">
        <f t="shared" si="46"/>
        <v>CT OCC ASS VIE REMPL</v>
      </c>
      <c r="AV715" s="1030" t="str">
        <f>IFERROR(INDEX(V715:AG715,1,MATCH(Parametres!$B$3,V$1:AG$1,0)-1)*IF(OR(C715="L",C715="S",C715="I"),-1,1),"")</f>
        <v/>
      </c>
      <c r="AW715" s="1030">
        <f t="shared" si="47"/>
        <v>0</v>
      </c>
      <c r="AX715" s="1030">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44"/>
        <v>H43420</v>
      </c>
      <c r="AK716" s="1030" t="str">
        <f t="shared" si="44"/>
        <v>CT OCC FINANCE</v>
      </c>
      <c r="AL716" s="1030" t="str">
        <f>IFERROR(INDEX(G716:R716,1,MATCH(Parametres!$B$3,G$1:R$1,0)-1)*IF(OR(F716="L",F716="S",F716="I"),-1,1),"")</f>
        <v/>
      </c>
      <c r="AM716" s="1030">
        <f t="shared" si="45"/>
        <v>0</v>
      </c>
      <c r="AN716" s="1030">
        <f>INDEX(G716:R716,1,MATCH(Parametres!$B$3,G$1:R$1,0))*IF(OR(F716="L",F716="S",F716="I"),-1,1)</f>
        <v>0</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46"/>
        <v>H43420</v>
      </c>
      <c r="AU716" s="599" t="str">
        <f t="shared" si="46"/>
        <v>CT OCC FINANCE</v>
      </c>
      <c r="AV716" s="1030" t="str">
        <f>IFERROR(INDEX(V716:AG716,1,MATCH(Parametres!$B$3,V$1:AG$1,0)-1)*IF(OR(C716="L",C716="S",C716="I"),-1,1),"")</f>
        <v/>
      </c>
      <c r="AW716" s="1030">
        <f t="shared" si="47"/>
        <v>0</v>
      </c>
      <c r="AX716" s="1030">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44"/>
        <v>H43430</v>
      </c>
      <c r="AK717" s="1030" t="str">
        <f t="shared" si="44"/>
        <v>CT OCC PRODUITS CHIMIQUE</v>
      </c>
      <c r="AL717" s="1030" t="str">
        <f>IFERROR(INDEX(G717:R717,1,MATCH(Parametres!$B$3,G$1:R$1,0)-1)*IF(OR(F717="L",F717="S",F717="I"),-1,1),"")</f>
        <v/>
      </c>
      <c r="AM717" s="1030">
        <f t="shared" si="45"/>
        <v>0</v>
      </c>
      <c r="AN717" s="1030">
        <f>INDEX(G717:R717,1,MATCH(Parametres!$B$3,G$1:R$1,0))*IF(OR(F717="L",F717="S",F717="I"),-1,1)</f>
        <v>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46"/>
        <v>H43430</v>
      </c>
      <c r="AU717" s="599" t="str">
        <f t="shared" si="46"/>
        <v>CT OCC PRODUITS CHIMIQUE</v>
      </c>
      <c r="AV717" s="1030" t="str">
        <f>IFERROR(INDEX(V717:AG717,1,MATCH(Parametres!$B$3,V$1:AG$1,0)-1)*IF(OR(C717="L",C717="S",C717="I"),-1,1),"")</f>
        <v/>
      </c>
      <c r="AW717" s="1030">
        <f t="shared" si="47"/>
        <v>0</v>
      </c>
      <c r="AX717" s="1030">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44"/>
        <v>H43440</v>
      </c>
      <c r="AK718" s="1030" t="str">
        <f t="shared" si="44"/>
        <v>CT ASSURANCE ROUTIERE</v>
      </c>
      <c r="AL718" s="1030" t="str">
        <f>IFERROR(INDEX(G718:R718,1,MATCH(Parametres!$B$3,G$1:R$1,0)-1)*IF(OR(F718="L",F718="S",F718="I"),-1,1),"")</f>
        <v/>
      </c>
      <c r="AM718" s="1030">
        <f t="shared" si="45"/>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46"/>
        <v>H43440</v>
      </c>
      <c r="AU718" s="599" t="str">
        <f t="shared" si="46"/>
        <v>CT ASSURANCE ROUTIERE</v>
      </c>
      <c r="AV718" s="1030" t="str">
        <f>IFERROR(INDEX(V718:AG718,1,MATCH(Parametres!$B$3,V$1:AG$1,0)-1)*IF(OR(C718="L",C718="S",C718="I"),-1,1),"")</f>
        <v/>
      </c>
      <c r="AW718" s="1030">
        <f t="shared" si="47"/>
        <v>0</v>
      </c>
      <c r="AX718" s="1030">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44"/>
        <v>H43500</v>
      </c>
      <c r="AK719" s="1030" t="str">
        <f t="shared" si="44"/>
        <v>REEVALUATION DU STOCK</v>
      </c>
      <c r="AL719" s="1030" t="str">
        <f>IFERROR(INDEX(G719:R719,1,MATCH(Parametres!$B$3,G$1:R$1,0)-1)*IF(OR(F719="L",F719="S",F719="I"),-1,1),"")</f>
        <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46"/>
        <v>H43500</v>
      </c>
      <c r="AU719" s="599" t="str">
        <f t="shared" si="46"/>
        <v>REEVALUATION DU STOCK</v>
      </c>
      <c r="AV719" s="1030" t="str">
        <f>IFERROR(INDEX(V719:AG719,1,MATCH(Parametres!$B$3,V$1:AG$1,0)-1)*IF(OR(C719="L",C719="S",C719="I"),-1,1),"")</f>
        <v/>
      </c>
      <c r="AW719" s="1030">
        <f t="shared" si="47"/>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44"/>
        <v>H43700</v>
      </c>
      <c r="AK720" s="1030" t="str">
        <f t="shared" si="44"/>
        <v>CT SANTA CRUZ</v>
      </c>
      <c r="AL720" s="1030" t="str">
        <f>IFERROR(INDEX(G720:R720,1,MATCH(Parametres!$B$3,G$1:R$1,0)-1)*IF(OR(F720="L",F720="S",F720="I"),-1,1),"")</f>
        <v/>
      </c>
      <c r="AM720" s="1030">
        <f t="shared" si="45"/>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46"/>
        <v>H43700</v>
      </c>
      <c r="AU720" s="599" t="str">
        <f t="shared" si="46"/>
        <v>CT SANTA CRUZ</v>
      </c>
      <c r="AV720" s="1030" t="str">
        <f>IFERROR(INDEX(V720:AG720,1,MATCH(Parametres!$B$3,V$1:AG$1,0)-1)*IF(OR(C720="L",C720="S",C720="I"),-1,1),"")</f>
        <v/>
      </c>
      <c r="AW720" s="1030">
        <f t="shared" si="47"/>
        <v>0</v>
      </c>
      <c r="AX720" s="1030">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44"/>
        <v>H43800</v>
      </c>
      <c r="AK721" s="1030" t="str">
        <f t="shared" si="44"/>
        <v>CT IONIQ 5</v>
      </c>
      <c r="AL721" s="1030" t="str">
        <f>IFERROR(INDEX(G721:R721,1,MATCH(Parametres!$B$3,G$1:R$1,0)-1)*IF(OR(F721="L",F721="S",F721="I"),-1,1),"")</f>
        <v/>
      </c>
      <c r="AM721" s="1030">
        <f t="shared" si="45"/>
        <v>1280668.74</v>
      </c>
      <c r="AN721" s="1030">
        <f>INDEX(G721:R721,1,MATCH(Parametres!$B$3,G$1:R$1,0))*IF(OR(F721="L",F721="S",F721="I"),-1,1)</f>
        <v>1280668.74</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46"/>
        <v>H43800</v>
      </c>
      <c r="AU721" s="599" t="str">
        <f t="shared" si="46"/>
        <v>CT IONIQ 5</v>
      </c>
      <c r="AV721" s="1030" t="str">
        <f>IFERROR(INDEX(V721:AG721,1,MATCH(Parametres!$B$3,V$1:AG$1,0)-1)*IF(OR(C721="L",C721="S",C721="I"),-1,1),"")</f>
        <v/>
      </c>
      <c r="AW721" s="1030">
        <f t="shared" si="47"/>
        <v>0</v>
      </c>
      <c r="AX721" s="1030">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44"/>
        <v>H44200</v>
      </c>
      <c r="AK722" s="1030" t="str">
        <f t="shared" si="44"/>
        <v>CT IONIQ 6</v>
      </c>
      <c r="AL722" s="1030" t="str">
        <f>IFERROR(INDEX(G722:R722,1,MATCH(Parametres!$B$3,G$1:R$1,0)-1)*IF(OR(F722="L",F722="S",F722="I"),-1,1),"")</f>
        <v/>
      </c>
      <c r="AM722" s="1030">
        <f t="shared" si="45"/>
        <v>182851.21</v>
      </c>
      <c r="AN722" s="1030">
        <f>INDEX(G722:R722,1,MATCH(Parametres!$B$3,G$1:R$1,0))*IF(OR(F722="L",F722="S",F722="I"),-1,1)</f>
        <v>182851.21</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46"/>
        <v>H44200</v>
      </c>
      <c r="AU722" s="599" t="str">
        <f t="shared" si="46"/>
        <v>CT IONIQ 6</v>
      </c>
      <c r="AV722" s="1030" t="str">
        <f>IFERROR(INDEX(V722:AG722,1,MATCH(Parametres!$B$3,V$1:AG$1,0)-1)*IF(OR(C722="L",C722="S",C722="I"),-1,1),"")</f>
        <v/>
      </c>
      <c r="AW722" s="1030">
        <f t="shared" si="47"/>
        <v>0</v>
      </c>
      <c r="AX722" s="1030">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si="44"/>
        <v>H44300</v>
      </c>
      <c r="AK723" s="1030" t="str">
        <f t="shared" si="44"/>
        <v>CT IONIQ 5</v>
      </c>
      <c r="AL723" s="1030" t="str">
        <f>IFERROR(INDEX(G723:R723,1,MATCH(Parametres!$B$3,G$1:R$1,0)-1)*IF(OR(F723="L",F723="S",F723="I"),-1,1),"")</f>
        <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46"/>
        <v>H44300</v>
      </c>
      <c r="AU723" s="599" t="str">
        <f t="shared" si="46"/>
        <v>CT IONIQ 5</v>
      </c>
      <c r="AV723" s="1030" t="str">
        <f>IFERROR(INDEX(V723:AG723,1,MATCH(Parametres!$B$3,V$1:AG$1,0)-1)*IF(OR(C723="L",C723="S",C723="I"),-1,1),"")</f>
        <v/>
      </c>
      <c r="AW723" s="1030">
        <f t="shared" si="47"/>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ref="AJ724:AK787" si="48">C724</f>
        <v>H44400</v>
      </c>
      <c r="AK724" s="1030" t="str">
        <f t="shared" si="48"/>
        <v>CT IONIQ 9</v>
      </c>
      <c r="AL724" s="1030" t="str">
        <f>IFERROR(INDEX(G724:R724,1,MATCH(Parametres!$B$3,G$1:R$1,0)-1)*IF(OR(F724="L",F724="S",F724="I"),-1,1),"")</f>
        <v/>
      </c>
      <c r="AM724" s="1030">
        <f t="shared" si="45"/>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46"/>
        <v>H44400</v>
      </c>
      <c r="AU724" s="599" t="str">
        <f t="shared" si="46"/>
        <v>CT IONIQ 9</v>
      </c>
      <c r="AV724" s="1030" t="str">
        <f>IFERROR(INDEX(V724:AG724,1,MATCH(Parametres!$B$3,V$1:AG$1,0)-1)*IF(OR(C724="L",C724="S",C724="I"),-1,1),"")</f>
        <v/>
      </c>
      <c r="AW724" s="1030">
        <f t="shared" si="47"/>
        <v>0</v>
      </c>
      <c r="AX724" s="1030">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48"/>
        <v>H45000</v>
      </c>
      <c r="AK725" s="1030" t="str">
        <f t="shared" si="48"/>
        <v>CT PCS - COMPTOIR - GROS</v>
      </c>
      <c r="AL725" s="1030" t="str">
        <f>IFERROR(INDEX(G725:R725,1,MATCH(Parametres!$B$3,G$1:R$1,0)-1)*IF(OR(F725="L",F725="S",F725="I"),-1,1),"")</f>
        <v/>
      </c>
      <c r="AM725" s="1030">
        <f t="shared" si="45"/>
        <v>350385.33</v>
      </c>
      <c r="AN725" s="1030">
        <f>INDEX(G725:R725,1,MATCH(Parametres!$B$3,G$1:R$1,0))*IF(OR(F725="L",F725="S",F725="I"),-1,1)</f>
        <v>350385.33</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46"/>
        <v>H45000</v>
      </c>
      <c r="AU725" s="599" t="str">
        <f t="shared" si="46"/>
        <v>CT PCS - COMPTOIR - GROS</v>
      </c>
      <c r="AV725" s="1030" t="str">
        <f>IFERROR(INDEX(V725:AG725,1,MATCH(Parametres!$B$3,V$1:AG$1,0)-1)*IF(OR(C725="L",C725="S",C725="I"),-1,1),"")</f>
        <v/>
      </c>
      <c r="AW725" s="1030">
        <f t="shared" si="47"/>
        <v>0</v>
      </c>
      <c r="AX725" s="1030">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48"/>
        <v>H45200</v>
      </c>
      <c r="AK726" s="1030" t="str">
        <f t="shared" si="48"/>
        <v>CT PCS COMPTOIR - DETAIL</v>
      </c>
      <c r="AL726" s="1030" t="str">
        <f>IFERROR(INDEX(G726:R726,1,MATCH(Parametres!$B$3,G$1:R$1,0)-1)*IF(OR(F726="L",F726="S",F726="I"),-1,1),"")</f>
        <v/>
      </c>
      <c r="AM726" s="1030">
        <f t="shared" si="45"/>
        <v>2125.23</v>
      </c>
      <c r="AN726" s="1030">
        <f>INDEX(G726:R726,1,MATCH(Parametres!$B$3,G$1:R$1,0))*IF(OR(F726="L",F726="S",F726="I"),-1,1)</f>
        <v>2125.23</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46"/>
        <v>H45200</v>
      </c>
      <c r="AU726" s="599" t="str">
        <f t="shared" si="46"/>
        <v>CT PCS COMPTOIR - DETAIL</v>
      </c>
      <c r="AV726" s="1030" t="str">
        <f>IFERROR(INDEX(V726:AG726,1,MATCH(Parametres!$B$3,V$1:AG$1,0)-1)*IF(OR(C726="L",C726="S",C726="I"),-1,1),"")</f>
        <v/>
      </c>
      <c r="AW726" s="1030">
        <f t="shared" si="47"/>
        <v>0</v>
      </c>
      <c r="AX726" s="1030">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48"/>
        <v>H45300</v>
      </c>
      <c r="AK727" s="1030" t="str">
        <f t="shared" si="48"/>
        <v>CT ACCESS DETAIL</v>
      </c>
      <c r="AL727" s="1030" t="str">
        <f>IFERROR(INDEX(G727:R727,1,MATCH(Parametres!$B$3,G$1:R$1,0)-1)*IF(OR(F727="L",F727="S",F727="I"),-1,1),"")</f>
        <v/>
      </c>
      <c r="AM727" s="1030">
        <f t="shared" si="45"/>
        <v>19251.810000000001</v>
      </c>
      <c r="AN727" s="1030">
        <f>INDEX(G727:R727,1,MATCH(Parametres!$B$3,G$1:R$1,0))*IF(OR(F727="L",F727="S",F727="I"),-1,1)</f>
        <v>19251.810000000001</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46"/>
        <v>H45300</v>
      </c>
      <c r="AU727" s="599" t="str">
        <f t="shared" si="46"/>
        <v>CT ACCESS DETAIL</v>
      </c>
      <c r="AV727" s="1030" t="str">
        <f>IFERROR(INDEX(V727:AG727,1,MATCH(Parametres!$B$3,V$1:AG$1,0)-1)*IF(OR(C727="L",C727="S",C727="I"),-1,1),"")</f>
        <v/>
      </c>
      <c r="AW727" s="1030">
        <f t="shared" si="47"/>
        <v>0</v>
      </c>
      <c r="AX727" s="1030">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48"/>
        <v>H45400</v>
      </c>
      <c r="AK728" s="1030" t="str">
        <f t="shared" si="48"/>
        <v>CT PCS B.R CLIENT - MEC</v>
      </c>
      <c r="AL728" s="1030" t="str">
        <f>IFERROR(INDEX(G728:R728,1,MATCH(Parametres!$B$3,G$1:R$1,0)-1)*IF(OR(F728="L",F728="S",F728="I"),-1,1),"")</f>
        <v/>
      </c>
      <c r="AM728" s="1030">
        <f t="shared" si="45"/>
        <v>42676.08</v>
      </c>
      <c r="AN728" s="1030">
        <f>INDEX(G728:R728,1,MATCH(Parametres!$B$3,G$1:R$1,0))*IF(OR(F728="L",F728="S",F728="I"),-1,1)</f>
        <v>42676.08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46"/>
        <v>H45400</v>
      </c>
      <c r="AU728" s="599" t="str">
        <f t="shared" si="46"/>
        <v>CT PCS B.R CLIENT - MEC</v>
      </c>
      <c r="AV728" s="1030" t="str">
        <f>IFERROR(INDEX(V728:AG728,1,MATCH(Parametres!$B$3,V$1:AG$1,0)-1)*IF(OR(C728="L",C728="S",C728="I"),-1,1),"")</f>
        <v/>
      </c>
      <c r="AW728" s="1030">
        <f t="shared" si="47"/>
        <v>0</v>
      </c>
      <c r="AX728" s="1030">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48"/>
        <v>H45410</v>
      </c>
      <c r="AK729" s="1030" t="str">
        <f t="shared" si="48"/>
        <v>CT PIECES HPP</v>
      </c>
      <c r="AL729" s="1030" t="str">
        <f>IFERROR(INDEX(G729:R729,1,MATCH(Parametres!$B$3,G$1:R$1,0)-1)*IF(OR(F729="L",F729="S",F729="I"),-1,1),"")</f>
        <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46"/>
        <v>H45410</v>
      </c>
      <c r="AU729" s="599" t="str">
        <f t="shared" si="46"/>
        <v>CT PIECES HPP</v>
      </c>
      <c r="AV729" s="1030" t="str">
        <f>IFERROR(INDEX(V729:AG729,1,MATCH(Parametres!$B$3,V$1:AG$1,0)-1)*IF(OR(C729="L",C729="S",C729="I"),-1,1),"")</f>
        <v/>
      </c>
      <c r="AW729" s="1030">
        <f t="shared" si="47"/>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48"/>
        <v>H45500</v>
      </c>
      <c r="AK730" s="1030" t="str">
        <f t="shared" si="48"/>
        <v>CT PCS B.R CLIENT - CARR</v>
      </c>
      <c r="AL730" s="1030" t="str">
        <f>IFERROR(INDEX(G730:R730,1,MATCH(Parametres!$B$3,G$1:R$1,0)-1)*IF(OR(F730="L",F730="S",F730="I"),-1,1),"")</f>
        <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46"/>
        <v>H45500</v>
      </c>
      <c r="AU730" s="599" t="str">
        <f t="shared" si="46"/>
        <v>CT PCS B.R CLIENT - CARR</v>
      </c>
      <c r="AV730" s="1030" t="str">
        <f>IFERROR(INDEX(V730:AG730,1,MATCH(Parametres!$B$3,V$1:AG$1,0)-1)*IF(OR(C730="L",C730="S",C730="I"),-1,1),"")</f>
        <v/>
      </c>
      <c r="AW730" s="1030">
        <f t="shared" si="47"/>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48"/>
        <v>H45600</v>
      </c>
      <c r="AK731" s="1030" t="str">
        <f t="shared" si="48"/>
        <v>CT PCS B.R GARANTIE -MEC</v>
      </c>
      <c r="AL731" s="1030" t="str">
        <f>IFERROR(INDEX(G731:R731,1,MATCH(Parametres!$B$3,G$1:R$1,0)-1)*IF(OR(F731="L",F731="S",F731="I"),-1,1),"")</f>
        <v/>
      </c>
      <c r="AM731" s="1030">
        <f t="shared" si="45"/>
        <v>104931</v>
      </c>
      <c r="AN731" s="1030">
        <f>INDEX(G731:R731,1,MATCH(Parametres!$B$3,G$1:R$1,0))*IF(OR(F731="L",F731="S",F731="I"),-1,1)</f>
        <v>104931</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46"/>
        <v>H45600</v>
      </c>
      <c r="AU731" s="599" t="str">
        <f t="shared" si="46"/>
        <v>CT PCS B.R GARANTIE -MEC</v>
      </c>
      <c r="AV731" s="1030" t="str">
        <f>IFERROR(INDEX(V731:AG731,1,MATCH(Parametres!$B$3,V$1:AG$1,0)-1)*IF(OR(C731="L",C731="S",C731="I"),-1,1),"")</f>
        <v/>
      </c>
      <c r="AW731" s="1030">
        <f t="shared" si="47"/>
        <v>0</v>
      </c>
      <c r="AX731" s="1030">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48"/>
        <v>H45800</v>
      </c>
      <c r="AK732" s="1030" t="str">
        <f t="shared" si="48"/>
        <v>CT PCS B.R INTERNE - MEC</v>
      </c>
      <c r="AL732" s="1030" t="str">
        <f>IFERROR(INDEX(G732:R732,1,MATCH(Parametres!$B$3,G$1:R$1,0)-1)*IF(OR(F732="L",F732="S",F732="I"),-1,1),"")</f>
        <v/>
      </c>
      <c r="AM732" s="1030">
        <f t="shared" si="45"/>
        <v>6786.7</v>
      </c>
      <c r="AN732" s="1030">
        <f>INDEX(G732:R732,1,MATCH(Parametres!$B$3,G$1:R$1,0))*IF(OR(F732="L",F732="S",F732="I"),-1,1)</f>
        <v>6786.7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46"/>
        <v>H45800</v>
      </c>
      <c r="AU732" s="599" t="str">
        <f t="shared" si="46"/>
        <v>CT PCS B.R INTERNE - MEC</v>
      </c>
      <c r="AV732" s="1030" t="str">
        <f>IFERROR(INDEX(V732:AG732,1,MATCH(Parametres!$B$3,V$1:AG$1,0)-1)*IF(OR(C732="L",C732="S",C732="I"),-1,1),"")</f>
        <v/>
      </c>
      <c r="AW732" s="1030">
        <f t="shared" si="47"/>
        <v>0</v>
      </c>
      <c r="AX732" s="1030">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48"/>
        <v>H46000</v>
      </c>
      <c r="AK733" s="1030" t="str">
        <f t="shared" si="48"/>
        <v>CT PIECES DIVERSES (AUTOS</v>
      </c>
      <c r="AL733" s="1030" t="str">
        <f>IFERROR(INDEX(G733:R733,1,MATCH(Parametres!$B$3,G$1:R$1,0)-1)*IF(OR(F733="L",F733="S",F733="I"),-1,1),"")</f>
        <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46"/>
        <v>H46000</v>
      </c>
      <c r="AU733" s="599" t="str">
        <f t="shared" si="46"/>
        <v>CT PIECES DIVERSES (AUTOS</v>
      </c>
      <c r="AV733" s="1030" t="str">
        <f>IFERROR(INDEX(V733:AG733,1,MATCH(Parametres!$B$3,V$1:AG$1,0)-1)*IF(OR(C733="L",C733="S",C733="I"),-1,1),"")</f>
        <v/>
      </c>
      <c r="AW733" s="1030">
        <f t="shared" si="47"/>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48"/>
        <v>H46200</v>
      </c>
      <c r="AK734" s="1030" t="str">
        <f t="shared" si="48"/>
        <v>CT PNEUS</v>
      </c>
      <c r="AL734" s="1030" t="str">
        <f>IFERROR(INDEX(G734:R734,1,MATCH(Parametres!$B$3,G$1:R$1,0)-1)*IF(OR(F734="L",F734="S",F734="I"),-1,1),"")</f>
        <v/>
      </c>
      <c r="AM734" s="1030">
        <f t="shared" si="45"/>
        <v>64596.42</v>
      </c>
      <c r="AN734" s="1030">
        <f>INDEX(G734:R734,1,MATCH(Parametres!$B$3,G$1:R$1,0))*IF(OR(F734="L",F734="S",F734="I"),-1,1)</f>
        <v>64596.42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46"/>
        <v>H46200</v>
      </c>
      <c r="AU734" s="599" t="str">
        <f t="shared" si="46"/>
        <v>CT PNEUS</v>
      </c>
      <c r="AV734" s="1030" t="str">
        <f>IFERROR(INDEX(V734:AG734,1,MATCH(Parametres!$B$3,V$1:AG$1,0)-1)*IF(OR(C734="L",C734="S",C734="I"),-1,1),"")</f>
        <v/>
      </c>
      <c r="AW734" s="1030">
        <f t="shared" si="47"/>
        <v>0</v>
      </c>
      <c r="AX734" s="1030">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48"/>
        <v>H46300</v>
      </c>
      <c r="AK735" s="1030" t="str">
        <f t="shared" si="48"/>
        <v>ESCOMPTE PIECES (M.S.O)</v>
      </c>
      <c r="AL735" s="1030" t="str">
        <f>IFERROR(INDEX(G735:R735,1,MATCH(Parametres!$B$3,G$1:R$1,0)-1)*IF(OR(F735="L",F735="S",F735="I"),-1,1),"")</f>
        <v/>
      </c>
      <c r="AM735" s="1030">
        <f t="shared" si="45"/>
        <v>-7893.75</v>
      </c>
      <c r="AN735" s="1030">
        <f>INDEX(G735:R735,1,MATCH(Parametres!$B$3,G$1:R$1,0))*IF(OR(F735="L",F735="S",F735="I"),-1,1)</f>
        <v>-7893.75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46"/>
        <v>H46300</v>
      </c>
      <c r="AU735" s="599" t="str">
        <f t="shared" si="46"/>
        <v>ESCOMPTE PIECES (M.S.O)</v>
      </c>
      <c r="AV735" s="1030" t="str">
        <f>IFERROR(INDEX(V735:AG735,1,MATCH(Parametres!$B$3,V$1:AG$1,0)-1)*IF(OR(C735="L",C735="S",C735="I"),-1,1),"")</f>
        <v/>
      </c>
      <c r="AW735" s="1030">
        <f t="shared" si="47"/>
        <v>0</v>
      </c>
      <c r="AX735" s="1030">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48"/>
        <v>H46400</v>
      </c>
      <c r="AK736" s="1030" t="str">
        <f t="shared" si="48"/>
        <v>REGULARISATION D INV.</v>
      </c>
      <c r="AL736" s="1030" t="str">
        <f>IFERROR(INDEX(G736:R736,1,MATCH(Parametres!$B$3,G$1:R$1,0)-1)*IF(OR(F736="L",F736="S",F736="I"),-1,1),"")</f>
        <v/>
      </c>
      <c r="AM736" s="1030">
        <f t="shared" si="45"/>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46"/>
        <v>H46400</v>
      </c>
      <c r="AU736" s="599" t="str">
        <f t="shared" si="46"/>
        <v>REGULARISATION D INV.</v>
      </c>
      <c r="AV736" s="1030" t="str">
        <f>IFERROR(INDEX(V736:AG736,1,MATCH(Parametres!$B$3,V$1:AG$1,0)-1)*IF(OR(C736="L",C736="S",C736="I"),-1,1),"")</f>
        <v/>
      </c>
      <c r="AW736" s="1030">
        <f t="shared" si="47"/>
        <v>0</v>
      </c>
      <c r="AX736" s="1030">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48"/>
        <v>H46500</v>
      </c>
      <c r="AK737" s="1030" t="str">
        <f t="shared" si="48"/>
        <v>CT FOURN DE CARR/PEINTURE</v>
      </c>
      <c r="AL737" s="1030" t="str">
        <f>IFERROR(INDEX(G737:R737,1,MATCH(Parametres!$B$3,G$1:R$1,0)-1)*IF(OR(F737="L",F737="S",F737="I"),-1,1),"")</f>
        <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46"/>
        <v>H46500</v>
      </c>
      <c r="AU737" s="599" t="str">
        <f t="shared" si="46"/>
        <v>CT FOURN DE CARR/PEINTURE</v>
      </c>
      <c r="AV737" s="1030" t="str">
        <f>IFERROR(INDEX(V737:AG737,1,MATCH(Parametres!$B$3,V$1:AG$1,0)-1)*IF(OR(C737="L",C737="S",C737="I"),-1,1),"")</f>
        <v/>
      </c>
      <c r="AW737" s="1030">
        <f t="shared" si="47"/>
        <v>0</v>
      </c>
      <c r="AX737" s="1030">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48"/>
        <v>H47000</v>
      </c>
      <c r="AK738" s="1030" t="str">
        <f t="shared" si="48"/>
        <v>CT M.O B.R CLIENT- MEC</v>
      </c>
      <c r="AL738" s="1030" t="str">
        <f>IFERROR(INDEX(G738:R738,1,MATCH(Parametres!$B$3,G$1:R$1,0)-1)*IF(OR(F738="L",F738="S",F738="I"),-1,1),"")</f>
        <v/>
      </c>
      <c r="AM738" s="1030">
        <f t="shared" si="45"/>
        <v>15401.48</v>
      </c>
      <c r="AN738" s="1030">
        <f>INDEX(G738:R738,1,MATCH(Parametres!$B$3,G$1:R$1,0))*IF(OR(F738="L",F738="S",F738="I"),-1,1)</f>
        <v>15401.48</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46"/>
        <v>H47000</v>
      </c>
      <c r="AU738" s="599" t="str">
        <f t="shared" si="46"/>
        <v>CT M.O B.R CLIENT- MEC</v>
      </c>
      <c r="AV738" s="1030" t="str">
        <f>IFERROR(INDEX(V738:AG738,1,MATCH(Parametres!$B$3,V$1:AG$1,0)-1)*IF(OR(C738="L",C738="S",C738="I"),-1,1),"")</f>
        <v/>
      </c>
      <c r="AW738" s="1030">
        <f t="shared" si="47"/>
        <v>0</v>
      </c>
      <c r="AX738" s="1030">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48"/>
        <v>H47010</v>
      </c>
      <c r="AK739" s="1030" t="str">
        <f t="shared" si="48"/>
        <v>CT MO HPP</v>
      </c>
      <c r="AL739" s="1030" t="str">
        <f>IFERROR(INDEX(G739:R739,1,MATCH(Parametres!$B$3,G$1:R$1,0)-1)*IF(OR(F739="L",F739="S",F739="I"),-1,1),"")</f>
        <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46"/>
        <v>H47010</v>
      </c>
      <c r="AU739" s="599" t="str">
        <f t="shared" si="46"/>
        <v>CT MO HPP</v>
      </c>
      <c r="AV739" s="1030" t="str">
        <f>IFERROR(INDEX(V739:AG739,1,MATCH(Parametres!$B$3,V$1:AG$1,0)-1)*IF(OR(C739="L",C739="S",C739="I"),-1,1),"")</f>
        <v/>
      </c>
      <c r="AW739" s="1030">
        <f t="shared" si="47"/>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48"/>
        <v>H47100</v>
      </c>
      <c r="AK740" s="1030" t="str">
        <f t="shared" si="48"/>
        <v>CT M.O B.R CLIENT- CARR</v>
      </c>
      <c r="AL740" s="1030" t="str">
        <f>IFERROR(INDEX(G740:R740,1,MATCH(Parametres!$B$3,G$1:R$1,0)-1)*IF(OR(F740="L",F740="S",F740="I"),-1,1),"")</f>
        <v/>
      </c>
      <c r="AM740" s="1030">
        <f t="shared" si="45"/>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46"/>
        <v>H47100</v>
      </c>
      <c r="AU740" s="599" t="str">
        <f t="shared" si="46"/>
        <v>CT M.O B.R CLIENT- CARR</v>
      </c>
      <c r="AV740" s="1030" t="str">
        <f>IFERROR(INDEX(V740:AG740,1,MATCH(Parametres!$B$3,V$1:AG$1,0)-1)*IF(OR(C740="L",C740="S",C740="I"),-1,1),"")</f>
        <v/>
      </c>
      <c r="AW740" s="1030">
        <f t="shared" si="47"/>
        <v>0</v>
      </c>
      <c r="AX740" s="1030">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48"/>
        <v>H47200</v>
      </c>
      <c r="AK741" s="1030" t="str">
        <f t="shared" si="48"/>
        <v>CT M.O B.R GARANTIE- MEC</v>
      </c>
      <c r="AL741" s="1030" t="str">
        <f>IFERROR(INDEX(G741:R741,1,MATCH(Parametres!$B$3,G$1:R$1,0)-1)*IF(OR(F741="L",F741="S",F741="I"),-1,1),"")</f>
        <v/>
      </c>
      <c r="AM741" s="1030">
        <f t="shared" si="45"/>
        <v>19763.060000000001</v>
      </c>
      <c r="AN741" s="1030">
        <f>INDEX(G741:R741,1,MATCH(Parametres!$B$3,G$1:R$1,0))*IF(OR(F741="L",F741="S",F741="I"),-1,1)</f>
        <v>19763.060000000001</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46"/>
        <v>H47200</v>
      </c>
      <c r="AU741" s="599" t="str">
        <f t="shared" si="46"/>
        <v>CT M.O B.R GARANTIE- MEC</v>
      </c>
      <c r="AV741" s="1030" t="str">
        <f>IFERROR(INDEX(V741:AG741,1,MATCH(Parametres!$B$3,V$1:AG$1,0)-1)*IF(OR(C741="L",C741="S",C741="I"),-1,1),"")</f>
        <v/>
      </c>
      <c r="AW741" s="1030">
        <f t="shared" si="47"/>
        <v>0</v>
      </c>
      <c r="AX741" s="1030">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48"/>
        <v>H47400</v>
      </c>
      <c r="AK742" s="1030" t="str">
        <f t="shared" si="48"/>
        <v>CT M.O B.R INTERNE- MEC</v>
      </c>
      <c r="AL742" s="1030" t="str">
        <f>IFERROR(INDEX(G742:R742,1,MATCH(Parametres!$B$3,G$1:R$1,0)-1)*IF(OR(F742="L",F742="S",F742="I"),-1,1),"")</f>
        <v/>
      </c>
      <c r="AM742" s="1030">
        <f t="shared" si="45"/>
        <v>5755.13</v>
      </c>
      <c r="AN742" s="1030">
        <f>INDEX(G742:R742,1,MATCH(Parametres!$B$3,G$1:R$1,0))*IF(OR(F742="L",F742="S",F742="I"),-1,1)</f>
        <v>5755.13</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46"/>
        <v>H47400</v>
      </c>
      <c r="AU742" s="599" t="str">
        <f t="shared" si="46"/>
        <v>CT M.O B.R INTERNE- MEC</v>
      </c>
      <c r="AV742" s="1030" t="str">
        <f>IFERROR(INDEX(V742:AG742,1,MATCH(Parametres!$B$3,V$1:AG$1,0)-1)*IF(OR(C742="L",C742="S",C742="I"),-1,1),"")</f>
        <v/>
      </c>
      <c r="AW742" s="1030">
        <f t="shared" si="47"/>
        <v>0</v>
      </c>
      <c r="AX742" s="1030">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48"/>
        <v>H47500</v>
      </c>
      <c r="AK743" s="1030" t="str">
        <f t="shared" si="48"/>
        <v>CT M.O B.R INTERNE- CARR</v>
      </c>
      <c r="AL743" s="1030" t="str">
        <f>IFERROR(INDEX(G743:R743,1,MATCH(Parametres!$B$3,G$1:R$1,0)-1)*IF(OR(F743="L",F743="S",F743="I"),-1,1),"")</f>
        <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46"/>
        <v>H47500</v>
      </c>
      <c r="AU743" s="599" t="str">
        <f t="shared" si="46"/>
        <v>CT M.O B.R INTERNE- CARR</v>
      </c>
      <c r="AV743" s="1030" t="str">
        <f>IFERROR(INDEX(V743:AG743,1,MATCH(Parametres!$B$3,V$1:AG$1,0)-1)*IF(OR(C743="L",C743="S",C743="I"),-1,1),"")</f>
        <v/>
      </c>
      <c r="AW743" s="1030">
        <f t="shared" si="47"/>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48"/>
        <v>H47600</v>
      </c>
      <c r="AK744" s="1030" t="str">
        <f t="shared" si="48"/>
        <v>CT M.O S-TRAITANCE - CARR</v>
      </c>
      <c r="AL744" s="1030" t="str">
        <f>IFERROR(INDEX(G744:R744,1,MATCH(Parametres!$B$3,G$1:R$1,0)-1)*IF(OR(F744="L",F744="S",F744="I"),-1,1),"")</f>
        <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46"/>
        <v>H47600</v>
      </c>
      <c r="AU744" s="599" t="str">
        <f t="shared" si="46"/>
        <v>CT M.O S-TRAITANCE - CARR</v>
      </c>
      <c r="AV744" s="1030" t="str">
        <f>IFERROR(INDEX(V744:AG744,1,MATCH(Parametres!$B$3,V$1:AG$1,0)-1)*IF(OR(C744="L",C744="S",C744="I"),-1,1),"")</f>
        <v/>
      </c>
      <c r="AW744" s="1030">
        <f t="shared" si="47"/>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48"/>
        <v>H47610</v>
      </c>
      <c r="AK745" s="1030" t="str">
        <f t="shared" si="48"/>
        <v>CT S-TRAITANCE INT CARR</v>
      </c>
      <c r="AL745" s="1030" t="str">
        <f>IFERROR(INDEX(G745:R745,1,MATCH(Parametres!$B$3,G$1:R$1,0)-1)*IF(OR(F745="L",F745="S",F745="I"),-1,1),"")</f>
        <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46"/>
        <v>H47610</v>
      </c>
      <c r="AU745" s="599" t="str">
        <f t="shared" si="46"/>
        <v>CT S-TRAITANCE INT CARR</v>
      </c>
      <c r="AV745" s="1030" t="str">
        <f>IFERROR(INDEX(V745:AG745,1,MATCH(Parametres!$B$3,V$1:AG$1,0)-1)*IF(OR(C745="L",C745="S",C745="I"),-1,1),"")</f>
        <v/>
      </c>
      <c r="AW745" s="1030">
        <f t="shared" si="47"/>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48"/>
        <v>H47700</v>
      </c>
      <c r="AK746" s="1030" t="str">
        <f t="shared" si="48"/>
        <v>CT M.O B.R GARANTIE- CARR</v>
      </c>
      <c r="AL746" s="1030" t="str">
        <f>IFERROR(INDEX(G746:R746,1,MATCH(Parametres!$B$3,G$1:R$1,0)-1)*IF(OR(F746="L",F746="S",F746="I"),-1,1),"")</f>
        <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46"/>
        <v>H47700</v>
      </c>
      <c r="AU746" s="599" t="str">
        <f t="shared" si="46"/>
        <v>CT M.O B.R GARANTIE- CARR</v>
      </c>
      <c r="AV746" s="1030" t="str">
        <f>IFERROR(INDEX(V746:AG746,1,MATCH(Parametres!$B$3,V$1:AG$1,0)-1)*IF(OR(C746="L",C746="S",C746="I"),-1,1),"")</f>
        <v/>
      </c>
      <c r="AW746" s="1030">
        <f t="shared" si="47"/>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48"/>
        <v>H47800</v>
      </c>
      <c r="AK747" s="1030" t="str">
        <f t="shared" si="48"/>
        <v>CT M.O DIVERSES (AUTOS)_</v>
      </c>
      <c r="AL747" s="1030" t="str">
        <f>IFERROR(INDEX(G747:R747,1,MATCH(Parametres!$B$3,G$1:R$1,0)-1)*IF(OR(F747="L",F747="S",F747="I"),-1,1),"")</f>
        <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46"/>
        <v>H47800</v>
      </c>
      <c r="AU747" s="599" t="str">
        <f t="shared" si="46"/>
        <v>CT M.O DIVERSES (AUTOS)_</v>
      </c>
      <c r="AV747" s="1030" t="str">
        <f>IFERROR(INDEX(V747:AG747,1,MATCH(Parametres!$B$3,V$1:AG$1,0)-1)*IF(OR(C747="L",C747="S",C747="I"),-1,1),"")</f>
        <v/>
      </c>
      <c r="AW747" s="1030">
        <f t="shared" si="47"/>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48"/>
        <v>H48000</v>
      </c>
      <c r="AK748" s="1030" t="str">
        <f t="shared" si="48"/>
        <v>CT TEMPS MORT - MECANIQUE</v>
      </c>
      <c r="AL748" s="1030" t="str">
        <f>IFERROR(INDEX(G748:R748,1,MATCH(Parametres!$B$3,G$1:R$1,0)-1)*IF(OR(F748="L",F748="S",F748="I"),-1,1),"")</f>
        <v/>
      </c>
      <c r="AM748" s="1030">
        <f t="shared" si="45"/>
        <v>104.46</v>
      </c>
      <c r="AN748" s="1030">
        <f>INDEX(G748:R748,1,MATCH(Parametres!$B$3,G$1:R$1,0))*IF(OR(F748="L",F748="S",F748="I"),-1,1)</f>
        <v>104.46</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46"/>
        <v>H48000</v>
      </c>
      <c r="AU748" s="599" t="str">
        <f t="shared" si="46"/>
        <v>CT TEMPS MORT - MECANIQUE</v>
      </c>
      <c r="AV748" s="1030" t="str">
        <f>IFERROR(INDEX(V748:AG748,1,MATCH(Parametres!$B$3,V$1:AG$1,0)-1)*IF(OR(C748="L",C748="S",C748="I"),-1,1),"")</f>
        <v/>
      </c>
      <c r="AW748" s="1030">
        <f t="shared" si="47"/>
        <v>0</v>
      </c>
      <c r="AX748" s="1030">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48"/>
        <v>H48100</v>
      </c>
      <c r="AK749" s="1030" t="str">
        <f t="shared" si="48"/>
        <v>CT TEMPS MORT-CARR/PEINT.</v>
      </c>
      <c r="AL749" s="1030" t="str">
        <f>IFERROR(INDEX(G749:R749,1,MATCH(Parametres!$B$3,G$1:R$1,0)-1)*IF(OR(F749="L",F749="S",F749="I"),-1,1),"")</f>
        <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46"/>
        <v>H48100</v>
      </c>
      <c r="AU749" s="599" t="str">
        <f t="shared" si="46"/>
        <v>CT TEMPS MORT-CARR/PEINT.</v>
      </c>
      <c r="AV749" s="1030" t="str">
        <f>IFERROR(INDEX(V749:AG749,1,MATCH(Parametres!$B$3,V$1:AG$1,0)-1)*IF(OR(C749="L",C749="S",C749="I"),-1,1),"")</f>
        <v/>
      </c>
      <c r="AW749" s="1030">
        <f t="shared" si="47"/>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48"/>
        <v>H48200</v>
      </c>
      <c r="AK750" s="1030" t="str">
        <f t="shared" si="48"/>
        <v>CT M.O S-TRAITANCE - MEC</v>
      </c>
      <c r="AL750" s="1030" t="str">
        <f>IFERROR(INDEX(G750:R750,1,MATCH(Parametres!$B$3,G$1:R$1,0)-1)*IF(OR(F750="L",F750="S",F750="I"),-1,1),"")</f>
        <v/>
      </c>
      <c r="AM750" s="1030">
        <f t="shared" si="45"/>
        <v>40273.910000000003</v>
      </c>
      <c r="AN750" s="1030">
        <f>INDEX(G750:R750,1,MATCH(Parametres!$B$3,G$1:R$1,0))*IF(OR(F750="L",F750="S",F750="I"),-1,1)</f>
        <v>40273.910000000003</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46"/>
        <v>H48200</v>
      </c>
      <c r="AU750" s="599" t="str">
        <f t="shared" si="46"/>
        <v>CT M.O S-TRAITANCE - MEC</v>
      </c>
      <c r="AV750" s="1030" t="str">
        <f>IFERROR(INDEX(V750:AG750,1,MATCH(Parametres!$B$3,V$1:AG$1,0)-1)*IF(OR(C750="L",C750="S",C750="I"),-1,1),"")</f>
        <v/>
      </c>
      <c r="AW750" s="1030">
        <f t="shared" si="47"/>
        <v>0</v>
      </c>
      <c r="AX750" s="1030">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48"/>
        <v>H48210</v>
      </c>
      <c r="AK751" s="1030" t="str">
        <f t="shared" si="48"/>
        <v>CT SOUS TRAITANCE HPP</v>
      </c>
      <c r="AL751" s="1030" t="str">
        <f>IFERROR(INDEX(G751:R751,1,MATCH(Parametres!$B$3,G$1:R$1,0)-1)*IF(OR(F751="L",F751="S",F751="I"),-1,1),"")</f>
        <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46"/>
        <v>H48210</v>
      </c>
      <c r="AU751" s="599" t="str">
        <f t="shared" si="46"/>
        <v>CT SOUS TRAITANCE HPP</v>
      </c>
      <c r="AV751" s="1030" t="str">
        <f>IFERROR(INDEX(V751:AG751,1,MATCH(Parametres!$B$3,V$1:AG$1,0)-1)*IF(OR(C751="L",C751="S",C751="I"),-1,1),"")</f>
        <v/>
      </c>
      <c r="AW751" s="1030">
        <f t="shared" si="47"/>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48"/>
        <v>H48300</v>
      </c>
      <c r="AK752" s="1030" t="str">
        <f t="shared" si="48"/>
        <v>CT ENTREPOSAGE DE PNEU</v>
      </c>
      <c r="AL752" s="1030" t="str">
        <f>IFERROR(INDEX(G752:R752,1,MATCH(Parametres!$B$3,G$1:R$1,0)-1)*IF(OR(F752="L",F752="S",F752="I"),-1,1),"")</f>
        <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46"/>
        <v>H48300</v>
      </c>
      <c r="AU752" s="599" t="str">
        <f t="shared" si="46"/>
        <v>CT ENTREPOSAGE DE PNEU</v>
      </c>
      <c r="AV752" s="1030" t="str">
        <f>IFERROR(INDEX(V752:AG752,1,MATCH(Parametres!$B$3,V$1:AG$1,0)-1)*IF(OR(C752="L",C752="S",C752="I"),-1,1),"")</f>
        <v/>
      </c>
      <c r="AW752" s="1030">
        <f t="shared" si="47"/>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48"/>
        <v>H48400</v>
      </c>
      <c r="AK753" s="1030" t="str">
        <f t="shared" si="48"/>
        <v>CT HUILE-GRAISSE</v>
      </c>
      <c r="AL753" s="1030" t="str">
        <f>IFERROR(INDEX(G753:R753,1,MATCH(Parametres!$B$3,G$1:R$1,0)-1)*IF(OR(F753="L",F753="S",F753="I"),-1,1),"")</f>
        <v/>
      </c>
      <c r="AM753" s="1030">
        <f t="shared" si="45"/>
        <v>10423.48</v>
      </c>
      <c r="AN753" s="1030">
        <f>INDEX(G753:R753,1,MATCH(Parametres!$B$3,G$1:R$1,0))*IF(OR(F753="L",F753="S",F753="I"),-1,1)</f>
        <v>10423.48</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46"/>
        <v>H48400</v>
      </c>
      <c r="AU753" s="599" t="str">
        <f t="shared" si="46"/>
        <v>CT HUILE-GRAISSE</v>
      </c>
      <c r="AV753" s="1030" t="str">
        <f>IFERROR(INDEX(V753:AG753,1,MATCH(Parametres!$B$3,V$1:AG$1,0)-1)*IF(OR(C753="L",C753="S",C753="I"),-1,1),"")</f>
        <v/>
      </c>
      <c r="AW753" s="1030">
        <f t="shared" si="47"/>
        <v>0</v>
      </c>
      <c r="AX753" s="1030">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48"/>
        <v>H48500</v>
      </c>
      <c r="AK754" s="1030" t="str">
        <f t="shared" si="48"/>
        <v>CT ESSENCE</v>
      </c>
      <c r="AL754" s="1030" t="str">
        <f>IFERROR(INDEX(G754:R754,1,MATCH(Parametres!$B$3,G$1:R$1,0)-1)*IF(OR(F754="L",F754="S",F754="I"),-1,1),"")</f>
        <v/>
      </c>
      <c r="AM754" s="1030">
        <f t="shared" si="45"/>
        <v>3859.85</v>
      </c>
      <c r="AN754" s="1030">
        <f>INDEX(G754:R754,1,MATCH(Parametres!$B$3,G$1:R$1,0))*IF(OR(F754="L",F754="S",F754="I"),-1,1)</f>
        <v>3859.85</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46"/>
        <v>H48500</v>
      </c>
      <c r="AU754" s="599" t="str">
        <f t="shared" si="46"/>
        <v>CT ESSENCE</v>
      </c>
      <c r="AV754" s="1030" t="str">
        <f>IFERROR(INDEX(V754:AG754,1,MATCH(Parametres!$B$3,V$1:AG$1,0)-1)*IF(OR(C754="L",C754="S",C754="I"),-1,1),"")</f>
        <v/>
      </c>
      <c r="AW754" s="1030">
        <f t="shared" si="47"/>
        <v>0</v>
      </c>
      <c r="AX754" s="1030">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48"/>
        <v>H49000</v>
      </c>
      <c r="AK755" s="1030" t="str">
        <f t="shared" si="48"/>
        <v>CT OPERATION LOCATION</v>
      </c>
      <c r="AL755" s="1030" t="str">
        <f>IFERROR(INDEX(G755:R755,1,MATCH(Parametres!$B$3,G$1:R$1,0)-1)*IF(OR(F755="L",F755="S",F755="I"),-1,1),"")</f>
        <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46"/>
        <v>H49000</v>
      </c>
      <c r="AU755" s="599" t="str">
        <f t="shared" si="46"/>
        <v>CT OPERATION LOCATION</v>
      </c>
      <c r="AV755" s="1030" t="str">
        <f>IFERROR(INDEX(V755:AG755,1,MATCH(Parametres!$B$3,V$1:AG$1,0)-1)*IF(OR(C755="L",C755="S",C755="I"),-1,1),"")</f>
        <v/>
      </c>
      <c r="AW755" s="1030">
        <f t="shared" si="47"/>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48"/>
        <v>H49100</v>
      </c>
      <c r="AK756" s="1030" t="str">
        <f t="shared" si="48"/>
        <v>FRAIS LOCATION CT &amp; LT</v>
      </c>
      <c r="AL756" s="1030" t="str">
        <f>IFERROR(INDEX(G756:R756,1,MATCH(Parametres!$B$3,G$1:R$1,0)-1)*IF(OR(F756="L",F756="S",F756="I"),-1,1),"")</f>
        <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46"/>
        <v>H49100</v>
      </c>
      <c r="AU756" s="599" t="str">
        <f t="shared" si="46"/>
        <v>FRAIS LOCATION CT &amp; LT</v>
      </c>
      <c r="AV756" s="1030" t="str">
        <f>IFERROR(INDEX(V756:AG756,1,MATCH(Parametres!$B$3,V$1:AG$1,0)-1)*IF(OR(C756="L",C756="S",C756="I"),-1,1),"")</f>
        <v/>
      </c>
      <c r="AW756" s="1030">
        <f t="shared" si="47"/>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48"/>
        <v>H49200</v>
      </c>
      <c r="AK757" s="1030" t="str">
        <f t="shared" si="48"/>
        <v>GAIN/PERTE DISPOSITION</v>
      </c>
      <c r="AL757" s="1030" t="str">
        <f>IFERROR(INDEX(G757:R757,1,MATCH(Parametres!$B$3,G$1:R$1,0)-1)*IF(OR(F757="L",F757="S",F757="I"),-1,1),"")</f>
        <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46"/>
        <v>H49200</v>
      </c>
      <c r="AU757" s="599" t="str">
        <f t="shared" si="46"/>
        <v>GAIN/PERTE DISPOSITION</v>
      </c>
      <c r="AV757" s="1030" t="str">
        <f>IFERROR(INDEX(V757:AG757,1,MATCH(Parametres!$B$3,V$1:AG$1,0)-1)*IF(OR(C757="L",C757="S",C757="I"),-1,1),"")</f>
        <v/>
      </c>
      <c r="AW757" s="1030">
        <f t="shared" si="47"/>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48"/>
        <v>H49300</v>
      </c>
      <c r="AK758" s="1030" t="str">
        <f t="shared" si="48"/>
        <v>CT AUTRE DEPARTEMENT</v>
      </c>
      <c r="AL758" s="1030" t="str">
        <f>IFERROR(INDEX(G758:R758,1,MATCH(Parametres!$B$3,G$1:R$1,0)-1)*IF(OR(F758="L",F758="S",F758="I"),-1,1),"")</f>
        <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46"/>
        <v>H49300</v>
      </c>
      <c r="AU758" s="599" t="str">
        <f t="shared" si="46"/>
        <v>CT AUTRE DEPARTEMENT</v>
      </c>
      <c r="AV758" s="1030" t="str">
        <f>IFERROR(INDEX(V758:AG758,1,MATCH(Parametres!$B$3,V$1:AG$1,0)-1)*IF(OR(C758="L",C758="S",C758="I"),-1,1),"")</f>
        <v/>
      </c>
      <c r="AW758" s="1030">
        <f t="shared" si="47"/>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48"/>
        <v>H49400</v>
      </c>
      <c r="AK759" s="1030" t="str">
        <f t="shared" si="48"/>
        <v>CT AUTRE DEPARTEMENT</v>
      </c>
      <c r="AL759" s="1030" t="str">
        <f>IFERROR(INDEX(G759:R759,1,MATCH(Parametres!$B$3,G$1:R$1,0)-1)*IF(OR(F759="L",F759="S",F759="I"),-1,1),"")</f>
        <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46"/>
        <v>H49400</v>
      </c>
      <c r="AU759" s="599" t="str">
        <f t="shared" si="46"/>
        <v>CT AUTRE DEPARTEMENT</v>
      </c>
      <c r="AV759" s="1030" t="str">
        <f>IFERROR(INDEX(V759:AG759,1,MATCH(Parametres!$B$3,V$1:AG$1,0)-1)*IF(OR(C759="L",C759="S",C759="I"),-1,1),"")</f>
        <v/>
      </c>
      <c r="AW759" s="1030">
        <f t="shared" si="47"/>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48"/>
        <v>H49500</v>
      </c>
      <c r="AK760" s="1030" t="str">
        <f t="shared" si="48"/>
        <v>CT AUTRE DEPARTEMENT</v>
      </c>
      <c r="AL760" s="1030" t="str">
        <f>IFERROR(INDEX(G760:R760,1,MATCH(Parametres!$B$3,G$1:R$1,0)-1)*IF(OR(F760="L",F760="S",F760="I"),-1,1),"")</f>
        <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46"/>
        <v>H49500</v>
      </c>
      <c r="AU760" s="599" t="str">
        <f t="shared" si="46"/>
        <v>CT AUTRE DEPARTEMENT</v>
      </c>
      <c r="AV760" s="1030" t="str">
        <f>IFERROR(INDEX(V760:AG760,1,MATCH(Parametres!$B$3,V$1:AG$1,0)-1)*IF(OR(C760="L",C760="S",C760="I"),-1,1),"")</f>
        <v/>
      </c>
      <c r="AW760" s="1030">
        <f t="shared" si="47"/>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48"/>
        <v>H49600</v>
      </c>
      <c r="AK761" s="1030" t="str">
        <f t="shared" si="48"/>
        <v>CT AUTRE DEPARTEMENT</v>
      </c>
      <c r="AL761" s="1030" t="str">
        <f>IFERROR(INDEX(G761:R761,1,MATCH(Parametres!$B$3,G$1:R$1,0)-1)*IF(OR(F761="L",F761="S",F761="I"),-1,1),"")</f>
        <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46"/>
        <v>H49600</v>
      </c>
      <c r="AU761" s="599" t="str">
        <f t="shared" si="46"/>
        <v>CT AUTRE DEPARTEMENT</v>
      </c>
      <c r="AV761" s="1030" t="str">
        <f>IFERROR(INDEX(V761:AG761,1,MATCH(Parametres!$B$3,V$1:AG$1,0)-1)*IF(OR(C761="L",C761="S",C761="I"),-1,1),"")</f>
        <v/>
      </c>
      <c r="AW761" s="1030">
        <f t="shared" si="47"/>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48"/>
        <v>H49700</v>
      </c>
      <c r="AK762" s="1030" t="str">
        <f t="shared" si="48"/>
        <v>CT AUTRE DEPARTEMENT</v>
      </c>
      <c r="AL762" s="1030" t="str">
        <f>IFERROR(INDEX(G762:R762,1,MATCH(Parametres!$B$3,G$1:R$1,0)-1)*IF(OR(F762="L",F762="S",F762="I"),-1,1),"")</f>
        <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46"/>
        <v>H49700</v>
      </c>
      <c r="AU762" s="599" t="str">
        <f t="shared" si="46"/>
        <v>CT AUTRE DEPARTEMENT</v>
      </c>
      <c r="AV762" s="1030" t="str">
        <f>IFERROR(INDEX(V762:AG762,1,MATCH(Parametres!$B$3,V$1:AG$1,0)-1)*IF(OR(C762="L",C762="S",C762="I"),-1,1),"")</f>
        <v/>
      </c>
      <c r="AW762" s="1030">
        <f t="shared" si="47"/>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48"/>
        <v>H49800</v>
      </c>
      <c r="AK763" s="1030" t="str">
        <f t="shared" si="48"/>
        <v>CT AUTRE DEPARTEMENT</v>
      </c>
      <c r="AL763" s="1030" t="str">
        <f>IFERROR(INDEX(G763:R763,1,MATCH(Parametres!$B$3,G$1:R$1,0)-1)*IF(OR(F763="L",F763="S",F763="I"),-1,1),"")</f>
        <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46"/>
        <v>H49800</v>
      </c>
      <c r="AU763" s="599" t="str">
        <f t="shared" si="46"/>
        <v>CT AUTRE DEPARTEMENT</v>
      </c>
      <c r="AV763" s="1030" t="str">
        <f>IFERROR(INDEX(V763:AG763,1,MATCH(Parametres!$B$3,V$1:AG$1,0)-1)*IF(OR(C763="L",C763="S",C763="I"),-1,1),"")</f>
        <v/>
      </c>
      <c r="AW763" s="1030">
        <f t="shared" si="47"/>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48"/>
        <v>H49900</v>
      </c>
      <c r="AK764" s="1030" t="str">
        <f t="shared" si="48"/>
        <v>CT AUTRE DEPARTEMENT</v>
      </c>
      <c r="AL764" s="1030" t="str">
        <f>IFERROR(INDEX(G764:R764,1,MATCH(Parametres!$B$3,G$1:R$1,0)-1)*IF(OR(F764="L",F764="S",F764="I"),-1,1),"")</f>
        <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46"/>
        <v>H49900</v>
      </c>
      <c r="AU764" s="599" t="str">
        <f t="shared" si="46"/>
        <v>CT AUTRE DEPARTEMENT</v>
      </c>
      <c r="AV764" s="1030" t="str">
        <f>IFERROR(INDEX(V764:AG764,1,MATCH(Parametres!$B$3,V$1:AG$1,0)-1)*IF(OR(C764="L",C764="S",C764="I"),-1,1),"")</f>
        <v/>
      </c>
      <c r="AW764" s="1030">
        <f t="shared" si="47"/>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48"/>
        <v>H50100</v>
      </c>
      <c r="AK765" s="1030" t="str">
        <f t="shared" si="48"/>
        <v>SALAIRE - PROPRIETAIRE</v>
      </c>
      <c r="AL765" s="1030" t="str">
        <f>IFERROR(INDEX(G765:R765,1,MATCH(Parametres!$B$3,G$1:R$1,0)-1)*IF(OR(F765="L",F765="S",F765="I"),-1,1),"")</f>
        <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46"/>
        <v>H50100</v>
      </c>
      <c r="AU765" s="599" t="str">
        <f t="shared" si="46"/>
        <v>SALAIRE - PROPRIETAIRE</v>
      </c>
      <c r="AV765" s="1030" t="str">
        <f>IFERROR(INDEX(V765:AG765,1,MATCH(Parametres!$B$3,V$1:AG$1,0)-1)*IF(OR(C765="L",C765="S",C765="I"),-1,1),"")</f>
        <v/>
      </c>
      <c r="AW765" s="1030">
        <f t="shared" si="47"/>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48"/>
        <v>H60100</v>
      </c>
      <c r="AK766" s="1030" t="str">
        <f t="shared" si="48"/>
        <v>ESC COMPTANTS REALISES</v>
      </c>
      <c r="AL766" s="1030" t="str">
        <f>IFERROR(INDEX(G766:R766,1,MATCH(Parametres!$B$3,G$1:R$1,0)-1)*IF(OR(F766="L",F766="S",F766="I"),-1,1),"")</f>
        <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46"/>
        <v>H60100</v>
      </c>
      <c r="AU766" s="599" t="str">
        <f t="shared" si="46"/>
        <v>ESC COMPTANTS REALISES</v>
      </c>
      <c r="AV766" s="1030" t="str">
        <f>IFERROR(INDEX(V766:AG766,1,MATCH(Parametres!$B$3,V$1:AG$1,0)-1)*IF(OR(C766="L",C766="S",C766="I"),-1,1),"")</f>
        <v/>
      </c>
      <c r="AW766" s="1030">
        <f t="shared" si="47"/>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48"/>
        <v>H60200</v>
      </c>
      <c r="AK767" s="1030" t="str">
        <f t="shared" si="48"/>
        <v>INTERETS CREDITEURS</v>
      </c>
      <c r="AL767" s="1030" t="str">
        <f>IFERROR(INDEX(G767:R767,1,MATCH(Parametres!$B$3,G$1:R$1,0)-1)*IF(OR(F767="L",F767="S",F767="I"),-1,1),"")</f>
        <v/>
      </c>
      <c r="AM767" s="1030">
        <f t="shared" si="45"/>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46"/>
        <v>H60200</v>
      </c>
      <c r="AU767" s="599" t="str">
        <f t="shared" si="46"/>
        <v>INTERETS CREDITEURS</v>
      </c>
      <c r="AV767" s="1030" t="str">
        <f>IFERROR(INDEX(V767:AG767,1,MATCH(Parametres!$B$3,V$1:AG$1,0)-1)*IF(OR(C767="L",C767="S",C767="I"),-1,1),"")</f>
        <v/>
      </c>
      <c r="AW767" s="1030">
        <f t="shared" si="47"/>
        <v>0</v>
      </c>
      <c r="AX767" s="1030">
        <f>INDEX(V767:AG767,1,MATCH(Parametres!$B$3,V$1:AG$1,0))*IF(OR(C767="L",C767="S",C767="I"),-1,1)</f>
        <v>0</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48"/>
        <v>H60400</v>
      </c>
      <c r="AK768" s="1030" t="str">
        <f t="shared" si="48"/>
        <v>MAUVAISES CREANCES RECOUV</v>
      </c>
      <c r="AL768" s="1030" t="str">
        <f>IFERROR(INDEX(G768:R768,1,MATCH(Parametres!$B$3,G$1:R$1,0)-1)*IF(OR(F768="L",F768="S",F768="I"),-1,1),"")</f>
        <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46"/>
        <v>H60400</v>
      </c>
      <c r="AU768" s="599" t="str">
        <f t="shared" si="46"/>
        <v>MAUVAISES CREANCES RECOUV</v>
      </c>
      <c r="AV768" s="1030" t="str">
        <f>IFERROR(INDEX(V768:AG768,1,MATCH(Parametres!$B$3,V$1:AG$1,0)-1)*IF(OR(C768="L",C768="S",C768="I"),-1,1),"")</f>
        <v/>
      </c>
      <c r="AW768" s="1030">
        <f t="shared" si="47"/>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48"/>
        <v>H60500</v>
      </c>
      <c r="AK769" s="1030" t="str">
        <f t="shared" si="48"/>
        <v>HOLD BACK</v>
      </c>
      <c r="AL769" s="1030" t="str">
        <f>IFERROR(INDEX(G769:R769,1,MATCH(Parametres!$B$3,G$1:R$1,0)-1)*IF(OR(F769="L",F769="S",F769="I"),-1,1),"")</f>
        <v/>
      </c>
      <c r="AM769" s="1030">
        <f t="shared" si="45"/>
        <v>-116817</v>
      </c>
      <c r="AN769" s="1030">
        <f>INDEX(G769:R769,1,MATCH(Parametres!$B$3,G$1:R$1,0))*IF(OR(F769="L",F769="S",F769="I"),-1,1)</f>
        <v>-116817</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46"/>
        <v>H60500</v>
      </c>
      <c r="AU769" s="599" t="str">
        <f t="shared" si="46"/>
        <v>HOLD BACK</v>
      </c>
      <c r="AV769" s="1030" t="str">
        <f>IFERROR(INDEX(V769:AG769,1,MATCH(Parametres!$B$3,V$1:AG$1,0)-1)*IF(OR(C769="L",C769="S",C769="I"),-1,1),"")</f>
        <v/>
      </c>
      <c r="AW769" s="1030">
        <f t="shared" si="47"/>
        <v>1</v>
      </c>
      <c r="AX769" s="1030">
        <f>INDEX(V769:AG769,1,MATCH(Parametres!$B$3,V$1:AG$1,0))*IF(OR(C769="L",C769="S",C769="I"),-1,1)</f>
        <v>1</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48"/>
        <v>H60600</v>
      </c>
      <c r="AK770" s="1030" t="str">
        <f t="shared" si="48"/>
        <v>COMMISSION - TAXE VENTES</v>
      </c>
      <c r="AL770" s="1030" t="str">
        <f>IFERROR(INDEX(G770:R770,1,MATCH(Parametres!$B$3,G$1:R$1,0)-1)*IF(OR(F770="L",F770="S",F770="I"),-1,1),"")</f>
        <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46"/>
        <v>H60600</v>
      </c>
      <c r="AU770" s="599" t="str">
        <f t="shared" si="46"/>
        <v>COMMISSION - TAXE VENTES</v>
      </c>
      <c r="AV770" s="1030" t="str">
        <f>IFERROR(INDEX(V770:AG770,1,MATCH(Parametres!$B$3,V$1:AG$1,0)-1)*IF(OR(C770="L",C770="S",C770="I"),-1,1),"")</f>
        <v/>
      </c>
      <c r="AW770" s="1030">
        <f t="shared" si="47"/>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48"/>
        <v>H60700</v>
      </c>
      <c r="AK771" s="1030" t="str">
        <f t="shared" si="48"/>
        <v>REVENU DE LOCATION CL LT</v>
      </c>
      <c r="AL771" s="1030" t="str">
        <f>IFERROR(INDEX(G771:R771,1,MATCH(Parametres!$B$3,G$1:R$1,0)-1)*IF(OR(F771="L",F771="S",F771="I"),-1,1),"")</f>
        <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46"/>
        <v>H60700</v>
      </c>
      <c r="AU771" s="599" t="str">
        <f t="shared" si="46"/>
        <v>REVENU DE LOCATION CL LT</v>
      </c>
      <c r="AV771" s="1030" t="str">
        <f>IFERROR(INDEX(V771:AG771,1,MATCH(Parametres!$B$3,V$1:AG$1,0)-1)*IF(OR(C771="L",C771="S",C771="I"),-1,1),"")</f>
        <v/>
      </c>
      <c r="AW771" s="1030">
        <f t="shared" si="47"/>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48"/>
        <v>H60900</v>
      </c>
      <c r="AK772" s="1030" t="str">
        <f t="shared" si="48"/>
        <v>RECOMPENSE ISC</v>
      </c>
      <c r="AL772" s="1030" t="str">
        <f>IFERROR(INDEX(G772:R772,1,MATCH(Parametres!$B$3,G$1:R$1,0)-1)*IF(OR(F772="L",F772="S",F772="I"),-1,1),"")</f>
        <v/>
      </c>
      <c r="AM772" s="1030">
        <f t="shared" ref="AM772:AM792" si="49">AN772-N(AL772)</f>
        <v>-28000</v>
      </c>
      <c r="AN772" s="1030">
        <f>INDEX(G772:R772,1,MATCH(Parametres!$B$3,G$1:R$1,0))*IF(OR(F772="L",F772="S",F772="I"),-1,1)</f>
        <v>-28000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U794" si="50">C772</f>
        <v>H60900</v>
      </c>
      <c r="AU772" s="599" t="str">
        <f t="shared" si="50"/>
        <v>RECOMPENSE ISC</v>
      </c>
      <c r="AV772" s="1030" t="str">
        <f>IFERROR(INDEX(V772:AG772,1,MATCH(Parametres!$B$3,V$1:AG$1,0)-1)*IF(OR(C772="L",C772="S",C772="I"),-1,1),"")</f>
        <v/>
      </c>
      <c r="AW772" s="1030">
        <f t="shared" ref="AW772:AW794" si="51">AX772-N(AV772)</f>
        <v>1</v>
      </c>
      <c r="AX772" s="1030">
        <f>INDEX(V772:AG772,1,MATCH(Parametres!$B$3,V$1:AG$1,0))*IF(OR(C772="L",C772="S",C772="I"),-1,1)</f>
        <v>1</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48"/>
        <v>H61000</v>
      </c>
      <c r="AK773" s="1030" t="str">
        <f t="shared" si="48"/>
        <v>RECETTES DIVERSES</v>
      </c>
      <c r="AL773" s="1030" t="str">
        <f>IFERROR(INDEX(G773:R773,1,MATCH(Parametres!$B$3,G$1:R$1,0)-1)*IF(OR(F773="L",F773="S",F773="I"),-1,1),"")</f>
        <v/>
      </c>
      <c r="AM773" s="1030">
        <f t="shared" si="49"/>
        <v>-9852.89</v>
      </c>
      <c r="AN773" s="1030">
        <f>INDEX(G773:R773,1,MATCH(Parametres!$B$3,G$1:R$1,0))*IF(OR(F773="L",F773="S",F773="I"),-1,1)</f>
        <v>-9852.89</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50"/>
        <v>H61000</v>
      </c>
      <c r="AU773" s="599" t="str">
        <f t="shared" si="50"/>
        <v>RECETTES DIVERSES</v>
      </c>
      <c r="AV773" s="1030" t="str">
        <f>IFERROR(INDEX(V773:AG773,1,MATCH(Parametres!$B$3,V$1:AG$1,0)-1)*IF(OR(C773="L",C773="S",C773="I"),-1,1),"")</f>
        <v/>
      </c>
      <c r="AW773" s="1030">
        <f t="shared" si="51"/>
        <v>5</v>
      </c>
      <c r="AX773" s="1030">
        <f>INDEX(V773:AG773,1,MATCH(Parametres!$B$3,V$1:AG$1,0))*IF(OR(C773="L",C773="S",C773="I"),-1,1)</f>
        <v>5</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48"/>
        <v>H61100</v>
      </c>
      <c r="AK774" s="1030" t="str">
        <f t="shared" si="48"/>
        <v>AMORT DES ACTIFS INCORPOR</v>
      </c>
      <c r="AL774" s="1030" t="str">
        <f>IFERROR(INDEX(G774:R774,1,MATCH(Parametres!$B$3,G$1:R$1,0)-1)*IF(OR(F774="L",F774="S",F774="I"),-1,1),"")</f>
        <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50"/>
        <v>H61100</v>
      </c>
      <c r="AU774" s="599" t="str">
        <f t="shared" si="50"/>
        <v>AMORT DES ACTIFS INCORPOR</v>
      </c>
      <c r="AV774" s="1030" t="str">
        <f>IFERROR(INDEX(V774:AG774,1,MATCH(Parametres!$B$3,V$1:AG$1,0)-1)*IF(OR(C774="L",C774="S",C774="I"),-1,1),"")</f>
        <v/>
      </c>
      <c r="AW774" s="1030">
        <f t="shared" si="51"/>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48"/>
        <v>H61800</v>
      </c>
      <c r="AK775" s="1030" t="str">
        <f t="shared" si="48"/>
        <v>GENESIS RX SUPPORT</v>
      </c>
      <c r="AL775" s="1030" t="str">
        <f>IFERROR(INDEX(G775:R775,1,MATCH(Parametres!$B$3,G$1:R$1,0)-1)*IF(OR(F775="L",F775="S",F775="I"),-1,1),"")</f>
        <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50"/>
        <v>H61800</v>
      </c>
      <c r="AU775" s="599" t="str">
        <f t="shared" si="50"/>
        <v>GENESIS RX SUPPORT</v>
      </c>
      <c r="AV775" s="1030" t="str">
        <f>IFERROR(INDEX(V775:AG775,1,MATCH(Parametres!$B$3,V$1:AG$1,0)-1)*IF(OR(C775="L",C775="S",C775="I"),-1,1),"")</f>
        <v/>
      </c>
      <c r="AW775" s="1030">
        <f t="shared" si="51"/>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48"/>
        <v>H70100</v>
      </c>
      <c r="AK776" s="1030" t="str">
        <f t="shared" si="48"/>
        <v>FRAIS BANCAIRES &amp; AUTRES</v>
      </c>
      <c r="AL776" s="1030" t="str">
        <f>IFERROR(INDEX(G776:R776,1,MATCH(Parametres!$B$3,G$1:R$1,0)-1)*IF(OR(F776="L",F776="S",F776="I"),-1,1),"")</f>
        <v/>
      </c>
      <c r="AM776" s="1030">
        <f t="shared" si="49"/>
        <v>5410.24</v>
      </c>
      <c r="AN776" s="1030">
        <f>INDEX(G776:R776,1,MATCH(Parametres!$B$3,G$1:R$1,0))*IF(OR(F776="L",F776="S",F776="I"),-1,1)</f>
        <v>5410.24</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50"/>
        <v>H70100</v>
      </c>
      <c r="AU776" s="599" t="str">
        <f t="shared" si="50"/>
        <v>FRAIS BANCAIRES &amp; AUTRES</v>
      </c>
      <c r="AV776" s="1030" t="str">
        <f>IFERROR(INDEX(V776:AG776,1,MATCH(Parametres!$B$3,V$1:AG$1,0)-1)*IF(OR(C776="L",C776="S",C776="I"),-1,1),"")</f>
        <v/>
      </c>
      <c r="AW776" s="1030">
        <f t="shared" si="51"/>
        <v>0</v>
      </c>
      <c r="AX776" s="1030">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48"/>
        <v>H70200</v>
      </c>
      <c r="AK777" s="1030" t="str">
        <f t="shared" si="48"/>
        <v>INTERET - PRET A TERME TD</v>
      </c>
      <c r="AL777" s="1030" t="str">
        <f>IFERROR(INDEX(G777:R777,1,MATCH(Parametres!$B$3,G$1:R$1,0)-1)*IF(OR(F777="L",F777="S",F777="I"),-1,1),"")</f>
        <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50"/>
        <v>H70200</v>
      </c>
      <c r="AU777" s="599" t="str">
        <f t="shared" si="50"/>
        <v>INTERET - PRET A TERME TD</v>
      </c>
      <c r="AV777" s="1030" t="str">
        <f>IFERROR(INDEX(V777:AG777,1,MATCH(Parametres!$B$3,V$1:AG$1,0)-1)*IF(OR(C777="L",C777="S",C777="I"),-1,1),"")</f>
        <v/>
      </c>
      <c r="AW777" s="1030">
        <f t="shared" si="51"/>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48"/>
        <v>H70300</v>
      </c>
      <c r="AK778" s="1030" t="str">
        <f t="shared" si="48"/>
        <v>INT SOLDE DE PRIX VENTE</v>
      </c>
      <c r="AL778" s="1030" t="str">
        <f>IFERROR(INDEX(G778:R778,1,MATCH(Parametres!$B$3,G$1:R$1,0)-1)*IF(OR(F778="L",F778="S",F778="I"),-1,1),"")</f>
        <v/>
      </c>
      <c r="AM778" s="1030">
        <f t="shared" si="49"/>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50"/>
        <v>H70300</v>
      </c>
      <c r="AU778" s="599" t="str">
        <f t="shared" si="50"/>
        <v>INT SOLDE DE PRIX VENTE</v>
      </c>
      <c r="AV778" s="1030" t="str">
        <f>IFERROR(INDEX(V778:AG778,1,MATCH(Parametres!$B$3,V$1:AG$1,0)-1)*IF(OR(C778="L",C778="S",C778="I"),-1,1),"")</f>
        <v/>
      </c>
      <c r="AW778" s="1030">
        <f t="shared" si="51"/>
        <v>0</v>
      </c>
      <c r="AX778" s="1030">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48"/>
        <v>H70400</v>
      </c>
      <c r="AK779" s="1030" t="str">
        <f t="shared" si="48"/>
        <v>FRAIS RECOUV. CREANCES</v>
      </c>
      <c r="AL779" s="1030" t="str">
        <f>IFERROR(INDEX(G779:R779,1,MATCH(Parametres!$B$3,G$1:R$1,0)-1)*IF(OR(F779="L",F779="S",F779="I"),-1,1),"")</f>
        <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50"/>
        <v>H70400</v>
      </c>
      <c r="AU779" s="599" t="str">
        <f t="shared" si="50"/>
        <v>FRAIS RECOUV. CREANCES</v>
      </c>
      <c r="AV779" s="1030" t="str">
        <f>IFERROR(INDEX(V779:AG779,1,MATCH(Parametres!$B$3,V$1:AG$1,0)-1)*IF(OR(C779="L",C779="S",C779="I"),-1,1),"")</f>
        <v/>
      </c>
      <c r="AW779" s="1030">
        <f t="shared" si="51"/>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48"/>
        <v>H70600</v>
      </c>
      <c r="AK780" s="1030" t="str">
        <f t="shared" si="48"/>
        <v>JETONS DE PRESENCES</v>
      </c>
      <c r="AL780" s="1030" t="str">
        <f>IFERROR(INDEX(G780:R780,1,MATCH(Parametres!$B$3,G$1:R$1,0)-1)*IF(OR(F780="L",F780="S",F780="I"),-1,1),"")</f>
        <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50"/>
        <v>H70600</v>
      </c>
      <c r="AU780" s="599" t="str">
        <f t="shared" si="50"/>
        <v>JETONS DE PRESENCES</v>
      </c>
      <c r="AV780" s="1030" t="str">
        <f>IFERROR(INDEX(V780:AG780,1,MATCH(Parametres!$B$3,V$1:AG$1,0)-1)*IF(OR(C780="L",C780="S",C780="I"),-1,1),"")</f>
        <v/>
      </c>
      <c r="AW780" s="1030">
        <f t="shared" si="51"/>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48"/>
        <v>H70700</v>
      </c>
      <c r="AK781" s="1030" t="str">
        <f t="shared" si="48"/>
        <v>FRAIS LOCATION CL LT</v>
      </c>
      <c r="AL781" s="1030" t="str">
        <f>IFERROR(INDEX(G781:R781,1,MATCH(Parametres!$B$3,G$1:R$1,0)-1)*IF(OR(F781="L",F781="S",F781="I"),-1,1),"")</f>
        <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50"/>
        <v>H70700</v>
      </c>
      <c r="AU781" s="599" t="str">
        <f t="shared" si="50"/>
        <v>FRAIS LOCATION CL LT</v>
      </c>
      <c r="AV781" s="1030" t="str">
        <f>IFERROR(INDEX(V781:AG781,1,MATCH(Parametres!$B$3,V$1:AG$1,0)-1)*IF(OR(C781="L",C781="S",C781="I"),-1,1),"")</f>
        <v/>
      </c>
      <c r="AW781" s="1030">
        <f t="shared" si="51"/>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48"/>
        <v>H70800</v>
      </c>
      <c r="AK782" s="1030" t="str">
        <f t="shared" si="48"/>
        <v>INTERET IMPOTS DEPENSES</v>
      </c>
      <c r="AL782" s="1030" t="str">
        <f>IFERROR(INDEX(G782:R782,1,MATCH(Parametres!$B$3,G$1:R$1,0)-1)*IF(OR(F782="L",F782="S",F782="I"),-1,1),"")</f>
        <v/>
      </c>
      <c r="AM782" s="1030">
        <f t="shared" si="49"/>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50"/>
        <v>H70800</v>
      </c>
      <c r="AU782" s="599" t="str">
        <f t="shared" si="50"/>
        <v>INTERET IMPOTS DEPENSES</v>
      </c>
      <c r="AV782" s="1030" t="str">
        <f>IFERROR(INDEX(V782:AG782,1,MATCH(Parametres!$B$3,V$1:AG$1,0)-1)*IF(OR(C782="L",C782="S",C782="I"),-1,1),"")</f>
        <v/>
      </c>
      <c r="AW782" s="1030">
        <f t="shared" si="51"/>
        <v>0</v>
      </c>
      <c r="AX782" s="1030">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48"/>
        <v>H70900</v>
      </c>
      <c r="AK783" s="1030" t="str">
        <f t="shared" si="48"/>
        <v>IMPÔTS EXIGIBLES</v>
      </c>
      <c r="AL783" s="1030" t="str">
        <f>IFERROR(INDEX(G783:R783,1,MATCH(Parametres!$B$3,G$1:R$1,0)-1)*IF(OR(F783="L",F783="S",F783="I"),-1,1),"")</f>
        <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50"/>
        <v>H70900</v>
      </c>
      <c r="AU783" s="599" t="str">
        <f t="shared" si="50"/>
        <v>IMPÔTS EXIGIBLES</v>
      </c>
      <c r="AV783" s="1030" t="str">
        <f>IFERROR(INDEX(V783:AG783,1,MATCH(Parametres!$B$3,V$1:AG$1,0)-1)*IF(OR(C783="L",C783="S",C783="I"),-1,1),"")</f>
        <v/>
      </c>
      <c r="AW783" s="1030">
        <f t="shared" si="51"/>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48"/>
        <v>H70910</v>
      </c>
      <c r="AK784" s="1030" t="str">
        <f t="shared" si="48"/>
        <v>IMPÔTS FUTURES</v>
      </c>
      <c r="AL784" s="1030" t="str">
        <f>IFERROR(INDEX(G784:R784,1,MATCH(Parametres!$B$3,G$1:R$1,0)-1)*IF(OR(F784="L",F784="S",F784="I"),-1,1),"")</f>
        <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50"/>
        <v>H70910</v>
      </c>
      <c r="AU784" s="599" t="str">
        <f t="shared" si="50"/>
        <v>IMPÔTS FUTURES</v>
      </c>
      <c r="AV784" s="1030" t="str">
        <f>IFERROR(INDEX(V784:AG784,1,MATCH(Parametres!$B$3,V$1:AG$1,0)-1)*IF(OR(C784="L",C784="S",C784="I"),-1,1),"")</f>
        <v/>
      </c>
      <c r="AW784" s="1030">
        <f t="shared" si="51"/>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48"/>
        <v>H70999</v>
      </c>
      <c r="AK785" s="1030" t="str">
        <f t="shared" si="48"/>
        <v>DUMMY ACCT FOR AGIB</v>
      </c>
      <c r="AL785" s="1030" t="str">
        <f>IFERROR(INDEX(G785:R785,1,MATCH(Parametres!$B$3,G$1:R$1,0)-1)*IF(OR(F785="L",F785="S",F785="I"),-1,1),"")</f>
        <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50"/>
        <v>H70999</v>
      </c>
      <c r="AU785" s="599" t="str">
        <f t="shared" si="50"/>
        <v>DUMMY ACCT FOR AGIB</v>
      </c>
      <c r="AV785" s="1030" t="str">
        <f>IFERROR(INDEX(V785:AG785,1,MATCH(Parametres!$B$3,V$1:AG$1,0)-1)*IF(OR(C785="L",C785="S",C785="I"),-1,1),"")</f>
        <v/>
      </c>
      <c r="AW785" s="1030">
        <f t="shared" si="51"/>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48"/>
        <v>H71000</v>
      </c>
      <c r="AK786" s="1030" t="str">
        <f t="shared" si="48"/>
        <v>FRAIS DIVERS</v>
      </c>
      <c r="AL786" s="1030" t="str">
        <f>IFERROR(INDEX(G786:R786,1,MATCH(Parametres!$B$3,G$1:R$1,0)-1)*IF(OR(F786="L",F786="S",F786="I"),-1,1),"")</f>
        <v/>
      </c>
      <c r="AM786" s="1030">
        <f t="shared" si="49"/>
        <v>0</v>
      </c>
      <c r="AN786" s="1030">
        <f>INDEX(G786:R786,1,MATCH(Parametres!$B$3,G$1:R$1,0))*IF(OR(F786="L",F786="S",F786="I"),-1,1)</f>
        <v>0</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50"/>
        <v>H71000</v>
      </c>
      <c r="AU786" s="599" t="str">
        <f t="shared" si="50"/>
        <v>FRAIS DIVERS</v>
      </c>
      <c r="AV786" s="1030" t="str">
        <f>IFERROR(INDEX(V786:AG786,1,MATCH(Parametres!$B$3,V$1:AG$1,0)-1)*IF(OR(C786="L",C786="S",C786="I"),-1,1),"")</f>
        <v/>
      </c>
      <c r="AW786" s="1030">
        <f t="shared" si="51"/>
        <v>0</v>
      </c>
      <c r="AX786" s="1030">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si="48"/>
        <v>H72000</v>
      </c>
      <c r="AK787" s="1030" t="str">
        <f t="shared" si="48"/>
        <v>IMPOT FUTUR</v>
      </c>
      <c r="AL787" s="1030" t="str">
        <f>IFERROR(INDEX(G787:R787,1,MATCH(Parametres!$B$3,G$1:R$1,0)-1)*IF(OR(F787="L",F787="S",F787="I"),-1,1),"")</f>
        <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50"/>
        <v>H72000</v>
      </c>
      <c r="AU787" s="599" t="str">
        <f t="shared" si="50"/>
        <v>IMPOT FUTUR</v>
      </c>
      <c r="AV787" s="1030" t="str">
        <f>IFERROR(INDEX(V787:AG787,1,MATCH(Parametres!$B$3,V$1:AG$1,0)-1)*IF(OR(C787="L",C787="S",C787="I"),-1,1),"")</f>
        <v/>
      </c>
      <c r="AW787" s="1030">
        <f t="shared" si="51"/>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ref="AJ788:AK792" si="52">C788</f>
        <v>H90100</v>
      </c>
      <c r="AK788" s="1030" t="str">
        <f t="shared" si="52"/>
        <v>IMPOT SUR REVENU ESTIME</v>
      </c>
      <c r="AL788" s="1030" t="str">
        <f>IFERROR(INDEX(G788:R788,1,MATCH(Parametres!$B$3,G$1:R$1,0)-1)*IF(OR(F788="L",F788="S",F788="I"),-1,1),"")</f>
        <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50"/>
        <v>H90100</v>
      </c>
      <c r="AU788" s="599" t="str">
        <f t="shared" si="50"/>
        <v>IMPOT SUR REVENU ESTIME</v>
      </c>
      <c r="AV788" s="1030" t="str">
        <f>IFERROR(INDEX(V788:AG788,1,MATCH(Parametres!$B$3,V$1:AG$1,0)-1)*IF(OR(C788="L",C788="S",C788="I"),-1,1),"")</f>
        <v/>
      </c>
      <c r="AW788" s="1030">
        <f t="shared" si="51"/>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52"/>
        <v>H95000</v>
      </c>
      <c r="AK789" s="1030" t="str">
        <f t="shared" si="52"/>
        <v>IMPOTS EXIGIBLES</v>
      </c>
      <c r="AL789" s="1030" t="str">
        <f>IFERROR(INDEX(G789:R789,1,MATCH(Parametres!$B$3,G$1:R$1,0)-1)*IF(OR(F789="L",F789="S",F789="I"),-1,1),"")</f>
        <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50"/>
        <v>H95000</v>
      </c>
      <c r="AU789" s="599" t="str">
        <f t="shared" si="50"/>
        <v>IMPOTS EXIGIBLES</v>
      </c>
      <c r="AV789" s="1030" t="str">
        <f>IFERROR(INDEX(V789:AG789,1,MATCH(Parametres!$B$3,V$1:AG$1,0)-1)*IF(OR(C789="L",C789="S",C789="I"),-1,1),"")</f>
        <v/>
      </c>
      <c r="AW789" s="1030">
        <f t="shared" si="51"/>
        <v>0</v>
      </c>
      <c r="AX789" s="1030">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52"/>
        <v>H99997</v>
      </c>
      <c r="AK790" s="1030" t="str">
        <f t="shared" si="52"/>
        <v>DEPENSES PAIE - IN/OUT</v>
      </c>
      <c r="AL790" s="1030" t="str">
        <f>IFERROR(INDEX(G790:R790,1,MATCH(Parametres!$B$3,G$1:R$1,0)-1)*IF(OR(F790="L",F790="S",F790="I"),-1,1),"")</f>
        <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50"/>
        <v>H99997</v>
      </c>
      <c r="AU790" s="599" t="str">
        <f t="shared" si="50"/>
        <v>DEPENSES PAIE - IN/OUT</v>
      </c>
      <c r="AV790" s="1030" t="str">
        <f>IFERROR(INDEX(V790:AG790,1,MATCH(Parametres!$B$3,V$1:AG$1,0)-1)*IF(OR(C790="L",C790="S",C790="I"),-1,1),"")</f>
        <v/>
      </c>
      <c r="AW790" s="1030">
        <f t="shared" si="51"/>
        <v>0</v>
      </c>
      <c r="AX790" s="1030">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52"/>
        <v>H99998</v>
      </c>
      <c r="AK791" s="1030" t="str">
        <f t="shared" si="52"/>
        <v>DOCUMENTS CANCELLES</v>
      </c>
      <c r="AL791" s="1030" t="str">
        <f>IFERROR(INDEX(G791:R791,1,MATCH(Parametres!$B$3,G$1:R$1,0)-1)*IF(OR(F791="L",F791="S",F791="I"),-1,1),"")</f>
        <v/>
      </c>
      <c r="AM791" s="1030">
        <f t="shared" si="49"/>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50"/>
        <v>H99998</v>
      </c>
      <c r="AU791" s="599" t="str">
        <f t="shared" si="50"/>
        <v>DOCUMENTS CANCELLES</v>
      </c>
      <c r="AV791" s="1030" t="str">
        <f>IFERROR(INDEX(V791:AG791,1,MATCH(Parametres!$B$3,V$1:AG$1,0)-1)*IF(OR(C791="L",C791="S",C791="I"),-1,1),"")</f>
        <v/>
      </c>
      <c r="AW791" s="1030">
        <f t="shared" si="51"/>
        <v>0</v>
      </c>
      <c r="AX791" s="1030">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52"/>
        <v>H99999</v>
      </c>
      <c r="AK792" s="1030" t="str">
        <f t="shared" si="52"/>
        <v>POST PROFIT/LOSS HISTORY</v>
      </c>
      <c r="AL792" s="1030" t="str">
        <f>IFERROR(INDEX(G792:R792,1,MATCH(Parametres!$B$3,G$1:R$1,0)-1)*IF(OR(F792="L",F792="S",F792="I"),-1,1),"")</f>
        <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50"/>
        <v>H99999</v>
      </c>
      <c r="AU792" s="599" t="str">
        <f t="shared" si="50"/>
        <v>POST PROFIT/LOSS HISTORY</v>
      </c>
      <c r="AV792" s="1030" t="str">
        <f>IFERROR(INDEX(V792:AG792,1,MATCH(Parametres!$B$3,V$1:AG$1,0)-1)*IF(OR(C792="L",C792="S",C792="I"),-1,1),"")</f>
        <v/>
      </c>
      <c r="AW792" s="1030">
        <f t="shared" si="51"/>
        <v>0</v>
      </c>
      <c r="AX792" s="1030">
        <f>INDEX(V792:AG792,1,MATCH(Parametres!$B$3,V$1:AG$1,0))*IF(OR(C792="L",C792="S",C792="I"),-1,1)</f>
        <v>0</v>
      </c>
      <c r="AY792" s="598" t="s">
        <v>337</v>
      </c>
      <c r="AZ792" s="598" t="e">
        <f>+VLOOKUP($AJ792,Data_Validation!$A:$E,5,0)</f>
        <v>#N/A</v>
      </c>
    </row>
    <row r="793" spans="1:52" ht="15" customHeight="1">
      <c r="AT793" s="1036">
        <f t="shared" si="50"/>
        <v>0</v>
      </c>
      <c r="AU793" s="599">
        <f t="shared" si="50"/>
        <v>0</v>
      </c>
      <c r="AV793" s="1030" t="str">
        <f>IFERROR(INDEX(V793:AG793,1,MATCH(Parametres!$B$3,V$1:AG$1,0)-1)*IF(OR(C793="L",C793="S",C793="I"),-1,1),"")</f>
        <v/>
      </c>
      <c r="AW793" s="1030">
        <f t="shared" si="51"/>
        <v>0</v>
      </c>
      <c r="AX793" s="1030">
        <f>INDEX(V793:AG793,1,MATCH(Parametres!$B$3,V$1:AG$1,0))*IF(OR(C793="L",C793="S",C793="I"),-1,1)</f>
        <v>0</v>
      </c>
      <c r="AY793" s="598" t="s">
        <v>337</v>
      </c>
      <c r="AZ793" s="598" t="e">
        <f>+VLOOKUP($AJ793,Data_Validation!$A:$E,5,0)</f>
        <v>#N/A</v>
      </c>
    </row>
    <row r="794" spans="1:52" ht="15" customHeight="1">
      <c r="AT794" s="1036">
        <f t="shared" si="50"/>
        <v>0</v>
      </c>
      <c r="AU794" s="599">
        <f t="shared" si="50"/>
        <v>0</v>
      </c>
      <c r="AV794" s="1030" t="str">
        <f>IFERROR(INDEX(V794:AG794,1,MATCH(Parametres!$B$3,V$1:AG$1,0)-1)*IF(OR(C794="L",C794="S",C794="I"),-1,1),"")</f>
        <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2026-09-28T14:45:23Z</dcterms:modified>
</cp:coreProperties>
</file>