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user\Google Drive\1 - Volkwagen\PARK AVENUE VOLKSWAGEN\5 Réalisé\2022\"/>
    </mc:Choice>
  </mc:AlternateContent>
  <xr:revisionPtr revIDLastSave="0" documentId="13_ncr:1_{4709D7CE-721D-43E2-8F6F-815D4F912D3E}" xr6:coauthVersionLast="47" xr6:coauthVersionMax="47" xr10:uidLastSave="{00000000-0000-0000-0000-000000000000}"/>
  <bookViews>
    <workbookView xWindow="-120" yWindow="-120" windowWidth="29040" windowHeight="15840" tabRatio="723" activeTab="6" xr2:uid="{00000000-000D-0000-FFFF-FFFF00000000}"/>
  </bookViews>
  <sheets>
    <sheet name="Parametres" sheetId="1" r:id="rId1"/>
    <sheet name="Bilan" sheetId="2" r:id="rId2"/>
    <sheet name="Budget original" sheetId="15" r:id="rId3"/>
    <sheet name="2pager" sheetId="19" r:id="rId4"/>
    <sheet name="Budget révisé" sheetId="16" r:id="rId5"/>
    <sheet name="Capex" sheetId="23" r:id="rId6"/>
    <sheet name="Print_Mois" sheetId="3" r:id="rId7"/>
    <sheet name="Print_AAD" sheetId="17" r:id="rId8"/>
    <sheet name="Inventaire_Neuf" sheetId="21" r:id="rId9"/>
    <sheet name="Inventaire_Used" sheetId="22" r:id="rId10"/>
    <sheet name="BV_Data_An_Cour" sheetId="5" r:id="rId11"/>
    <sheet name="Data_Validation" sheetId="10" r:id="rId12"/>
    <sheet name="BV_Data_An_Prec" sheetId="14" r:id="rId13"/>
    <sheet name="Feuil1" sheetId="20" r:id="rId14"/>
  </sheets>
  <externalReferences>
    <externalReference r:id="rId15"/>
    <externalReference r:id="rId16"/>
    <externalReference r:id="rId17"/>
    <externalReference r:id="rId18"/>
  </externalReferences>
  <definedNames>
    <definedName name="_Dates_Conc">[1]Dealers!$BF$37:$KA$63</definedName>
    <definedName name="_xlnm._FilterDatabase" localSheetId="10" hidden="1">BV_Data_An_Cour!$A$1:$X$1054</definedName>
    <definedName name="_xlnm._FilterDatabase" localSheetId="12" hidden="1">BV_Data_An_Prec!$A$1:$X$1055</definedName>
    <definedName name="_xlnm._FilterDatabase" localSheetId="11" hidden="1">Data_Validation!$A$1:$G$895</definedName>
    <definedName name="_xlnm._FilterDatabase" localSheetId="13" hidden="1">Feuil1!$A$1:$D$1</definedName>
    <definedName name="_xlnm._FilterDatabase" localSheetId="8" hidden="1">Inventaire_Neuf!$A$1:$H$26</definedName>
    <definedName name="_xlnm._FilterDatabase" localSheetId="9"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localSheetId="5" hidden="1">{"Page1",#N/A,FALSE,"CompCo";"Page2",#N/A,FALSE,"CompCo"}</definedName>
    <definedName name="Compco1" hidden="1">{"Page1",#N/A,FALSE,"CompCo";"Page2",#N/A,FALSE,"CompCo"}</definedName>
    <definedName name="Compco2" localSheetId="3" hidden="1">{"Page1",#N/A,FALSE,"CompCo";"Page2",#N/A,FALSE,"CompCo"}</definedName>
    <definedName name="Compco2" localSheetId="5"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localSheetId="5"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localSheetId="5" hidden="1">{"finana",#N/A,FALSE,"Fin"}</definedName>
    <definedName name="kjjkghkhj" hidden="1">{"finana",#N/A,FALSE,"Fin"}</definedName>
    <definedName name="limcount" hidden="1">1</definedName>
    <definedName name="lkhkhj" localSheetId="3" hidden="1">{"sub1",#N/A,FALSE,"Subs";"pac1",#N/A,FALSE,"Packages";"rev1",#N/A,FALSE,"2. Revenues"}</definedName>
    <definedName name="lkhkhj" localSheetId="5"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localSheetId="5"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localSheetId="5" hidden="1">{#N/A,#N/A,FALSE,"amendement"}</definedName>
    <definedName name="wrn.amendement." hidden="1">{#N/A,#N/A,FALSE,"amendement"}</definedName>
    <definedName name="wrn.amendement.." localSheetId="3" hidden="1">{#N/A,#N/A,FALSE,"amendement"}</definedName>
    <definedName name="wrn.amendement.." localSheetId="5" hidden="1">{#N/A,#N/A,FALSE,"amendement"}</definedName>
    <definedName name="wrn.amendement.." hidden="1">{#N/A,#N/A,FALSE,"amendement"}</definedName>
    <definedName name="wrn.COMPCO." localSheetId="3" hidden="1">{"Page1",#N/A,FALSE,"CompCo";"Page2",#N/A,FALSE,"CompCo"}</definedName>
    <definedName name="wrn.COMPCO." localSheetId="5"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localSheetId="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localSheetId="5"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localSheetId="5" hidden="1">{"execsum",#N/A,FALSE,"ExecSum";"finstatement",#N/A,FALSE,"Fin_St"}</definedName>
    <definedName name="wrn.execsum." hidden="1">{"execsum",#N/A,FALSE,"ExecSum";"finstatement",#N/A,FALSE,"Fin_St"}</definedName>
    <definedName name="wrn.Finanalysis." localSheetId="3" hidden="1">{"finana",#N/A,FALSE,"Fin"}</definedName>
    <definedName name="wrn.Finanalysis." localSheetId="5"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localSheetId="5"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localSheetId="5"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localSheetId="5"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localSheetId="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localSheetId="5"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original'!$B$1:$AO$500</definedName>
    <definedName name="_xlnm.Print_Area" localSheetId="4">'Budget révisé'!$B$1:$AO$500</definedName>
    <definedName name="_xlnm.Print_Area" localSheetId="5">Capex!$A$1:$T$37</definedName>
    <definedName name="_xlnm.Print_Area" localSheetId="7">Print_AAD!$C$1:$S$352,Print_AAD!$V$401:$AO$497</definedName>
    <definedName name="_xlnm.Print_Area" localSheetId="6">Print_Mois!$C$1:$S$352,Print_Mois!$V$401:$AO$497</definedName>
    <definedName name="_xlnm.Print_Area">#REF!</definedName>
  </definedNames>
  <calcPr calcId="181029" iterate="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58" i="3" l="1"/>
  <c r="J158" i="3"/>
  <c r="K82" i="3"/>
  <c r="E35" i="19"/>
  <c r="D35" i="19"/>
  <c r="AP407" i="17" l="1"/>
  <c r="AP466" i="17"/>
  <c r="AP481" i="17"/>
  <c r="AP483" i="17"/>
  <c r="AP484" i="17"/>
  <c r="AP485" i="17"/>
  <c r="AP486" i="17"/>
  <c r="AP487" i="17"/>
  <c r="AP489" i="17"/>
  <c r="L3" i="22" l="1"/>
  <c r="L3" i="21"/>
  <c r="S12" i="23" l="1"/>
  <c r="P12" i="23"/>
  <c r="M12" i="23"/>
  <c r="J12" i="23"/>
  <c r="S8" i="23"/>
  <c r="P8" i="23"/>
  <c r="M8" i="23"/>
  <c r="J8" i="23"/>
  <c r="S7" i="23"/>
  <c r="P7" i="23"/>
  <c r="M7" i="23"/>
  <c r="J7" i="23"/>
  <c r="A37" i="23" l="1"/>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E37" i="23"/>
  <c r="G37" i="23" s="1"/>
  <c r="E36" i="23"/>
  <c r="G36" i="23" s="1"/>
  <c r="E35" i="23"/>
  <c r="G35" i="23" s="1"/>
  <c r="E34" i="23"/>
  <c r="G34" i="23" s="1"/>
  <c r="G33" i="23"/>
  <c r="E33" i="23"/>
  <c r="E32" i="23"/>
  <c r="G32" i="23" s="1"/>
  <c r="G31" i="23"/>
  <c r="E31" i="23"/>
  <c r="E30" i="23"/>
  <c r="G30" i="23" s="1"/>
  <c r="E29" i="23"/>
  <c r="G29" i="23" s="1"/>
  <c r="E28" i="23"/>
  <c r="G28" i="23" s="1"/>
  <c r="E27" i="23"/>
  <c r="G27" i="23" s="1"/>
  <c r="E26" i="23"/>
  <c r="G26" i="23" s="1"/>
  <c r="G25" i="23"/>
  <c r="E25" i="23"/>
  <c r="E24" i="23"/>
  <c r="G24" i="23" s="1"/>
  <c r="G23" i="23"/>
  <c r="E23" i="23"/>
  <c r="E22" i="23"/>
  <c r="G22" i="23" s="1"/>
  <c r="E21" i="23"/>
  <c r="G21" i="23" s="1"/>
  <c r="E20" i="23"/>
  <c r="G20" i="23" s="1"/>
  <c r="E19" i="23"/>
  <c r="G19" i="23" s="1"/>
  <c r="E18" i="23"/>
  <c r="G18" i="23" s="1"/>
  <c r="G17" i="23"/>
  <c r="E17" i="23"/>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L401" i="15"/>
  <c r="AF399" i="15"/>
  <c r="AE399" i="15" s="1"/>
  <c r="N399" i="15"/>
  <c r="M399" i="15" s="1"/>
  <c r="AO397" i="15"/>
  <c r="AL397" i="15"/>
  <c r="AL399" i="15" s="1"/>
  <c r="AK399" i="15" s="1"/>
  <c r="AK397" i="15"/>
  <c r="AI397" i="15"/>
  <c r="AH397" i="15" s="1"/>
  <c r="AF397" i="15"/>
  <c r="AE397" i="15"/>
  <c r="AC397" i="15"/>
  <c r="Z397" i="15"/>
  <c r="Y397" i="15" s="1"/>
  <c r="W397" i="15"/>
  <c r="V397" i="15" s="1"/>
  <c r="T397" i="15"/>
  <c r="S397" i="15" s="1"/>
  <c r="Q397" i="15"/>
  <c r="Q399" i="15" s="1"/>
  <c r="P399" i="15" s="1"/>
  <c r="N397" i="15"/>
  <c r="M397" i="15"/>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79" i="15" s="1"/>
  <c r="E368" i="15"/>
  <c r="E367" i="15"/>
  <c r="AO364" i="15"/>
  <c r="AM364" i="15"/>
  <c r="AN364" i="15" s="1"/>
  <c r="AL364" i="15"/>
  <c r="AJ364" i="15"/>
  <c r="AK364" i="15" s="1"/>
  <c r="AI364" i="15"/>
  <c r="AH364" i="15"/>
  <c r="AG364" i="15"/>
  <c r="AF364" i="15"/>
  <c r="AE364" i="15"/>
  <c r="AD364" i="15"/>
  <c r="AC364" i="15"/>
  <c r="AA364" i="15"/>
  <c r="AB364" i="15" s="1"/>
  <c r="Z364" i="15"/>
  <c r="X364" i="15"/>
  <c r="Y364" i="15" s="1"/>
  <c r="W364" i="15"/>
  <c r="U364" i="15"/>
  <c r="V364" i="15" s="1"/>
  <c r="T364" i="15"/>
  <c r="R364" i="15"/>
  <c r="S364" i="15" s="1"/>
  <c r="Q364" i="15"/>
  <c r="O364" i="15"/>
  <c r="P364" i="15" s="1"/>
  <c r="N364" i="15"/>
  <c r="N401" i="15" s="1"/>
  <c r="M364" i="15"/>
  <c r="L364" i="15"/>
  <c r="K364" i="15"/>
  <c r="J364" i="15"/>
  <c r="I364" i="15"/>
  <c r="H364" i="15"/>
  <c r="F364" i="15"/>
  <c r="G364" i="15" s="1"/>
  <c r="C364" i="15"/>
  <c r="D364" i="15" s="1"/>
  <c r="AN362" i="15"/>
  <c r="AK362" i="15"/>
  <c r="AH362" i="15"/>
  <c r="AE362" i="15"/>
  <c r="AB362" i="15"/>
  <c r="Y362" i="15"/>
  <c r="V362" i="15"/>
  <c r="S362" i="15"/>
  <c r="P362" i="15"/>
  <c r="M362" i="15"/>
  <c r="J362" i="15"/>
  <c r="G362" i="15"/>
  <c r="E362" i="15"/>
  <c r="E364" i="15" s="1"/>
  <c r="C362" i="15"/>
  <c r="D362" i="15" s="1"/>
  <c r="AO353" i="15"/>
  <c r="AL353" i="15"/>
  <c r="W353" i="15"/>
  <c r="H353" i="15"/>
  <c r="G353" i="15" s="1"/>
  <c r="AO351" i="15"/>
  <c r="AL351" i="15"/>
  <c r="AI351" i="15"/>
  <c r="AI353" i="15" s="1"/>
  <c r="AH353" i="15" s="1"/>
  <c r="AF351" i="15"/>
  <c r="AC351" i="15"/>
  <c r="AC353" i="15" s="1"/>
  <c r="Z351" i="15"/>
  <c r="Z353" i="15" s="1"/>
  <c r="W351" i="15"/>
  <c r="T351" i="15"/>
  <c r="T353" i="15" s="1"/>
  <c r="Q351" i="15"/>
  <c r="N351" i="15"/>
  <c r="N353" i="15" s="1"/>
  <c r="K351" i="15"/>
  <c r="H351" i="15"/>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W316" i="15"/>
  <c r="V332" i="15" s="1"/>
  <c r="AN314" i="15"/>
  <c r="AK314" i="15"/>
  <c r="AH314" i="15"/>
  <c r="AE314" i="15"/>
  <c r="AB314" i="15"/>
  <c r="Y314" i="15"/>
  <c r="V314" i="15"/>
  <c r="S314" i="15"/>
  <c r="P314" i="15"/>
  <c r="M314" i="15"/>
  <c r="J314" i="15"/>
  <c r="G314" i="15"/>
  <c r="E314" i="15"/>
  <c r="D314" i="15"/>
  <c r="C314" i="15"/>
  <c r="AN313" i="15"/>
  <c r="AK313" i="15"/>
  <c r="AH313" i="15"/>
  <c r="AE313" i="15"/>
  <c r="AB313" i="15"/>
  <c r="Y313" i="15"/>
  <c r="V313" i="15"/>
  <c r="S313" i="15"/>
  <c r="P313" i="15"/>
  <c r="M313" i="15"/>
  <c r="J313" i="15"/>
  <c r="G313" i="15"/>
  <c r="E313" i="15"/>
  <c r="C313" i="15"/>
  <c r="D313" i="15" s="1"/>
  <c r="AM311" i="15"/>
  <c r="AC311" i="15"/>
  <c r="AC316" i="15" s="1"/>
  <c r="T311" i="15"/>
  <c r="O311" i="15"/>
  <c r="O316" i="15" s="1"/>
  <c r="I311" i="15"/>
  <c r="I316" i="15" s="1"/>
  <c r="AN310" i="15"/>
  <c r="AK310" i="15"/>
  <c r="AH310" i="15"/>
  <c r="AE310" i="15"/>
  <c r="AB310" i="15"/>
  <c r="Y310" i="15"/>
  <c r="V310" i="15"/>
  <c r="S310" i="15"/>
  <c r="P310" i="15"/>
  <c r="M310" i="15"/>
  <c r="J310" i="15"/>
  <c r="G310" i="15"/>
  <c r="E310" i="15"/>
  <c r="C310" i="15"/>
  <c r="D310" i="15" s="1"/>
  <c r="AN309" i="15"/>
  <c r="AK309" i="15"/>
  <c r="AH309" i="15"/>
  <c r="AE309" i="15"/>
  <c r="AB309" i="15"/>
  <c r="Y309" i="15"/>
  <c r="V309" i="15"/>
  <c r="S309" i="15"/>
  <c r="P309" i="15"/>
  <c r="M309" i="15"/>
  <c r="J309" i="15"/>
  <c r="G309" i="15"/>
  <c r="E309" i="15"/>
  <c r="C309" i="15"/>
  <c r="D309" i="15" s="1"/>
  <c r="AO306" i="15"/>
  <c r="AM306" i="15"/>
  <c r="AL306" i="15"/>
  <c r="AL311" i="15" s="1"/>
  <c r="AL316" i="15" s="1"/>
  <c r="AJ306" i="15"/>
  <c r="AK306" i="15" s="1"/>
  <c r="AI306" i="15"/>
  <c r="AI311" i="15" s="1"/>
  <c r="AI316" i="15" s="1"/>
  <c r="AH332" i="15" s="1"/>
  <c r="AG306" i="15"/>
  <c r="AF306" i="15"/>
  <c r="AF311" i="15" s="1"/>
  <c r="AF316" i="15" s="1"/>
  <c r="AE332" i="15" s="1"/>
  <c r="AD306" i="15"/>
  <c r="AC306" i="15"/>
  <c r="AA306" i="15"/>
  <c r="Z306" i="15"/>
  <c r="Z311" i="15" s="1"/>
  <c r="Z316" i="15" s="1"/>
  <c r="Y332" i="15" s="1"/>
  <c r="X306" i="15"/>
  <c r="W306" i="15"/>
  <c r="W311" i="15" s="1"/>
  <c r="U306" i="15"/>
  <c r="T306" i="15"/>
  <c r="R306" i="15"/>
  <c r="R311" i="15" s="1"/>
  <c r="R316" i="15" s="1"/>
  <c r="Q306" i="15"/>
  <c r="Q311" i="15" s="1"/>
  <c r="Q316" i="15" s="1"/>
  <c r="P332" i="15" s="1"/>
  <c r="O306" i="15"/>
  <c r="N306" i="15"/>
  <c r="L306" i="15"/>
  <c r="L311" i="15" s="1"/>
  <c r="L316" i="15" s="1"/>
  <c r="K306" i="15"/>
  <c r="K311" i="15" s="1"/>
  <c r="K316" i="15" s="1"/>
  <c r="I306" i="15"/>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D304" i="15"/>
  <c r="C304" i="15"/>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D302" i="15" s="1"/>
  <c r="C302" i="15"/>
  <c r="AN301" i="15"/>
  <c r="AK301" i="15"/>
  <c r="AH301" i="15"/>
  <c r="AE301" i="15"/>
  <c r="AB301" i="15"/>
  <c r="Y301" i="15"/>
  <c r="V301" i="15"/>
  <c r="S301" i="15"/>
  <c r="P301" i="15"/>
  <c r="M301" i="15"/>
  <c r="J301" i="15"/>
  <c r="G301" i="15"/>
  <c r="E301" i="15"/>
  <c r="D301" i="15"/>
  <c r="C301" i="15"/>
  <c r="AN300" i="15"/>
  <c r="AK300" i="15"/>
  <c r="AH300" i="15"/>
  <c r="AE300" i="15"/>
  <c r="AB300" i="15"/>
  <c r="Y300" i="15"/>
  <c r="V300" i="15"/>
  <c r="S300" i="15"/>
  <c r="P300" i="15"/>
  <c r="M300" i="15"/>
  <c r="J300" i="15"/>
  <c r="G300" i="15"/>
  <c r="E300" i="15"/>
  <c r="C300" i="15"/>
  <c r="D300" i="15" s="1"/>
  <c r="AN299" i="15"/>
  <c r="AK299" i="15"/>
  <c r="AH299" i="15"/>
  <c r="AE299" i="15"/>
  <c r="AB299" i="15"/>
  <c r="Y299" i="15"/>
  <c r="V299" i="15"/>
  <c r="S299" i="15"/>
  <c r="P299" i="15"/>
  <c r="M299" i="15"/>
  <c r="J299" i="15"/>
  <c r="G299" i="15"/>
  <c r="E299" i="15"/>
  <c r="D299" i="15" s="1"/>
  <c r="C299" i="15"/>
  <c r="AN298" i="15"/>
  <c r="AK298" i="15"/>
  <c r="AH298" i="15"/>
  <c r="AE298" i="15"/>
  <c r="AB298" i="15"/>
  <c r="Y298" i="15"/>
  <c r="V298" i="15"/>
  <c r="S298" i="15"/>
  <c r="P298" i="15"/>
  <c r="M298" i="15"/>
  <c r="J298" i="15"/>
  <c r="G298" i="15"/>
  <c r="E298" i="15"/>
  <c r="C298" i="15"/>
  <c r="D298" i="15" s="1"/>
  <c r="AN297" i="15"/>
  <c r="AK297" i="15"/>
  <c r="AH297" i="15"/>
  <c r="AE297" i="15"/>
  <c r="AB297" i="15"/>
  <c r="Y297" i="15"/>
  <c r="V297" i="15"/>
  <c r="S297" i="15"/>
  <c r="P297" i="15"/>
  <c r="M297" i="15"/>
  <c r="J297" i="15"/>
  <c r="G297" i="15"/>
  <c r="E297" i="15"/>
  <c r="C297" i="15"/>
  <c r="Y289"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c r="AF268" i="15"/>
  <c r="AC268" i="15"/>
  <c r="Z268" i="15"/>
  <c r="Z289" i="15" s="1"/>
  <c r="W268" i="15"/>
  <c r="V268" i="15" s="1"/>
  <c r="T268" i="15"/>
  <c r="Q268" i="15"/>
  <c r="P268" i="15" s="1"/>
  <c r="N268" i="15"/>
  <c r="K268" i="15"/>
  <c r="K289" i="15" s="1"/>
  <c r="K291" i="15" s="1"/>
  <c r="H268" i="15"/>
  <c r="E267" i="15"/>
  <c r="E266" i="15"/>
  <c r="E265" i="15"/>
  <c r="E264" i="15"/>
  <c r="E263" i="15"/>
  <c r="E262" i="15"/>
  <c r="E261" i="15"/>
  <c r="E260" i="15"/>
  <c r="E259" i="15"/>
  <c r="E258" i="15"/>
  <c r="E257" i="15"/>
  <c r="E256" i="15"/>
  <c r="AL253" i="15"/>
  <c r="AI253" i="15"/>
  <c r="AO252" i="15"/>
  <c r="AO253" i="15" s="1"/>
  <c r="AN252" i="15"/>
  <c r="AL252" i="15"/>
  <c r="AK252" i="15"/>
  <c r="AI252" i="15"/>
  <c r="AH252" i="15"/>
  <c r="AF252" i="15"/>
  <c r="AE252" i="15"/>
  <c r="AC252" i="15"/>
  <c r="AC253" i="15" s="1"/>
  <c r="AB252" i="15"/>
  <c r="Z252" i="15"/>
  <c r="Y252" i="15"/>
  <c r="W252" i="15"/>
  <c r="V252" i="15"/>
  <c r="T252" i="15"/>
  <c r="S252" i="15"/>
  <c r="T253" i="15" s="1"/>
  <c r="Q252" i="15"/>
  <c r="Q253" i="15" s="1"/>
  <c r="P252" i="15"/>
  <c r="N252" i="15"/>
  <c r="M252" i="15"/>
  <c r="K252" i="15"/>
  <c r="K253" i="15" s="1"/>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O233" i="15" s="1"/>
  <c r="AL212" i="15"/>
  <c r="AI212" i="15"/>
  <c r="AF212" i="15"/>
  <c r="AE212" i="15" s="1"/>
  <c r="AC212" i="15"/>
  <c r="Z212" i="15"/>
  <c r="W212" i="15"/>
  <c r="V212" i="15" s="1"/>
  <c r="T212" i="15"/>
  <c r="Q212" i="15"/>
  <c r="N212" i="15"/>
  <c r="N233" i="15" s="1"/>
  <c r="K212" i="15"/>
  <c r="K233" i="15" s="1"/>
  <c r="H212" i="15"/>
  <c r="H233" i="15" s="1"/>
  <c r="E211" i="15"/>
  <c r="E210" i="15"/>
  <c r="E209" i="15"/>
  <c r="E208" i="15"/>
  <c r="E207" i="15"/>
  <c r="E206" i="15"/>
  <c r="E205" i="15"/>
  <c r="E204" i="15"/>
  <c r="E203" i="15"/>
  <c r="E202" i="15"/>
  <c r="E201" i="15"/>
  <c r="E200" i="15"/>
  <c r="AO196" i="15"/>
  <c r="AN231" i="15" s="1"/>
  <c r="Q196" i="15"/>
  <c r="J196"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H188" i="15"/>
  <c r="J188" i="15"/>
  <c r="AO187" i="15"/>
  <c r="AO188" i="15" s="1"/>
  <c r="AN187" i="15"/>
  <c r="AM187" i="15"/>
  <c r="AL187" i="15"/>
  <c r="AK187" i="15"/>
  <c r="AK196" i="15" s="1"/>
  <c r="AJ187" i="15"/>
  <c r="AI187" i="15"/>
  <c r="AH187" i="15"/>
  <c r="AH196" i="15" s="1"/>
  <c r="AG187" i="15"/>
  <c r="AF187" i="15"/>
  <c r="AF196" i="15" s="1"/>
  <c r="AE187" i="15"/>
  <c r="AE196" i="15" s="1"/>
  <c r="AD187" i="15"/>
  <c r="AC187" i="15"/>
  <c r="AC196" i="15" s="1"/>
  <c r="AB187" i="15"/>
  <c r="AC188" i="15" s="1"/>
  <c r="AA187" i="15"/>
  <c r="Z187" i="15"/>
  <c r="Y187" i="15"/>
  <c r="Y196" i="15" s="1"/>
  <c r="X187" i="15"/>
  <c r="W187" i="15"/>
  <c r="W196" i="15" s="1"/>
  <c r="V187" i="15"/>
  <c r="U187" i="15"/>
  <c r="T187" i="15"/>
  <c r="S187" i="15"/>
  <c r="S196" i="15" s="1"/>
  <c r="R187" i="15"/>
  <c r="Q187" i="15"/>
  <c r="P187" i="15"/>
  <c r="O187" i="15"/>
  <c r="N187" i="15"/>
  <c r="M187" i="15"/>
  <c r="M196" i="15" s="1"/>
  <c r="L187" i="15"/>
  <c r="K187" i="15"/>
  <c r="K196" i="15" s="1"/>
  <c r="J187" i="15"/>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D185" i="15" s="1"/>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E181" i="15" s="1"/>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D179" i="15" s="1"/>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E187" i="15" s="1"/>
  <c r="D174" i="15"/>
  <c r="C174" i="15"/>
  <c r="AO165" i="15"/>
  <c r="AL165" i="15"/>
  <c r="AI165" i="15"/>
  <c r="AF165" i="15"/>
  <c r="AC165" i="15"/>
  <c r="Z165" i="15"/>
  <c r="W165" i="15"/>
  <c r="T165" i="15"/>
  <c r="Q165" i="15"/>
  <c r="N165" i="15"/>
  <c r="K165" i="15"/>
  <c r="H165" i="15"/>
  <c r="E164" i="15"/>
  <c r="E163" i="15"/>
  <c r="E162" i="15"/>
  <c r="E161" i="15"/>
  <c r="E160" i="15"/>
  <c r="E159" i="15"/>
  <c r="E158" i="15"/>
  <c r="AC157" i="15"/>
  <c r="AO155" i="15"/>
  <c r="AL155" i="15"/>
  <c r="AI155" i="15"/>
  <c r="AF155" i="15"/>
  <c r="AC155" i="15"/>
  <c r="Z155" i="15"/>
  <c r="W155" i="15"/>
  <c r="T155" i="15"/>
  <c r="Q155" i="15"/>
  <c r="N155" i="15"/>
  <c r="K155" i="15"/>
  <c r="J155" i="15" s="1"/>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I157" i="15" s="1"/>
  <c r="AF124" i="15"/>
  <c r="AC124" i="15"/>
  <c r="Z124" i="15"/>
  <c r="W124" i="15"/>
  <c r="T124" i="15"/>
  <c r="Q124" i="15"/>
  <c r="N124" i="15"/>
  <c r="K124" i="15"/>
  <c r="H124" i="15"/>
  <c r="E123" i="15"/>
  <c r="M122" i="15"/>
  <c r="E122" i="15"/>
  <c r="S121" i="15"/>
  <c r="E121" i="15"/>
  <c r="Y120" i="15"/>
  <c r="E120" i="15"/>
  <c r="Y119" i="15"/>
  <c r="J119" i="15"/>
  <c r="E119" i="15"/>
  <c r="J118" i="15"/>
  <c r="E118" i="15"/>
  <c r="E117" i="15"/>
  <c r="S116" i="15"/>
  <c r="E116" i="15"/>
  <c r="AG115" i="15"/>
  <c r="Y115" i="15"/>
  <c r="S115" i="15"/>
  <c r="G115" i="15"/>
  <c r="E115" i="15"/>
  <c r="AH114" i="15"/>
  <c r="S114" i="15"/>
  <c r="E114" i="15"/>
  <c r="AG110" i="15"/>
  <c r="AF110" i="15"/>
  <c r="AO107" i="15"/>
  <c r="AM115" i="15" s="1"/>
  <c r="AL107" i="15"/>
  <c r="AJ115" i="15" s="1"/>
  <c r="AI107" i="15"/>
  <c r="AF107" i="15"/>
  <c r="AD115" i="15" s="1"/>
  <c r="AC107" i="15"/>
  <c r="AA115" i="15" s="1"/>
  <c r="Z107" i="15"/>
  <c r="X115" i="15" s="1"/>
  <c r="W107" i="15"/>
  <c r="U115" i="15" s="1"/>
  <c r="T107" i="15"/>
  <c r="R115" i="15" s="1"/>
  <c r="Q107" i="15"/>
  <c r="Q110" i="15" s="1"/>
  <c r="N107" i="15"/>
  <c r="L115" i="15" s="1"/>
  <c r="K107" i="15"/>
  <c r="I115" i="15" s="1"/>
  <c r="H107" i="15"/>
  <c r="F115" i="15" s="1"/>
  <c r="E106" i="15"/>
  <c r="E105" i="15"/>
  <c r="E107" i="15" s="1"/>
  <c r="C115" i="15" s="1"/>
  <c r="AH104" i="15"/>
  <c r="S104" i="15"/>
  <c r="E104" i="15"/>
  <c r="AN102" i="15"/>
  <c r="AK102" i="15"/>
  <c r="AH102" i="15"/>
  <c r="AE102" i="15"/>
  <c r="AB102" i="15"/>
  <c r="Y102" i="15"/>
  <c r="V102" i="15"/>
  <c r="S102" i="15"/>
  <c r="P102" i="15"/>
  <c r="M102" i="15"/>
  <c r="J102" i="15"/>
  <c r="G102" i="15"/>
  <c r="E102" i="15"/>
  <c r="C102" i="15"/>
  <c r="D102" i="15" s="1"/>
  <c r="AO99" i="15"/>
  <c r="AM114" i="15" s="1"/>
  <c r="AM99" i="15"/>
  <c r="AN119" i="15" s="1"/>
  <c r="AL99" i="15"/>
  <c r="AJ99" i="15"/>
  <c r="AK120" i="15" s="1"/>
  <c r="AI99" i="15"/>
  <c r="AG114" i="15" s="1"/>
  <c r="AG99" i="15"/>
  <c r="AH122" i="15" s="1"/>
  <c r="AF99" i="15"/>
  <c r="AD114" i="15" s="1"/>
  <c r="AE99" i="15"/>
  <c r="AD99" i="15"/>
  <c r="AE115" i="15" s="1"/>
  <c r="AC99" i="15"/>
  <c r="AA114" i="15" s="1"/>
  <c r="AA99" i="15"/>
  <c r="Z99" i="15"/>
  <c r="Z110" i="15" s="1"/>
  <c r="X99" i="15"/>
  <c r="W99" i="15"/>
  <c r="U99" i="15"/>
  <c r="V116" i="15" s="1"/>
  <c r="T99" i="15"/>
  <c r="R114" i="15" s="1"/>
  <c r="R99" i="15"/>
  <c r="S120" i="15" s="1"/>
  <c r="Q99" i="15"/>
  <c r="O114" i="15" s="1"/>
  <c r="P99" i="15"/>
  <c r="O99" i="15"/>
  <c r="O107" i="15" s="1"/>
  <c r="P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E57" i="15" s="1"/>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c r="AN41" i="15"/>
  <c r="AK41" i="15"/>
  <c r="AH41" i="15"/>
  <c r="AE41" i="15"/>
  <c r="AB41" i="15"/>
  <c r="Y41" i="15"/>
  <c r="V41" i="15"/>
  <c r="S41" i="15"/>
  <c r="P41" i="15"/>
  <c r="M41" i="15"/>
  <c r="J41" i="15"/>
  <c r="G41" i="15"/>
  <c r="E41" i="15"/>
  <c r="D41" i="15" s="1"/>
  <c r="E40" i="15"/>
  <c r="E39" i="15"/>
  <c r="E38" i="15"/>
  <c r="E37" i="15"/>
  <c r="E36" i="15"/>
  <c r="U35" i="15"/>
  <c r="F35" i="15"/>
  <c r="E35" i="15"/>
  <c r="AD34" i="15"/>
  <c r="E34" i="15"/>
  <c r="X30" i="15"/>
  <c r="AO27" i="15"/>
  <c r="AM35" i="15" s="1"/>
  <c r="AL27" i="15"/>
  <c r="AJ35" i="15" s="1"/>
  <c r="AI27" i="15"/>
  <c r="AG35" i="15" s="1"/>
  <c r="AF27" i="15"/>
  <c r="AD35" i="15" s="1"/>
  <c r="AC27" i="15"/>
  <c r="AA35" i="15" s="1"/>
  <c r="Z27" i="15"/>
  <c r="X35" i="15" s="1"/>
  <c r="X27" i="15"/>
  <c r="Y37" i="15" s="1"/>
  <c r="W27" i="15"/>
  <c r="T27" i="15"/>
  <c r="R35" i="15" s="1"/>
  <c r="Q27" i="15"/>
  <c r="O35" i="15" s="1"/>
  <c r="N27" i="15"/>
  <c r="L35" i="15" s="1"/>
  <c r="K27" i="15"/>
  <c r="I35" i="15" s="1"/>
  <c r="H27" i="15"/>
  <c r="AK26" i="15"/>
  <c r="J26" i="15"/>
  <c r="E26" i="15"/>
  <c r="AE25" i="15"/>
  <c r="J25" i="15"/>
  <c r="E25" i="15"/>
  <c r="Y24" i="15"/>
  <c r="E24" i="15"/>
  <c r="E22" i="15"/>
  <c r="AN20" i="15"/>
  <c r="AK20" i="15"/>
  <c r="AH20" i="15"/>
  <c r="AE20" i="15"/>
  <c r="AB20" i="15"/>
  <c r="Y20" i="15"/>
  <c r="V20" i="15"/>
  <c r="S20" i="15"/>
  <c r="P20" i="15"/>
  <c r="M20" i="15"/>
  <c r="J20" i="15"/>
  <c r="G20" i="15"/>
  <c r="E20" i="15"/>
  <c r="D20" i="15" s="1"/>
  <c r="C20" i="15"/>
  <c r="AN18" i="15"/>
  <c r="AK18" i="15"/>
  <c r="AH18" i="15"/>
  <c r="AE18" i="15"/>
  <c r="AB18" i="15"/>
  <c r="Y18" i="15"/>
  <c r="V18" i="15"/>
  <c r="S18" i="15"/>
  <c r="P18" i="15"/>
  <c r="M18" i="15"/>
  <c r="J18" i="15"/>
  <c r="G18" i="15"/>
  <c r="E18" i="15"/>
  <c r="D18" i="15" s="1"/>
  <c r="C18" i="15"/>
  <c r="AO16" i="15"/>
  <c r="AM16" i="15"/>
  <c r="AN25" i="15" s="1"/>
  <c r="AL16" i="15"/>
  <c r="AL30" i="15" s="1"/>
  <c r="AJ16" i="15"/>
  <c r="AJ30" i="15" s="1"/>
  <c r="AK30" i="15" s="1"/>
  <c r="AI16" i="15"/>
  <c r="AG34" i="15" s="1"/>
  <c r="AG16" i="15"/>
  <c r="AH26" i="15" s="1"/>
  <c r="AF16" i="15"/>
  <c r="AF30" i="15" s="1"/>
  <c r="AD16" i="15"/>
  <c r="AE26" i="15" s="1"/>
  <c r="AC16" i="15"/>
  <c r="AA34" i="15" s="1"/>
  <c r="AA16" i="15"/>
  <c r="Z16" i="15"/>
  <c r="X16" i="15"/>
  <c r="Y25" i="15" s="1"/>
  <c r="W16" i="15"/>
  <c r="V16" i="15" s="1"/>
  <c r="U16" i="15"/>
  <c r="U27" i="15" s="1"/>
  <c r="V37" i="15" s="1"/>
  <c r="T16" i="15"/>
  <c r="R34" i="15" s="1"/>
  <c r="R16" i="15"/>
  <c r="S24" i="15" s="1"/>
  <c r="Q16" i="15"/>
  <c r="O34" i="15" s="1"/>
  <c r="O16" i="15"/>
  <c r="P25" i="15" s="1"/>
  <c r="N16" i="15"/>
  <c r="L16" i="15"/>
  <c r="M26" i="15" s="1"/>
  <c r="K16" i="15"/>
  <c r="I34" i="15" s="1"/>
  <c r="I16" i="15"/>
  <c r="H16" i="15"/>
  <c r="H30" i="15" s="1"/>
  <c r="H88" i="15" s="1"/>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D14" i="15"/>
  <c r="C14" i="15"/>
  <c r="AN13" i="15"/>
  <c r="AK13" i="15"/>
  <c r="AH13" i="15"/>
  <c r="AE13" i="15"/>
  <c r="AB13" i="15"/>
  <c r="Y13" i="15"/>
  <c r="V13" i="15"/>
  <c r="S13" i="15"/>
  <c r="P13" i="15"/>
  <c r="M13" i="15"/>
  <c r="J13" i="15"/>
  <c r="G13" i="15"/>
  <c r="E13" i="15"/>
  <c r="D13" i="15"/>
  <c r="C13" i="15"/>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D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E250" i="16" s="1"/>
  <c r="D249" i="16"/>
  <c r="C249" i="16"/>
  <c r="AO247" i="16"/>
  <c r="AL247" i="16"/>
  <c r="AI247" i="16"/>
  <c r="AF247" i="16"/>
  <c r="AC247" i="16"/>
  <c r="Z247" i="16"/>
  <c r="W247" i="16"/>
  <c r="T247" i="16"/>
  <c r="Q247" i="16"/>
  <c r="N247" i="16"/>
  <c r="K247" i="16"/>
  <c r="H247" i="16"/>
  <c r="E246" i="16"/>
  <c r="D246" i="16"/>
  <c r="C246" i="16"/>
  <c r="AO244" i="16"/>
  <c r="AF244" i="16"/>
  <c r="Q244" i="16"/>
  <c r="H244" i="16"/>
  <c r="AO252" i="16"/>
  <c r="AO253" i="16" s="1"/>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S188" i="16" s="1"/>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V106"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D13" i="16"/>
  <c r="C13" i="16"/>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H16" i="16" s="1"/>
  <c r="AF16" i="16"/>
  <c r="AF30" i="16" s="1"/>
  <c r="C9" i="16"/>
  <c r="X16" i="16"/>
  <c r="X27" i="16" s="1"/>
  <c r="S9" i="16"/>
  <c r="Q16" i="16"/>
  <c r="P9" i="16"/>
  <c r="M9" i="16"/>
  <c r="K16" i="16"/>
  <c r="I16" i="16"/>
  <c r="H16" i="16"/>
  <c r="F16" i="16"/>
  <c r="E8" i="16"/>
  <c r="AR464" i="17"/>
  <c r="AR463" i="17"/>
  <c r="AR462" i="17"/>
  <c r="Y30" i="15" l="1"/>
  <c r="K30" i="16"/>
  <c r="J57" i="16" s="1"/>
  <c r="Z355" i="16"/>
  <c r="AH25" i="15"/>
  <c r="S26" i="15"/>
  <c r="AN26" i="15"/>
  <c r="Q30" i="15"/>
  <c r="P44" i="15" s="1"/>
  <c r="AG30" i="15"/>
  <c r="F34" i="15"/>
  <c r="P57"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R30" i="15"/>
  <c r="V36" i="15"/>
  <c r="G57" i="15"/>
  <c r="S57" i="15"/>
  <c r="P75" i="15"/>
  <c r="AK75" i="15"/>
  <c r="C99" i="15"/>
  <c r="D105" i="15" s="1"/>
  <c r="AB99" i="15"/>
  <c r="AL110" i="15"/>
  <c r="V104" i="15"/>
  <c r="P105" i="15"/>
  <c r="G106" i="15"/>
  <c r="AE106" i="15"/>
  <c r="L107" i="15"/>
  <c r="M107" i="15" s="1"/>
  <c r="I110" i="15"/>
  <c r="J110" i="15" s="1"/>
  <c r="AA110" i="15"/>
  <c r="AB110" i="15" s="1"/>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N397" i="15"/>
  <c r="AI399" i="15"/>
  <c r="T30" i="16"/>
  <c r="W30" i="16"/>
  <c r="AL30" i="16"/>
  <c r="W110" i="16"/>
  <c r="V124" i="16" s="1"/>
  <c r="Y115" i="16"/>
  <c r="V117" i="16"/>
  <c r="J123" i="16"/>
  <c r="S196" i="16"/>
  <c r="E16" i="15"/>
  <c r="J16" i="15"/>
  <c r="Y16" i="15"/>
  <c r="AE16" i="15"/>
  <c r="AO30" i="15"/>
  <c r="AN24" i="15"/>
  <c r="AD27" i="15"/>
  <c r="AE40" i="15" s="1"/>
  <c r="I30" i="15"/>
  <c r="J30" i="15" s="1"/>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AE155" i="15"/>
  <c r="H196" i="15"/>
  <c r="H188" i="15"/>
  <c r="T196" i="15"/>
  <c r="T188" i="15"/>
  <c r="W233" i="15"/>
  <c r="V233" i="15" s="1"/>
  <c r="W253" i="15"/>
  <c r="E268" i="15"/>
  <c r="D268" i="15" s="1"/>
  <c r="AL289" i="15"/>
  <c r="AK289" i="15" s="1"/>
  <c r="AK268" i="15"/>
  <c r="P306" i="15"/>
  <c r="U311" i="15"/>
  <c r="V306" i="15"/>
  <c r="Z355" i="15"/>
  <c r="H399" i="15"/>
  <c r="G399" i="15" s="1"/>
  <c r="G397" i="15"/>
  <c r="P397" i="15"/>
  <c r="K399" i="15"/>
  <c r="J399" i="15" s="1"/>
  <c r="H253" i="16"/>
  <c r="T253" i="16"/>
  <c r="V24" i="15"/>
  <c r="AM27" i="15"/>
  <c r="K30" i="15"/>
  <c r="U30" i="15"/>
  <c r="AC30" i="15"/>
  <c r="AC409" i="15" s="1"/>
  <c r="AA468" i="15" s="1"/>
  <c r="C34" i="15"/>
  <c r="AO77" i="15"/>
  <c r="AN77" i="15" s="1"/>
  <c r="D98" i="15"/>
  <c r="AE122" i="15"/>
  <c r="AE123" i="15"/>
  <c r="J104" i="15"/>
  <c r="AB105" i="15"/>
  <c r="V106" i="15"/>
  <c r="V117" i="15"/>
  <c r="J121" i="15"/>
  <c r="H157" i="15"/>
  <c r="D187" i="15"/>
  <c r="AN233" i="15"/>
  <c r="AH231" i="15"/>
  <c r="J268" i="15"/>
  <c r="AH137" i="15"/>
  <c r="E175" i="15"/>
  <c r="G188" i="15"/>
  <c r="Z188" i="15"/>
  <c r="Y188" i="15"/>
  <c r="G233" i="15"/>
  <c r="AL233" i="15"/>
  <c r="T233" i="15"/>
  <c r="AF233" i="15"/>
  <c r="AE233" i="15" s="1"/>
  <c r="E252" i="15"/>
  <c r="AL291" i="15"/>
  <c r="H289" i="15"/>
  <c r="S306" i="15"/>
  <c r="P311" i="15"/>
  <c r="E468" i="15"/>
  <c r="E484" i="15"/>
  <c r="M124" i="15"/>
  <c r="AH157" i="15"/>
  <c r="J137" i="15"/>
  <c r="AE137" i="15"/>
  <c r="N157" i="15"/>
  <c r="M157" i="15" s="1"/>
  <c r="E196" i="15"/>
  <c r="E191" i="15"/>
  <c r="Z196" i="15"/>
  <c r="Y231" i="15" s="1"/>
  <c r="E231" i="15"/>
  <c r="E351" i="15"/>
  <c r="AF401" i="15"/>
  <c r="E469" i="15"/>
  <c r="E483" i="15"/>
  <c r="E5" i="23"/>
  <c r="G5" i="23"/>
  <c r="C187" i="15"/>
  <c r="D176" i="15"/>
  <c r="AE57" i="15"/>
  <c r="E30" i="15"/>
  <c r="D57" i="15" s="1"/>
  <c r="AO88" i="15"/>
  <c r="AN75" i="15"/>
  <c r="AN30" i="15"/>
  <c r="AH77" i="15"/>
  <c r="AF409" i="15"/>
  <c r="AE44" i="15"/>
  <c r="AE75" i="15"/>
  <c r="Y38" i="15"/>
  <c r="Q167" i="15"/>
  <c r="P155" i="15"/>
  <c r="P124" i="15"/>
  <c r="T157" i="15"/>
  <c r="P157" i="15"/>
  <c r="G289" i="15"/>
  <c r="H291" i="15"/>
  <c r="AB268" i="15"/>
  <c r="AC289" i="15"/>
  <c r="AB289" i="15" s="1"/>
  <c r="U316" i="15"/>
  <c r="V311" i="15"/>
  <c r="G16" i="15"/>
  <c r="P16" i="15"/>
  <c r="Y26" i="15"/>
  <c r="AB24" i="15"/>
  <c r="M25" i="15"/>
  <c r="AB26" i="15"/>
  <c r="Y27" i="15"/>
  <c r="AG27" i="15"/>
  <c r="L30" i="15"/>
  <c r="M30" i="15" s="1"/>
  <c r="L34" i="15"/>
  <c r="Y34" i="15"/>
  <c r="AM34" i="15"/>
  <c r="Y35" i="15"/>
  <c r="Y36" i="15"/>
  <c r="V39" i="15"/>
  <c r="E44" i="15"/>
  <c r="T77" i="15"/>
  <c r="S77" i="15" s="1"/>
  <c r="AK44" i="15"/>
  <c r="AL77" i="15"/>
  <c r="M123" i="15"/>
  <c r="M119" i="15"/>
  <c r="M118" i="15"/>
  <c r="M121" i="15"/>
  <c r="M104" i="15"/>
  <c r="M99" i="15"/>
  <c r="M116" i="15"/>
  <c r="L110" i="15"/>
  <c r="M110" i="15" s="1"/>
  <c r="M105" i="15"/>
  <c r="M120" i="15"/>
  <c r="M117" i="15"/>
  <c r="M114" i="15"/>
  <c r="M106" i="15"/>
  <c r="U114" i="15"/>
  <c r="W110" i="15"/>
  <c r="V110" i="15" s="1"/>
  <c r="V99" i="15"/>
  <c r="AK121" i="15"/>
  <c r="V124" i="15"/>
  <c r="AN124" i="15"/>
  <c r="AO157" i="15"/>
  <c r="T235" i="15"/>
  <c r="S212" i="15"/>
  <c r="T197" i="15"/>
  <c r="S231" i="15"/>
  <c r="E212" i="15"/>
  <c r="P231" i="15"/>
  <c r="E27" i="15"/>
  <c r="C35" i="15" s="1"/>
  <c r="AE24" i="15"/>
  <c r="W30" i="15"/>
  <c r="V77" i="15" s="1"/>
  <c r="AN34" i="15"/>
  <c r="Y39" i="15"/>
  <c r="V40" i="15"/>
  <c r="G44" i="15"/>
  <c r="AN44" i="15"/>
  <c r="AN57" i="15"/>
  <c r="Z88" i="15"/>
  <c r="N167" i="15"/>
  <c r="M137" i="15"/>
  <c r="Y121" i="15"/>
  <c r="Y116" i="15"/>
  <c r="Y123" i="15"/>
  <c r="Y117" i="15"/>
  <c r="Y106" i="15"/>
  <c r="Y118" i="15"/>
  <c r="Y114" i="15"/>
  <c r="Y104" i="15"/>
  <c r="Y99" i="15"/>
  <c r="X110" i="15"/>
  <c r="Y110" i="15" s="1"/>
  <c r="AN116" i="15"/>
  <c r="AK137" i="15"/>
  <c r="AL157" i="15"/>
  <c r="AK157" i="15" s="1"/>
  <c r="AC167" i="15"/>
  <c r="Q235" i="15"/>
  <c r="S233" i="15"/>
  <c r="E306" i="15"/>
  <c r="E311" i="15" s="1"/>
  <c r="E316" i="15" s="1"/>
  <c r="X311" i="15"/>
  <c r="Y306" i="15"/>
  <c r="K408" i="15"/>
  <c r="K405" i="15"/>
  <c r="J316" i="15"/>
  <c r="F27" i="15"/>
  <c r="K409" i="15"/>
  <c r="J75" i="15"/>
  <c r="K88" i="15"/>
  <c r="J44" i="15"/>
  <c r="S25" i="15"/>
  <c r="AH16" i="15"/>
  <c r="G24" i="15"/>
  <c r="I27" i="15"/>
  <c r="R27" i="15"/>
  <c r="AA27" i="15"/>
  <c r="O30" i="15"/>
  <c r="P30" i="15" s="1"/>
  <c r="AE36" i="15"/>
  <c r="Y40" i="15"/>
  <c r="G77" i="15"/>
  <c r="Y44" i="15"/>
  <c r="J57" i="15"/>
  <c r="E86" i="15"/>
  <c r="D99" i="15"/>
  <c r="P123" i="15"/>
  <c r="P121" i="15"/>
  <c r="P115" i="15"/>
  <c r="O110" i="15"/>
  <c r="P110" i="15" s="1"/>
  <c r="P104" i="15"/>
  <c r="P119" i="15"/>
  <c r="P114" i="15"/>
  <c r="P120" i="15"/>
  <c r="P117" i="15"/>
  <c r="P106" i="15"/>
  <c r="P122" i="15"/>
  <c r="AN105" i="15"/>
  <c r="H110" i="15"/>
  <c r="P118" i="15"/>
  <c r="AB157" i="15"/>
  <c r="N188" i="15"/>
  <c r="N196" i="15"/>
  <c r="V196" i="15"/>
  <c r="W188" i="15"/>
  <c r="V188" i="15"/>
  <c r="AL188" i="15"/>
  <c r="AL196" i="15"/>
  <c r="AK233" i="15" s="1"/>
  <c r="Z197" i="15"/>
  <c r="M233" i="15"/>
  <c r="AL355" i="15"/>
  <c r="AK332" i="15"/>
  <c r="AM316" i="15"/>
  <c r="F30" i="15"/>
  <c r="G30" i="15" s="1"/>
  <c r="AK27" i="15"/>
  <c r="AE39" i="15"/>
  <c r="AB44" i="15"/>
  <c r="AK123" i="15"/>
  <c r="AK119" i="15"/>
  <c r="AK118" i="15"/>
  <c r="AK122" i="15"/>
  <c r="AK104" i="15"/>
  <c r="AK99" i="15"/>
  <c r="AK116" i="15"/>
  <c r="AJ110" i="15"/>
  <c r="AK110" i="15" s="1"/>
  <c r="AK105" i="15"/>
  <c r="AK117" i="15"/>
  <c r="AK114" i="15"/>
  <c r="AK106" i="15"/>
  <c r="E124" i="15"/>
  <c r="AK115" i="15"/>
  <c r="V137" i="15"/>
  <c r="AH287" i="15"/>
  <c r="AI289" i="15"/>
  <c r="AA435" i="15"/>
  <c r="AB16" i="15"/>
  <c r="AK24" i="15"/>
  <c r="AK16" i="15"/>
  <c r="P24" i="15"/>
  <c r="AB25" i="15"/>
  <c r="Q409" i="15"/>
  <c r="O468" i="15" s="1"/>
  <c r="AI30" i="15"/>
  <c r="AH57" i="15" s="1"/>
  <c r="AK36" i="15"/>
  <c r="AC77" i="15"/>
  <c r="AB77" i="15" s="1"/>
  <c r="S75" i="15"/>
  <c r="G99" i="15"/>
  <c r="AJ107" i="15"/>
  <c r="AK107" i="15" s="1"/>
  <c r="D196" i="15"/>
  <c r="D188" i="15"/>
  <c r="AF197" i="15"/>
  <c r="AI233" i="15"/>
  <c r="AH233" i="15" s="1"/>
  <c r="S268" i="15"/>
  <c r="T289" i="15"/>
  <c r="AO311" i="15"/>
  <c r="AO316" i="15" s="1"/>
  <c r="AN306" i="15"/>
  <c r="E353" i="15"/>
  <c r="D379" i="15"/>
  <c r="C16" i="15"/>
  <c r="M24" i="15"/>
  <c r="M16" i="15"/>
  <c r="AL409" i="15"/>
  <c r="AK57" i="15"/>
  <c r="P26" i="15"/>
  <c r="L27" i="15"/>
  <c r="V27" i="15"/>
  <c r="AE34" i="15"/>
  <c r="AN40" i="15"/>
  <c r="AA30" i="15"/>
  <c r="U34" i="15"/>
  <c r="G75" i="15"/>
  <c r="D122" i="15"/>
  <c r="D120" i="15"/>
  <c r="D106" i="15"/>
  <c r="D118" i="15"/>
  <c r="C110" i="15"/>
  <c r="D119" i="15"/>
  <c r="AN123" i="15"/>
  <c r="AN122" i="15"/>
  <c r="AN115" i="15"/>
  <c r="AM110" i="15"/>
  <c r="AN104" i="15"/>
  <c r="AN121" i="15"/>
  <c r="AN114" i="15"/>
  <c r="AN117" i="15"/>
  <c r="AN106" i="15"/>
  <c r="AN120" i="15"/>
  <c r="AE124" i="15"/>
  <c r="AN118" i="15"/>
  <c r="D123" i="15"/>
  <c r="G137" i="15"/>
  <c r="Y155" i="15"/>
  <c r="Z157" i="15"/>
  <c r="Y157" i="15" s="1"/>
  <c r="E197" i="15"/>
  <c r="J332" i="15"/>
  <c r="AE306" i="15"/>
  <c r="AD311" i="15"/>
  <c r="O27" i="15"/>
  <c r="AD30" i="15"/>
  <c r="AE30" i="15" s="1"/>
  <c r="G25" i="15"/>
  <c r="AE27" i="15"/>
  <c r="V34" i="15"/>
  <c r="AJ34" i="15"/>
  <c r="V35" i="15"/>
  <c r="V38" i="15"/>
  <c r="Q77" i="15"/>
  <c r="P77" i="15" s="1"/>
  <c r="AF77" i="15"/>
  <c r="N77" i="15"/>
  <c r="D97" i="15"/>
  <c r="T110" i="15"/>
  <c r="S124" i="15" s="1"/>
  <c r="AN99" i="15"/>
  <c r="AM107" i="15"/>
  <c r="AN107" i="15" s="1"/>
  <c r="E188" i="15"/>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AO235" i="15"/>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N188" i="15"/>
  <c r="Q188" i="15"/>
  <c r="AF188" i="15"/>
  <c r="G231" i="15"/>
  <c r="D252" i="15"/>
  <c r="E250" i="15"/>
  <c r="N253" i="15"/>
  <c r="D297" i="15"/>
  <c r="M306" i="15"/>
  <c r="N311" i="15"/>
  <c r="N316" i="15" s="1"/>
  <c r="AG311" i="15"/>
  <c r="AH306" i="15"/>
  <c r="N405" i="15"/>
  <c r="N408" i="15"/>
  <c r="AK353" i="15"/>
  <c r="AO401" i="15"/>
  <c r="AN399" i="15"/>
  <c r="S99" i="15"/>
  <c r="G104" i="15"/>
  <c r="AE104" i="15"/>
  <c r="S106" i="15"/>
  <c r="AA107" i="15"/>
  <c r="AB107" i="15" s="1"/>
  <c r="S117" i="15"/>
  <c r="G119" i="15"/>
  <c r="AH119" i="15"/>
  <c r="V120" i="15"/>
  <c r="G121" i="15"/>
  <c r="AH121" i="15"/>
  <c r="V122" i="15"/>
  <c r="J123" i="15"/>
  <c r="AF157" i="15"/>
  <c r="P137" i="15"/>
  <c r="W157" i="15"/>
  <c r="E178" i="15"/>
  <c r="S188" i="15"/>
  <c r="K235" i="15"/>
  <c r="E247" i="15"/>
  <c r="W289" i="15"/>
  <c r="AE351" i="15"/>
  <c r="AF353" i="15"/>
  <c r="E397" i="15"/>
  <c r="D397" i="15" s="1"/>
  <c r="T399" i="15"/>
  <c r="Q401" i="15"/>
  <c r="U107" i="15"/>
  <c r="V107" i="15" s="1"/>
  <c r="F110" i="15"/>
  <c r="AD110" i="15"/>
  <c r="AE110" i="15" s="1"/>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K124" i="15"/>
  <c r="AB196" i="15"/>
  <c r="AB188" i="15"/>
  <c r="AO197" i="15"/>
  <c r="Z233" i="15"/>
  <c r="Y212" i="15"/>
  <c r="AE231" i="15"/>
  <c r="J289" i="15"/>
  <c r="H355" i="15"/>
  <c r="G332" i="15"/>
  <c r="T408" i="15"/>
  <c r="T405" i="15"/>
  <c r="AA311" i="15"/>
  <c r="AB306" i="15"/>
  <c r="K401" i="15"/>
  <c r="AC399" i="15"/>
  <c r="AB399" i="15" s="1"/>
  <c r="AB397" i="15"/>
  <c r="G117" i="15"/>
  <c r="G120" i="15"/>
  <c r="Y124" i="15"/>
  <c r="AK155" i="15"/>
  <c r="J306" i="15"/>
  <c r="T316" i="15"/>
  <c r="S311" i="15"/>
  <c r="AJ311" i="15"/>
  <c r="G351" i="15"/>
  <c r="AN351" i="15"/>
  <c r="AB353" i="15"/>
  <c r="J212" i="15"/>
  <c r="AK212" i="15"/>
  <c r="V231" i="15"/>
  <c r="E244" i="15"/>
  <c r="Y268" i="15"/>
  <c r="AK351" i="15"/>
  <c r="AC401" i="15"/>
  <c r="W399" i="15"/>
  <c r="J231" i="15"/>
  <c r="AO289" i="15"/>
  <c r="AI355" i="15"/>
  <c r="Y351" i="15"/>
  <c r="AB212" i="15"/>
  <c r="AC233" i="15"/>
  <c r="AB233" i="15" s="1"/>
  <c r="Q289" i="15"/>
  <c r="W355" i="15"/>
  <c r="J311" i="15"/>
  <c r="Q353" i="15"/>
  <c r="P351" i="15"/>
  <c r="V353" i="15"/>
  <c r="H401" i="15"/>
  <c r="AJ468" i="15"/>
  <c r="AD468" i="15"/>
  <c r="AA483" i="15"/>
  <c r="O483" i="15"/>
  <c r="E435" i="15"/>
  <c r="C11" i="16"/>
  <c r="D11" i="16" s="1"/>
  <c r="V11" i="16"/>
  <c r="N16" i="16"/>
  <c r="AG34" i="16"/>
  <c r="D18" i="16"/>
  <c r="Y27" i="16"/>
  <c r="Y35" i="16"/>
  <c r="C16" i="16"/>
  <c r="C27" i="16" s="1"/>
  <c r="D39" i="16" s="1"/>
  <c r="D10" i="16"/>
  <c r="X30" i="16"/>
  <c r="Y30" i="16" s="1"/>
  <c r="Y26" i="16"/>
  <c r="Y16" i="16"/>
  <c r="Y25" i="16"/>
  <c r="Y24" i="16"/>
  <c r="AJ34" i="16"/>
  <c r="F30" i="16"/>
  <c r="G25" i="16"/>
  <c r="F27" i="16"/>
  <c r="G37" i="16" s="1"/>
  <c r="G24" i="16"/>
  <c r="G16" i="16"/>
  <c r="G26" i="16"/>
  <c r="C12" i="16"/>
  <c r="D12" i="16" s="1"/>
  <c r="G12" i="16"/>
  <c r="C20" i="16"/>
  <c r="D20" i="16" s="1"/>
  <c r="S34" i="16"/>
  <c r="R34" i="16"/>
  <c r="E34" i="16"/>
  <c r="T44" i="16"/>
  <c r="U35" i="16"/>
  <c r="F114" i="16"/>
  <c r="E114" i="16"/>
  <c r="H124" i="16"/>
  <c r="H30" i="16"/>
  <c r="F34" i="16"/>
  <c r="O34" i="16"/>
  <c r="P16" i="16"/>
  <c r="AA16" i="16"/>
  <c r="AA27" i="16" s="1"/>
  <c r="AB9" i="16"/>
  <c r="L16" i="16"/>
  <c r="M10" i="16"/>
  <c r="E12" i="16"/>
  <c r="AI27" i="16"/>
  <c r="AI30" i="16" s="1"/>
  <c r="AH75" i="16" s="1"/>
  <c r="E26" i="16"/>
  <c r="E38" i="16"/>
  <c r="J26" i="16"/>
  <c r="I30" i="16"/>
  <c r="J30" i="16" s="1"/>
  <c r="J24" i="16"/>
  <c r="J25" i="16"/>
  <c r="AC16" i="16"/>
  <c r="J16" i="16"/>
  <c r="X34" i="16"/>
  <c r="Y75" i="16"/>
  <c r="I34" i="16"/>
  <c r="AD16" i="16"/>
  <c r="AM34" i="16"/>
  <c r="AN16" i="16"/>
  <c r="I35" i="16"/>
  <c r="E36" i="16"/>
  <c r="Y39" i="16"/>
  <c r="AJ16" i="16"/>
  <c r="AK10" i="16"/>
  <c r="R30" i="16"/>
  <c r="S30" i="16" s="1"/>
  <c r="S25" i="16"/>
  <c r="S24" i="16"/>
  <c r="S26" i="16"/>
  <c r="S16" i="16"/>
  <c r="R27" i="16"/>
  <c r="S39" i="16" s="1"/>
  <c r="AB18" i="16"/>
  <c r="E25" i="16"/>
  <c r="AD34" i="16"/>
  <c r="U16" i="16"/>
  <c r="AH26" i="16"/>
  <c r="AH25" i="16"/>
  <c r="AH24" i="16"/>
  <c r="AG30" i="16"/>
  <c r="S10" i="16"/>
  <c r="E37" i="16"/>
  <c r="H44" i="16"/>
  <c r="AF44" i="16"/>
  <c r="J75" i="16"/>
  <c r="G75" i="16"/>
  <c r="AE75" i="16"/>
  <c r="AB120" i="16"/>
  <c r="AB116" i="16"/>
  <c r="AB105" i="16"/>
  <c r="AB118" i="16"/>
  <c r="AA107" i="16"/>
  <c r="AB107" i="16" s="1"/>
  <c r="AB121" i="16"/>
  <c r="AB114" i="16"/>
  <c r="AA110" i="16"/>
  <c r="AB110" i="16" s="1"/>
  <c r="AB117" i="16"/>
  <c r="AB115" i="16"/>
  <c r="AB106" i="16"/>
  <c r="AB123" i="16"/>
  <c r="AB104" i="16"/>
  <c r="AB122" i="16"/>
  <c r="AB119" i="16"/>
  <c r="AB99" i="16"/>
  <c r="E35" i="16"/>
  <c r="Y36" i="16"/>
  <c r="AH37" i="16"/>
  <c r="S57"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6" i="16" s="1"/>
  <c r="E18" i="16"/>
  <c r="U27" i="16"/>
  <c r="AM30" i="16"/>
  <c r="V57" i="16"/>
  <c r="E54" i="16"/>
  <c r="AC110" i="16"/>
  <c r="AK137" i="16"/>
  <c r="AF233" i="16"/>
  <c r="V9" i="16"/>
  <c r="G10" i="16"/>
  <c r="V18" i="16"/>
  <c r="G20" i="16"/>
  <c r="P24" i="16"/>
  <c r="Y38" i="16"/>
  <c r="Z57" i="16"/>
  <c r="Y57" i="16" s="1"/>
  <c r="S75" i="16"/>
  <c r="K86" i="16"/>
  <c r="E78" i="16"/>
  <c r="E82" i="16"/>
  <c r="E84" i="16"/>
  <c r="T107" i="16"/>
  <c r="R115" i="16" s="1"/>
  <c r="G9" i="16"/>
  <c r="AE9" i="16"/>
  <c r="O27" i="16"/>
  <c r="P38" i="16" s="1"/>
  <c r="AM27" i="16"/>
  <c r="AN40" i="16" s="1"/>
  <c r="E24" i="16"/>
  <c r="E27" i="16" s="1"/>
  <c r="Q27" i="16"/>
  <c r="O35" i="16" s="1"/>
  <c r="AC27" i="16"/>
  <c r="AA35" i="16" s="1"/>
  <c r="AO27" i="16"/>
  <c r="AM35" i="16" s="1"/>
  <c r="N44" i="16"/>
  <c r="S37" i="16"/>
  <c r="Y40" i="16"/>
  <c r="V75" i="16"/>
  <c r="E65" i="16"/>
  <c r="AJ114" i="16"/>
  <c r="AL110" i="16"/>
  <c r="E105" i="16"/>
  <c r="AN9" i="16"/>
  <c r="P26" i="16"/>
  <c r="AN26" i="16"/>
  <c r="AN25" i="16"/>
  <c r="P25" i="16"/>
  <c r="Z44" i="16"/>
  <c r="Y34" i="16"/>
  <c r="AL44" i="16"/>
  <c r="AN39" i="16"/>
  <c r="E45" i="16"/>
  <c r="H57" i="16"/>
  <c r="AE57" i="16"/>
  <c r="R114" i="16"/>
  <c r="AO99" i="16"/>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P36" i="16"/>
  <c r="AN36" i="16"/>
  <c r="Y37" i="16"/>
  <c r="AH5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S36"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AN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AA34" i="16"/>
  <c r="L35" i="16"/>
  <c r="AJ35" i="16"/>
  <c r="S40"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AH40" i="16"/>
  <c r="P98" i="16"/>
  <c r="Y98" i="16"/>
  <c r="Y122" i="16"/>
  <c r="Y117" i="16"/>
  <c r="Y114" i="16"/>
  <c r="X110" i="16"/>
  <c r="Y106" i="16"/>
  <c r="Y119" i="16"/>
  <c r="Y104" i="16"/>
  <c r="Y99" i="16"/>
  <c r="Y121" i="16"/>
  <c r="Y118" i="16"/>
  <c r="AG114" i="16"/>
  <c r="AI110" i="16"/>
  <c r="V102" i="16"/>
  <c r="T157"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Q157" i="16" s="1"/>
  <c r="AO137" i="16"/>
  <c r="AC155" i="16"/>
  <c r="AB155" i="16" s="1"/>
  <c r="K165" i="16"/>
  <c r="AI165" i="16"/>
  <c r="C174" i="16"/>
  <c r="D190" i="16"/>
  <c r="E191" i="16" s="1"/>
  <c r="C190" i="16"/>
  <c r="E193" i="16"/>
  <c r="E194" i="16" s="1"/>
  <c r="E205" i="16"/>
  <c r="K212" i="16"/>
  <c r="AI233" i="16"/>
  <c r="AH212" i="16"/>
  <c r="AC268" i="16"/>
  <c r="E261" i="16"/>
  <c r="N268" i="16"/>
  <c r="AK268" i="16"/>
  <c r="E131" i="16"/>
  <c r="H155" i="16"/>
  <c r="G155" i="16" s="1"/>
  <c r="AF155" i="16"/>
  <c r="AE155" i="16" s="1"/>
  <c r="Q155" i="16"/>
  <c r="AO155" i="16"/>
  <c r="AL196" i="16"/>
  <c r="AL188" i="16"/>
  <c r="Z233" i="16"/>
  <c r="H212" i="16"/>
  <c r="E216" i="16"/>
  <c r="K231" i="16"/>
  <c r="E222" i="16"/>
  <c r="Z253" i="16"/>
  <c r="G268" i="16"/>
  <c r="AF289" i="16"/>
  <c r="AE289" i="16" s="1"/>
  <c r="AE268" i="16"/>
  <c r="E133" i="16"/>
  <c r="K155" i="16"/>
  <c r="AI155" i="16"/>
  <c r="E149" i="16"/>
  <c r="E151" i="16"/>
  <c r="AC212" i="16"/>
  <c r="AO233" i="16"/>
  <c r="K252" i="16"/>
  <c r="K244" i="16"/>
  <c r="E243" i="16"/>
  <c r="AI252" i="16"/>
  <c r="AI244" i="16"/>
  <c r="V268" i="16"/>
  <c r="S332" i="16"/>
  <c r="N155" i="16"/>
  <c r="AL155" i="16"/>
  <c r="AK155" i="16" s="1"/>
  <c r="E142" i="16"/>
  <c r="E144" i="16"/>
  <c r="E159" i="16"/>
  <c r="H165" i="16"/>
  <c r="E161" i="16"/>
  <c r="I187" i="16"/>
  <c r="Q187" i="16"/>
  <c r="Y187" i="16"/>
  <c r="AG187" i="16"/>
  <c r="AO187" i="16"/>
  <c r="N196" i="16"/>
  <c r="N188" i="16"/>
  <c r="E200" i="16"/>
  <c r="E204" i="16"/>
  <c r="E206" i="16"/>
  <c r="AC231" i="16"/>
  <c r="Q231" i="16"/>
  <c r="AO231" i="16"/>
  <c r="AC137" i="16"/>
  <c r="AB137" i="16" s="1"/>
  <c r="E163" i="16"/>
  <c r="E177" i="16"/>
  <c r="K178" i="16"/>
  <c r="V188" i="16"/>
  <c r="W212" i="16"/>
  <c r="E201" i="16"/>
  <c r="AN268" i="16"/>
  <c r="AO289" i="16"/>
  <c r="AN289" i="16" s="1"/>
  <c r="T155" i="16"/>
  <c r="K196" i="16"/>
  <c r="AI196" i="16"/>
  <c r="T178" i="16"/>
  <c r="AB179" i="16"/>
  <c r="AK212" i="16"/>
  <c r="E219" i="16"/>
  <c r="E231" i="16" s="1"/>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AK231" i="16" s="1"/>
  <c r="E174" i="16"/>
  <c r="D177" i="16"/>
  <c r="H181" i="16"/>
  <c r="G187" i="16"/>
  <c r="H188" i="16" s="1"/>
  <c r="W187" i="16"/>
  <c r="AE187" i="16"/>
  <c r="H196" i="16"/>
  <c r="AF196" i="16"/>
  <c r="AE212" i="16" s="1"/>
  <c r="AK252" i="16"/>
  <c r="K306" i="16"/>
  <c r="K311" i="16" s="1"/>
  <c r="K316" i="16" s="1"/>
  <c r="AO306" i="16"/>
  <c r="AO311" i="16" s="1"/>
  <c r="AO316" i="16" s="1"/>
  <c r="AB299" i="16"/>
  <c r="M300" i="16"/>
  <c r="D301" i="16"/>
  <c r="AE302" i="16"/>
  <c r="Y353" i="16"/>
  <c r="Y351" i="16"/>
  <c r="P397" i="16"/>
  <c r="Q399" i="16"/>
  <c r="P399" i="16" s="1"/>
  <c r="N178" i="16"/>
  <c r="AL178" i="16"/>
  <c r="V179" i="16"/>
  <c r="AL253"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E184" i="16" s="1"/>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AF291"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AC401" i="16"/>
  <c r="AI399" i="16"/>
  <c r="AH399" i="16" s="1"/>
  <c r="E462" i="16"/>
  <c r="E484" i="16" s="1"/>
  <c r="T468" i="16"/>
  <c r="G298" i="16"/>
  <c r="C302" i="16"/>
  <c r="O306" i="16"/>
  <c r="AM306" i="16"/>
  <c r="Q353" i="16"/>
  <c r="P353" i="16" s="1"/>
  <c r="W351" i="16"/>
  <c r="N401" i="16"/>
  <c r="W397" i="16"/>
  <c r="V397" i="16" s="1"/>
  <c r="C314" i="16"/>
  <c r="D314" i="16" s="1"/>
  <c r="T353" i="16"/>
  <c r="S353" i="16" s="1"/>
  <c r="E338" i="16"/>
  <c r="E343" i="16"/>
  <c r="AG364" i="16"/>
  <c r="AH364" i="16" s="1"/>
  <c r="W399" i="16"/>
  <c r="Z397" i="16"/>
  <c r="E385" i="16"/>
  <c r="I306" i="16"/>
  <c r="AG306" i="16"/>
  <c r="G314" i="16"/>
  <c r="E330" i="16"/>
  <c r="E340" i="16"/>
  <c r="E341" i="16"/>
  <c r="N351" i="16"/>
  <c r="AH362" i="16"/>
  <c r="E370" i="16"/>
  <c r="E379" i="16" s="1"/>
  <c r="Y379" i="16"/>
  <c r="AN379" i="16"/>
  <c r="E383" i="16"/>
  <c r="E328" i="16"/>
  <c r="Y332" i="16"/>
  <c r="H351" i="16"/>
  <c r="G351" i="16" s="1"/>
  <c r="AF351" i="16"/>
  <c r="AE351" i="16" s="1"/>
  <c r="AL353" i="16"/>
  <c r="AK353" i="16" s="1"/>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E469" i="16" s="1"/>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N416" i="3"/>
  <c r="N415" i="3"/>
  <c r="C306" i="16" l="1"/>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155" i="16"/>
  <c r="X115" i="16"/>
  <c r="Z110" i="16"/>
  <c r="J35" i="16"/>
  <c r="J39" i="16"/>
  <c r="V38" i="16"/>
  <c r="AE77" i="15"/>
  <c r="AF88" i="15"/>
  <c r="H409" i="15"/>
  <c r="F468" i="15" s="1"/>
  <c r="G155" i="15"/>
  <c r="AO167" i="15"/>
  <c r="AN155" i="15"/>
  <c r="Y233" i="15"/>
  <c r="Z235" i="15"/>
  <c r="E468" i="16"/>
  <c r="H401" i="16"/>
  <c r="E268" i="16"/>
  <c r="D185" i="16"/>
  <c r="H289" i="16"/>
  <c r="G289" i="16" s="1"/>
  <c r="AH233" i="16"/>
  <c r="J40" i="16"/>
  <c r="D40" i="16"/>
  <c r="AH35" i="16"/>
  <c r="AH38" i="16"/>
  <c r="AH39" i="16"/>
  <c r="E57" i="16"/>
  <c r="AG35" i="16"/>
  <c r="AB35" i="16"/>
  <c r="AB37" i="16"/>
  <c r="AB36" i="16"/>
  <c r="AJ483" i="15"/>
  <c r="AN39" i="15"/>
  <c r="AN37" i="15"/>
  <c r="AN35" i="15"/>
  <c r="AN38" i="15"/>
  <c r="AN36" i="15"/>
  <c r="AN27" i="15"/>
  <c r="V57" i="15"/>
  <c r="D231" i="15"/>
  <c r="G212" i="15"/>
  <c r="H197" i="15"/>
  <c r="E30" i="16"/>
  <c r="AI235" i="15"/>
  <c r="V157" i="15"/>
  <c r="N403" i="15"/>
  <c r="N409" i="15"/>
  <c r="W235" i="15"/>
  <c r="M77" i="15"/>
  <c r="D114" i="15"/>
  <c r="D115" i="15"/>
  <c r="D116" i="15"/>
  <c r="AB30" i="15"/>
  <c r="AE38" i="15"/>
  <c r="AF235" i="15"/>
  <c r="AE35" i="15"/>
  <c r="AB124" i="15"/>
  <c r="D351" i="15"/>
  <c r="E110" i="15"/>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L483" i="15"/>
  <c r="L435" i="15"/>
  <c r="L468"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D77" i="15" s="1"/>
  <c r="D44" i="15"/>
  <c r="V30" i="15"/>
  <c r="D75"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30" i="15" s="1"/>
  <c r="D24" i="15"/>
  <c r="O435" i="15"/>
  <c r="T88" i="15"/>
  <c r="M351" i="15"/>
  <c r="W401" i="15"/>
  <c r="V399" i="15"/>
  <c r="AC291" i="15"/>
  <c r="T403" i="15"/>
  <c r="G311" i="15"/>
  <c r="F316" i="15"/>
  <c r="M311" i="15"/>
  <c r="E399" i="15"/>
  <c r="F435" i="15"/>
  <c r="F483" i="15"/>
  <c r="E157" i="15"/>
  <c r="D157" i="15" s="1"/>
  <c r="D124" i="15"/>
  <c r="AN311" i="15"/>
  <c r="AL197" i="15"/>
  <c r="AL235" i="15"/>
  <c r="Y311" i="15"/>
  <c r="X316" i="15"/>
  <c r="W167" i="15"/>
  <c r="V155" i="15"/>
  <c r="AO409" i="15"/>
  <c r="AC197" i="15"/>
  <c r="W291" i="15"/>
  <c r="V289" i="15"/>
  <c r="D306" i="15"/>
  <c r="C311" i="15"/>
  <c r="D110" i="15"/>
  <c r="AO405" i="15"/>
  <c r="AN316" i="15"/>
  <c r="AO408" i="15"/>
  <c r="AC88" i="15"/>
  <c r="M353" i="15"/>
  <c r="E355" i="15"/>
  <c r="AD435" i="15"/>
  <c r="AD483" i="15"/>
  <c r="E409" i="15"/>
  <c r="E88"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W403" i="15" s="1"/>
  <c r="V316" i="15"/>
  <c r="W405" i="15"/>
  <c r="D155" i="15"/>
  <c r="C311" i="16"/>
  <c r="D379" i="16"/>
  <c r="V399" i="16"/>
  <c r="W401" i="16"/>
  <c r="AI401" i="16"/>
  <c r="K289" i="16"/>
  <c r="J289" i="16" s="1"/>
  <c r="J268" i="16"/>
  <c r="AH196" i="16"/>
  <c r="AH188" i="16"/>
  <c r="AF355" i="16"/>
  <c r="AE188" i="16"/>
  <c r="AE196" i="16"/>
  <c r="K233" i="16"/>
  <c r="J233" i="16" s="1"/>
  <c r="J212" i="16"/>
  <c r="D176" i="16"/>
  <c r="AI167"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D27" i="16"/>
  <c r="F311" i="16"/>
  <c r="G306" i="16"/>
  <c r="D268" i="16"/>
  <c r="E233" i="16"/>
  <c r="O311" i="16"/>
  <c r="P306" i="16"/>
  <c r="H291" i="16"/>
  <c r="E287" i="16"/>
  <c r="D287" i="16" s="1"/>
  <c r="W196" i="16"/>
  <c r="W188" i="16"/>
  <c r="AB196" i="16"/>
  <c r="AB188" i="16"/>
  <c r="AI188" i="16"/>
  <c r="N197" i="16"/>
  <c r="W289" i="16"/>
  <c r="V289" i="16" s="1"/>
  <c r="Z291" i="16"/>
  <c r="D196" i="16"/>
  <c r="D188" i="16"/>
  <c r="E137" i="16"/>
  <c r="Q110" i="16"/>
  <c r="P157" i="16" s="1"/>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D37" i="16"/>
  <c r="AN38" i="16"/>
  <c r="S27" i="16"/>
  <c r="S35" i="16"/>
  <c r="D36" i="16"/>
  <c r="AC30" i="16"/>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J188" i="16"/>
  <c r="AN332" i="16"/>
  <c r="AO355" i="16"/>
  <c r="AC196" i="16"/>
  <c r="AB231" i="16" s="1"/>
  <c r="AC188" i="16"/>
  <c r="L311" i="16"/>
  <c r="M306" i="16"/>
  <c r="AI235" i="16"/>
  <c r="AI197" i="16"/>
  <c r="W233" i="16"/>
  <c r="V233" i="16" s="1"/>
  <c r="V212" i="16"/>
  <c r="AO196" i="16"/>
  <c r="AN233" i="16" s="1"/>
  <c r="AO188" i="16"/>
  <c r="J155" i="16"/>
  <c r="AL197" i="16"/>
  <c r="AC157" i="16"/>
  <c r="AB157" i="16" s="1"/>
  <c r="AB124" i="16"/>
  <c r="W77" i="16"/>
  <c r="V44" i="16"/>
  <c r="J110" i="16"/>
  <c r="J36" i="16"/>
  <c r="AN34" i="16"/>
  <c r="AN27" i="16"/>
  <c r="AN37" i="16"/>
  <c r="AB39" i="16"/>
  <c r="D35" i="16"/>
  <c r="C35" i="16"/>
  <c r="D38"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91" i="16"/>
  <c r="W253" i="16"/>
  <c r="Q355" i="16"/>
  <c r="AK351" i="16"/>
  <c r="J332" i="16"/>
  <c r="N233" i="16"/>
  <c r="M233" i="16" s="1"/>
  <c r="K235" i="16"/>
  <c r="K197" i="16"/>
  <c r="Y196" i="16"/>
  <c r="Y188" i="16"/>
  <c r="J231" i="16"/>
  <c r="AB268" i="16"/>
  <c r="AC289" i="16"/>
  <c r="AO77" i="16"/>
  <c r="E181" i="16"/>
  <c r="K77" i="16"/>
  <c r="J44" i="16"/>
  <c r="AL157" i="16"/>
  <c r="AK157" i="16" s="1"/>
  <c r="AK124" i="16"/>
  <c r="D75" i="16"/>
  <c r="AH124" i="16"/>
  <c r="J137" i="16"/>
  <c r="AL77" i="16"/>
  <c r="AK44" i="16"/>
  <c r="P34" i="16"/>
  <c r="P27" i="16"/>
  <c r="AO30" i="16"/>
  <c r="AB26" i="16"/>
  <c r="AB25" i="16"/>
  <c r="AB24" i="16"/>
  <c r="AA30" i="16"/>
  <c r="AB30" i="16" s="1"/>
  <c r="AB16" i="16"/>
  <c r="T77" i="16"/>
  <c r="S44" i="16"/>
  <c r="G27" i="16"/>
  <c r="G35" i="16"/>
  <c r="AM311" i="16"/>
  <c r="AN306" i="16"/>
  <c r="AO401" i="16"/>
  <c r="D298" i="16"/>
  <c r="G188" i="16"/>
  <c r="G196" i="16"/>
  <c r="H197" i="16" s="1"/>
  <c r="AL233" i="16"/>
  <c r="AK233" i="16" s="1"/>
  <c r="M268" i="16"/>
  <c r="N289" i="16"/>
  <c r="AN137"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91" i="16"/>
  <c r="AI253" i="16"/>
  <c r="AC233" i="16"/>
  <c r="AH231" i="16"/>
  <c r="AN155" i="16"/>
  <c r="AJ483" i="16"/>
  <c r="H353" i="16"/>
  <c r="M351" i="16"/>
  <c r="N353" i="16"/>
  <c r="M353" i="16" s="1"/>
  <c r="V351" i="16"/>
  <c r="W353" i="16"/>
  <c r="V353" i="16" s="1"/>
  <c r="AJ316" i="16"/>
  <c r="AK311" i="16"/>
  <c r="AN351" i="16"/>
  <c r="AL291" i="16"/>
  <c r="E187" i="16"/>
  <c r="E175" i="16"/>
  <c r="T289" i="16"/>
  <c r="S155" i="16"/>
  <c r="Q196" i="16"/>
  <c r="P231" i="16" s="1"/>
  <c r="Q188" i="16"/>
  <c r="M155" i="16"/>
  <c r="AF188" i="16"/>
  <c r="Q233" i="16"/>
  <c r="AC77" i="16"/>
  <c r="AB77" i="16" s="1"/>
  <c r="AB44" i="16"/>
  <c r="M137" i="16"/>
  <c r="Z157" i="16"/>
  <c r="Y157" i="16" s="1"/>
  <c r="G40" i="16"/>
  <c r="P40" i="16"/>
  <c r="G34" i="16"/>
  <c r="AB38" i="16"/>
  <c r="N77" i="16"/>
  <c r="M44" i="16"/>
  <c r="P37" i="16"/>
  <c r="AC167" i="16"/>
  <c r="V27" i="16"/>
  <c r="V34" i="16"/>
  <c r="S38" i="16"/>
  <c r="AN35" i="16"/>
  <c r="AF77" i="16"/>
  <c r="AE44" i="16"/>
  <c r="Q30" i="16"/>
  <c r="P44" i="16" s="1"/>
  <c r="E44" i="16"/>
  <c r="C34" i="16"/>
  <c r="D34" i="16"/>
  <c r="D9" i="16"/>
  <c r="AD483" i="16"/>
  <c r="Y397" i="16"/>
  <c r="Z399" i="16"/>
  <c r="AD311" i="16"/>
  <c r="AE306" i="16"/>
  <c r="AI289" i="16"/>
  <c r="AH289" i="16" s="1"/>
  <c r="AH268" i="16"/>
  <c r="P268" i="16"/>
  <c r="Q289" i="16"/>
  <c r="AC353" i="16"/>
  <c r="AF235" i="16"/>
  <c r="AF197" i="16"/>
  <c r="G231" i="16"/>
  <c r="T355" i="16"/>
  <c r="K253" i="16"/>
  <c r="G212" i="16"/>
  <c r="H233" i="16"/>
  <c r="G233" i="16" s="1"/>
  <c r="C99" i="16"/>
  <c r="D97" i="16"/>
  <c r="C115" i="16"/>
  <c r="Q77" i="16"/>
  <c r="S157" i="16"/>
  <c r="AH137" i="16"/>
  <c r="N157" i="16"/>
  <c r="M157" i="16" s="1"/>
  <c r="M124" i="16"/>
  <c r="AF157" i="16"/>
  <c r="K157" i="16"/>
  <c r="J157" i="16" s="1"/>
  <c r="J124" i="16"/>
  <c r="G38" i="16"/>
  <c r="W167" i="16"/>
  <c r="D26" i="16"/>
  <c r="D25" i="16"/>
  <c r="C30" i="16"/>
  <c r="D30" i="16" s="1"/>
  <c r="D24" i="16"/>
  <c r="D16" i="16"/>
  <c r="X177" i="3"/>
  <c r="X181" i="3" s="1"/>
  <c r="K291" i="16" l="1"/>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C483" i="15"/>
  <c r="C468" i="15"/>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E355"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D233" i="16"/>
  <c r="E399" i="16"/>
  <c r="L2" i="21"/>
  <c r="Z403" i="15" l="1"/>
  <c r="AF403" i="15"/>
  <c r="AL403" i="15"/>
  <c r="AC403" i="15"/>
  <c r="AI403" i="15"/>
  <c r="H403" i="15"/>
  <c r="E408" i="15"/>
  <c r="E403" i="15" s="1"/>
  <c r="R483" i="16"/>
  <c r="R435" i="16"/>
  <c r="R468" i="16"/>
  <c r="AH316" i="16"/>
  <c r="AI405" i="16"/>
  <c r="AI408" i="16"/>
  <c r="AI403" i="16" s="1"/>
  <c r="AL403" i="16"/>
  <c r="AB316" i="16"/>
  <c r="AC405" i="16"/>
  <c r="AC408" i="16"/>
  <c r="AC403" i="16" s="1"/>
  <c r="M316" i="16"/>
  <c r="N405" i="16"/>
  <c r="N408" i="16"/>
  <c r="N403" i="16" s="1"/>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K403" i="16" s="1"/>
  <c r="W405" i="16"/>
  <c r="V316" i="16"/>
  <c r="W408" i="16"/>
  <c r="AM468" i="16"/>
  <c r="AM435" i="16"/>
  <c r="AM483" i="16"/>
  <c r="E409" i="16"/>
  <c r="Y316" i="16"/>
  <c r="Z408" i="16"/>
  <c r="Z405" i="16"/>
  <c r="Q405" i="16"/>
  <c r="P316" i="16"/>
  <c r="Q408" i="16"/>
  <c r="Q403" i="16" s="1"/>
  <c r="U468" i="16"/>
  <c r="U483" i="16"/>
  <c r="U435" i="16"/>
  <c r="AN316" i="16"/>
  <c r="AO405" i="16"/>
  <c r="AO408" i="16"/>
  <c r="AA435" i="16"/>
  <c r="AA483" i="16"/>
  <c r="AA468" i="16"/>
  <c r="E167" i="16"/>
  <c r="C1086" i="5"/>
  <c r="D1084" i="5" s="1"/>
  <c r="E1084" i="5" s="1"/>
  <c r="F1084" i="5" s="1"/>
  <c r="C468" i="16" l="1"/>
  <c r="C483" i="16"/>
  <c r="C435" i="16"/>
  <c r="H403" i="16"/>
  <c r="E408" i="16"/>
  <c r="E403" i="16" s="1"/>
  <c r="AO403" i="16"/>
  <c r="Z403" i="16"/>
  <c r="W403" i="16"/>
  <c r="AF403" i="16"/>
  <c r="D1070" i="5"/>
  <c r="E1070" i="5" s="1"/>
  <c r="F1070" i="5" s="1"/>
  <c r="D1078" i="5"/>
  <c r="E1078" i="5" s="1"/>
  <c r="F1078" i="5" s="1"/>
  <c r="D1072" i="5"/>
  <c r="E1072" i="5" s="1"/>
  <c r="F1072" i="5" s="1"/>
  <c r="D1080" i="5"/>
  <c r="E1080" i="5" s="1"/>
  <c r="F1080" i="5" s="1"/>
  <c r="D1074" i="5"/>
  <c r="E1074" i="5" s="1"/>
  <c r="F1074" i="5" s="1"/>
  <c r="D1082" i="5"/>
  <c r="D1068" i="5"/>
  <c r="D1076" i="5"/>
  <c r="E1076" i="5" s="1"/>
  <c r="F1076" i="5" s="1"/>
  <c r="H34" i="19"/>
  <c r="E1068" i="5" l="1"/>
  <c r="F1068" i="5" s="1"/>
  <c r="D1086" i="5"/>
  <c r="F19" i="19"/>
  <c r="E19" i="19"/>
  <c r="D19" i="19"/>
  <c r="F36" i="19"/>
  <c r="E36" i="19"/>
  <c r="D36" i="19"/>
  <c r="L484" i="5" l="1"/>
  <c r="W484" i="5" s="1"/>
  <c r="M484" i="5"/>
  <c r="Q484" i="5"/>
  <c r="P484" i="5" s="1"/>
  <c r="R484" i="5"/>
  <c r="S484" i="5"/>
  <c r="V484" i="5" l="1"/>
  <c r="U484" i="5"/>
  <c r="X484" i="5"/>
  <c r="T484" i="5"/>
  <c r="O484" i="5"/>
  <c r="N484" i="5"/>
  <c r="L2" i="22" l="1"/>
  <c r="C35" i="19" s="1"/>
  <c r="C36" i="19" s="1"/>
  <c r="AA16" i="3" l="1"/>
  <c r="S472" i="5"/>
  <c r="R472" i="5"/>
  <c r="Q472" i="5"/>
  <c r="P472" i="5" s="1"/>
  <c r="M472" i="5"/>
  <c r="L472" i="5"/>
  <c r="X472" i="5" s="1"/>
  <c r="U472" i="5" l="1"/>
  <c r="V472" i="5"/>
  <c r="O472" i="5"/>
  <c r="W472" i="5"/>
  <c r="N472" i="5"/>
  <c r="T472" i="5"/>
  <c r="M2" i="22" l="1"/>
  <c r="M2" i="2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AI454" i="15" s="1"/>
  <c r="AG454" i="15" s="1"/>
  <c r="W451" i="15"/>
  <c r="W454" i="15" s="1"/>
  <c r="U454" i="15" s="1"/>
  <c r="K451" i="15"/>
  <c r="K454" i="15" s="1"/>
  <c r="I454" i="15" s="1"/>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E452" i="15" l="1"/>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S1" i="17"/>
  <c r="H185" i="3"/>
  <c r="D430" i="15" l="1"/>
  <c r="D433" i="15"/>
  <c r="C411" i="15"/>
  <c r="E421" i="15"/>
  <c r="D431" i="15"/>
  <c r="D411" i="15"/>
  <c r="D421" i="15" s="1"/>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Q237" i="5"/>
  <c r="N237" i="5" s="1"/>
  <c r="R237" i="5"/>
  <c r="S237" i="5"/>
  <c r="M237" i="5"/>
  <c r="L237" i="5"/>
  <c r="U237" i="5" s="1"/>
  <c r="L470" i="15" l="1"/>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X237" i="5"/>
  <c r="T237" i="5"/>
  <c r="W237" i="5"/>
  <c r="V237" i="5"/>
  <c r="P237" i="5"/>
  <c r="O237"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AL454" i="16" s="1"/>
  <c r="AJ454" i="16" s="1"/>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K454" i="16" s="1"/>
  <c r="I454" i="16" s="1"/>
  <c r="AI419" i="16"/>
  <c r="N420" i="16"/>
  <c r="AL434" i="16"/>
  <c r="Q451" i="16"/>
  <c r="Q454" i="16" s="1"/>
  <c r="O454" i="16" s="1"/>
  <c r="AO434" i="16"/>
  <c r="AC416" i="16"/>
  <c r="AB416" i="16" s="1"/>
  <c r="Z414" i="16"/>
  <c r="Y414" i="16" s="1"/>
  <c r="N434" i="16"/>
  <c r="AN411" i="16" l="1"/>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W8" i="3"/>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L696" i="5"/>
  <c r="X696" i="5" s="1"/>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D408" i="3" l="1"/>
  <c r="D409" i="3"/>
  <c r="D406" i="3"/>
  <c r="F75" i="3"/>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I446" i="3" s="1"/>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D56" i="19" l="1"/>
  <c r="I447" i="3"/>
  <c r="H193" i="3"/>
  <c r="D38" i="19" s="1"/>
  <c r="D46" i="19" s="1"/>
  <c r="D407" i="3"/>
  <c r="I186" i="3"/>
  <c r="V98"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164" i="3" s="1"/>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I185" i="3"/>
  <c r="G308" i="3"/>
  <c r="H303" i="3"/>
  <c r="G104" i="3"/>
  <c r="H104" i="3" s="1"/>
  <c r="H96" i="3"/>
  <c r="G107" i="3"/>
  <c r="H116" i="3"/>
  <c r="H112" i="3"/>
  <c r="H115" i="3"/>
  <c r="H111" i="3"/>
  <c r="H114" i="3"/>
  <c r="H120" i="3"/>
  <c r="H113" i="3"/>
  <c r="H121" i="3" l="1"/>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445" i="3" s="1"/>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4" i="10"/>
  <c r="K152" i="10"/>
  <c r="K150" i="10"/>
  <c r="K148" i="10"/>
  <c r="K145" i="10"/>
  <c r="K143" i="10"/>
  <c r="K138" i="10"/>
  <c r="K136" i="10"/>
  <c r="K135" i="10"/>
  <c r="K134" i="10"/>
  <c r="K133" i="10"/>
  <c r="K132" i="10"/>
  <c r="K131" i="10"/>
  <c r="K130" i="10"/>
  <c r="K129" i="10"/>
  <c r="K128" i="10"/>
  <c r="K127" i="10"/>
  <c r="K125" i="10"/>
  <c r="K124" i="10"/>
  <c r="K123" i="10"/>
  <c r="K122" i="10"/>
  <c r="K120" i="10"/>
  <c r="K110" i="10"/>
  <c r="K107" i="10"/>
  <c r="K106" i="10"/>
  <c r="K103" i="10"/>
  <c r="K101" i="10"/>
  <c r="K100" i="10"/>
  <c r="K99" i="10"/>
  <c r="K98"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Q78" i="3"/>
  <c r="R19" i="3"/>
  <c r="O6" i="3"/>
  <c r="S1" i="3"/>
  <c r="C1" i="3"/>
  <c r="A3" i="2"/>
  <c r="A2" i="2"/>
  <c r="Z499" i="17" l="1"/>
  <c r="AC499" i="17" s="1"/>
  <c r="AC500" i="17" s="1"/>
  <c r="G149" i="10"/>
  <c r="G62" i="10"/>
  <c r="G50" i="10"/>
  <c r="G13" i="10"/>
  <c r="G497" i="10"/>
  <c r="G209" i="10"/>
  <c r="G208" i="10"/>
  <c r="G353" i="10"/>
  <c r="G349" i="10"/>
  <c r="G352" i="10"/>
  <c r="G351" i="10"/>
  <c r="G350" i="10"/>
  <c r="G539" i="10"/>
  <c r="G303" i="10"/>
  <c r="G254" i="10"/>
  <c r="G225" i="10"/>
  <c r="G271" i="10"/>
  <c r="G512" i="10"/>
  <c r="Y497"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23" i="10"/>
  <c r="G120" i="10"/>
  <c r="G121" i="10"/>
  <c r="G114" i="10"/>
  <c r="G138" i="10"/>
  <c r="G129" i="10"/>
  <c r="X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82" i="10"/>
  <c r="G476" i="10"/>
  <c r="G506" i="10"/>
  <c r="G71" i="10"/>
  <c r="G355" i="10"/>
  <c r="G331" i="10"/>
  <c r="G310" i="10"/>
  <c r="G288" i="10"/>
  <c r="G262" i="10"/>
  <c r="G414" i="10"/>
  <c r="G429" i="10"/>
  <c r="G272" i="10"/>
  <c r="G457" i="10"/>
  <c r="G452" i="10"/>
  <c r="G92" i="10"/>
  <c r="G79" i="10"/>
  <c r="G437" i="10"/>
  <c r="G309" i="10"/>
  <c r="G363" i="10"/>
  <c r="G427" i="10"/>
  <c r="G399" i="10"/>
  <c r="G422" i="10"/>
  <c r="G709" i="10"/>
  <c r="G846" i="10"/>
  <c r="G795" i="10"/>
  <c r="G723" i="10"/>
  <c r="G701" i="10"/>
  <c r="G836" i="10"/>
  <c r="G738" i="10"/>
  <c r="G704" i="10"/>
  <c r="G884" i="10"/>
  <c r="G777" i="10"/>
  <c r="G697" i="10"/>
  <c r="G36" i="10"/>
  <c r="G115" i="10"/>
  <c r="G502" i="10"/>
  <c r="G16" i="10"/>
  <c r="G851" i="10"/>
  <c r="G826" i="10"/>
  <c r="G894" i="10"/>
  <c r="G151" i="10"/>
  <c r="G518" i="10"/>
  <c r="G762" i="10"/>
  <c r="G230" i="10"/>
  <c r="G513" i="10"/>
  <c r="G706" i="10"/>
  <c r="G814" i="10"/>
  <c r="G54" i="10"/>
  <c r="G719" i="10"/>
  <c r="G786" i="10"/>
  <c r="G850" i="10"/>
  <c r="G696" i="10"/>
  <c r="G756" i="10"/>
  <c r="G479" i="10"/>
  <c r="G583" i="10"/>
  <c r="G554" i="10"/>
  <c r="G482" i="10"/>
  <c r="G648" i="10"/>
  <c r="G606" i="10"/>
  <c r="G686" i="10"/>
  <c r="G600" i="10"/>
  <c r="G589" i="10"/>
  <c r="G563" i="10"/>
  <c r="G644" i="10"/>
  <c r="G548" i="10"/>
  <c r="G640" i="10"/>
  <c r="G683" i="10"/>
  <c r="G621" i="10"/>
  <c r="G580" i="10"/>
  <c r="G590" i="10"/>
  <c r="G487" i="10"/>
  <c r="G891" i="10"/>
  <c r="G214" i="10"/>
  <c r="G528" i="10"/>
  <c r="G148" i="10"/>
  <c r="G30" i="10"/>
  <c r="G33" i="10"/>
  <c r="G140" i="10"/>
  <c r="G213" i="10"/>
  <c r="G507" i="10"/>
  <c r="G277" i="10"/>
  <c r="G75" i="10"/>
  <c r="G278" i="10"/>
  <c r="G313" i="10"/>
  <c r="G259" i="10"/>
  <c r="G264" i="10"/>
  <c r="G321" i="10"/>
  <c r="G261" i="10"/>
  <c r="G409" i="10"/>
  <c r="G295" i="10"/>
  <c r="G455" i="10"/>
  <c r="G88" i="10"/>
  <c r="G354" i="10"/>
  <c r="G377" i="10"/>
  <c r="G421" i="10"/>
  <c r="G294" i="10"/>
  <c r="G328" i="10"/>
  <c r="G405" i="10"/>
  <c r="G289" i="10"/>
  <c r="G397" i="10"/>
  <c r="G746" i="10"/>
  <c r="G813" i="10"/>
  <c r="G861" i="10"/>
  <c r="G829" i="10"/>
  <c r="G770" i="10"/>
  <c r="G699" i="10"/>
  <c r="G772" i="10"/>
  <c r="G741" i="10"/>
  <c r="G888" i="10"/>
  <c r="G811" i="10"/>
  <c r="G729" i="10"/>
  <c r="G35" i="10"/>
  <c r="G130" i="10"/>
  <c r="G131" i="10"/>
  <c r="G210" i="10"/>
  <c r="G526" i="10"/>
  <c r="G718" i="10"/>
  <c r="G693" i="10"/>
  <c r="G886" i="10"/>
  <c r="G752" i="10"/>
  <c r="G798" i="10"/>
  <c r="G516" i="10"/>
  <c r="G228" i="10"/>
  <c r="G743" i="10"/>
  <c r="G847" i="10"/>
  <c r="G236" i="10"/>
  <c r="G717" i="10"/>
  <c r="G820" i="10"/>
  <c r="G229" i="10"/>
  <c r="G763" i="10"/>
  <c r="G792" i="10"/>
  <c r="G597" i="10"/>
  <c r="G629" i="10"/>
  <c r="G615" i="10"/>
  <c r="G489" i="10"/>
  <c r="G9" i="10"/>
  <c r="G684" i="10"/>
  <c r="G626" i="10"/>
  <c r="G623" i="10"/>
  <c r="G618" i="10"/>
  <c r="G660" i="10"/>
  <c r="G651" i="10"/>
  <c r="G598" i="10"/>
  <c r="G571" i="10"/>
  <c r="G604" i="10"/>
  <c r="G627" i="10"/>
  <c r="G595" i="10"/>
  <c r="G477" i="10"/>
  <c r="G672" i="10"/>
  <c r="G593" i="10"/>
  <c r="G579" i="10"/>
  <c r="G469" i="10"/>
  <c r="G569" i="10"/>
  <c r="G797" i="10"/>
  <c r="G28" i="10"/>
  <c r="G240" i="10"/>
  <c r="G220" i="10"/>
  <c r="G39" i="10"/>
  <c r="G156" i="10"/>
  <c r="G133" i="10"/>
  <c r="G163" i="10"/>
  <c r="G531" i="10"/>
  <c r="G64" i="10"/>
  <c r="G443" i="10"/>
  <c r="G82" i="10"/>
  <c r="G311" i="10"/>
  <c r="G286" i="10"/>
  <c r="G70" i="10"/>
  <c r="G86" i="10"/>
  <c r="G546" i="10"/>
  <c r="G326" i="10"/>
  <c r="G91" i="10"/>
  <c r="G461" i="10"/>
  <c r="G338" i="10"/>
  <c r="G359" i="10"/>
  <c r="G375" i="10"/>
  <c r="G425" i="10"/>
  <c r="G293" i="10"/>
  <c r="G545" i="10"/>
  <c r="G403" i="10"/>
  <c r="G362" i="10"/>
  <c r="G81" i="10"/>
  <c r="G815" i="10"/>
  <c r="G713" i="10"/>
  <c r="G828" i="10"/>
  <c r="G27" i="10"/>
  <c r="G805" i="10"/>
  <c r="G736" i="10"/>
  <c r="G769" i="10"/>
  <c r="G774" i="10"/>
  <c r="G875" i="10"/>
  <c r="G540" i="10"/>
  <c r="G691" i="10"/>
  <c r="G124" i="10"/>
  <c r="G127" i="10"/>
  <c r="G695" i="10"/>
  <c r="G17" i="10"/>
  <c r="G60" i="10"/>
  <c r="G755" i="10"/>
  <c r="G731" i="10"/>
  <c r="G882" i="10"/>
  <c r="G787" i="10"/>
  <c r="G864" i="10"/>
  <c r="G508" i="10"/>
  <c r="G226" i="10"/>
  <c r="G778" i="10"/>
  <c r="G775" i="10"/>
  <c r="G235" i="10"/>
  <c r="G754" i="10"/>
  <c r="G853" i="10"/>
  <c r="G703" i="10"/>
  <c r="G726" i="10"/>
  <c r="G858" i="10"/>
  <c r="G596" i="10"/>
  <c r="G680" i="10"/>
  <c r="G614" i="10"/>
  <c r="G490" i="10"/>
  <c r="G478" i="10"/>
  <c r="G549" i="10"/>
  <c r="G677" i="10"/>
  <c r="G674" i="10"/>
  <c r="G669" i="10"/>
  <c r="G659" i="10"/>
  <c r="G653" i="10"/>
  <c r="G473" i="10"/>
  <c r="G599" i="10"/>
  <c r="G575" i="10"/>
  <c r="G603" i="10"/>
  <c r="G631" i="10"/>
  <c r="G678" i="10"/>
  <c r="G625" i="10"/>
  <c r="G594" i="10"/>
  <c r="G638" i="10"/>
  <c r="G636" i="10"/>
  <c r="G592" i="10"/>
  <c r="G483" i="10"/>
  <c r="G632" i="10"/>
  <c r="G481" i="10"/>
  <c r="G761" i="10"/>
  <c r="G41" i="10"/>
  <c r="G143" i="10"/>
  <c r="G537" i="10"/>
  <c r="G32" i="10"/>
  <c r="G157" i="10"/>
  <c r="G134" i="10"/>
  <c r="G162" i="10"/>
  <c r="G866" i="10"/>
  <c r="G275" i="10"/>
  <c r="G439" i="10"/>
  <c r="G436" i="10"/>
  <c r="G364" i="10"/>
  <c r="G298" i="10"/>
  <c r="G283" i="10"/>
  <c r="G315" i="10"/>
  <c r="G307" i="10"/>
  <c r="G287" i="10"/>
  <c r="G454" i="10"/>
  <c r="G89" i="10"/>
  <c r="G336" i="10"/>
  <c r="G389" i="10"/>
  <c r="G371" i="10"/>
  <c r="G402" i="10"/>
  <c r="G432" i="10"/>
  <c r="G296" i="10"/>
  <c r="G319" i="10"/>
  <c r="G258" i="10"/>
  <c r="G257" i="10"/>
  <c r="G848" i="10"/>
  <c r="G750" i="10"/>
  <c r="G724" i="10"/>
  <c r="G716" i="10"/>
  <c r="G839" i="10"/>
  <c r="G768" i="10"/>
  <c r="G804" i="10"/>
  <c r="G809" i="10"/>
  <c r="G880" i="10"/>
  <c r="G195" i="10"/>
  <c r="G800" i="10"/>
  <c r="G117" i="10"/>
  <c r="G122" i="10"/>
  <c r="G733" i="10"/>
  <c r="G18" i="10"/>
  <c r="G521" i="10"/>
  <c r="G790" i="10"/>
  <c r="G893" i="10"/>
  <c r="G710" i="10"/>
  <c r="G854" i="10"/>
  <c r="G831" i="10"/>
  <c r="G49" i="10"/>
  <c r="G227" i="10"/>
  <c r="G812" i="10"/>
  <c r="G843" i="10"/>
  <c r="G56" i="10"/>
  <c r="G789" i="10"/>
  <c r="G892" i="10"/>
  <c r="G740" i="10"/>
  <c r="G799" i="10"/>
  <c r="G825" i="10"/>
  <c r="G643" i="10"/>
  <c r="G561" i="10"/>
  <c r="G613" i="10"/>
  <c r="G562" i="10"/>
  <c r="G607" i="10"/>
  <c r="G550" i="10"/>
  <c r="G77" i="10"/>
  <c r="G556" i="10"/>
  <c r="G475" i="10"/>
  <c r="G658" i="10"/>
  <c r="G649" i="10"/>
  <c r="G666" i="10"/>
  <c r="G587" i="10"/>
  <c r="G605" i="10"/>
  <c r="G601" i="10"/>
  <c r="G665" i="10"/>
  <c r="G95" i="10"/>
  <c r="G676" i="10"/>
  <c r="G582" i="10"/>
  <c r="G633" i="10"/>
  <c r="G8" i="10"/>
  <c r="G480" i="10"/>
  <c r="G868" i="10"/>
  <c r="G45" i="10"/>
  <c r="G142" i="10"/>
  <c r="G241" i="10"/>
  <c r="G34" i="10"/>
  <c r="G159" i="10"/>
  <c r="G136" i="10"/>
  <c r="G243" i="10"/>
  <c r="G510" i="10"/>
  <c r="G342" i="10"/>
  <c r="G273" i="10"/>
  <c r="G420" i="10"/>
  <c r="G395" i="10"/>
  <c r="G322" i="10"/>
  <c r="G544" i="10"/>
  <c r="G316" i="10"/>
  <c r="G305" i="10"/>
  <c r="G302" i="10"/>
  <c r="G447" i="10"/>
  <c r="G465" i="10"/>
  <c r="G463" i="10"/>
  <c r="G387" i="10"/>
  <c r="G382" i="10"/>
  <c r="G260" i="10"/>
  <c r="G412" i="10"/>
  <c r="G543" i="10"/>
  <c r="G300" i="10"/>
  <c r="G72" i="10"/>
  <c r="G73" i="10"/>
  <c r="G216" i="10"/>
  <c r="G785" i="10"/>
  <c r="G722" i="10"/>
  <c r="G753" i="10"/>
  <c r="G698" i="10"/>
  <c r="G803" i="10"/>
  <c r="G700" i="10"/>
  <c r="G842" i="10"/>
  <c r="G878" i="10"/>
  <c r="G791" i="10"/>
  <c r="G833" i="10"/>
  <c r="G116" i="10"/>
  <c r="G766" i="10"/>
  <c r="G712" i="10"/>
  <c r="G720" i="10"/>
  <c r="G824" i="10"/>
  <c r="G154" i="10"/>
  <c r="G747" i="10"/>
  <c r="G715" i="10"/>
  <c r="G694" i="10"/>
  <c r="G222" i="10"/>
  <c r="G514" i="10"/>
  <c r="G845" i="10"/>
  <c r="G444" i="10"/>
  <c r="G237" i="10"/>
  <c r="G823" i="10"/>
  <c r="G711" i="10"/>
  <c r="G773" i="10"/>
  <c r="G832" i="10"/>
  <c r="G250" i="10"/>
  <c r="G560" i="10"/>
  <c r="G555" i="10"/>
  <c r="G486" i="10"/>
  <c r="G657" i="10"/>
  <c r="G568" i="10"/>
  <c r="G501" i="10"/>
  <c r="G485" i="10"/>
  <c r="G494" i="10"/>
  <c r="G661" i="10"/>
  <c r="G688" i="10"/>
  <c r="G565" i="10"/>
  <c r="G588" i="10"/>
  <c r="G612" i="10"/>
  <c r="G608" i="10"/>
  <c r="G635" i="10"/>
  <c r="G96" i="10"/>
  <c r="G551" i="10"/>
  <c r="G581" i="10"/>
  <c r="G622" i="10"/>
  <c r="G620" i="10"/>
  <c r="G687" i="10"/>
  <c r="G616" i="10"/>
  <c r="G492" i="10"/>
  <c r="G765" i="10"/>
  <c r="G253" i="10"/>
  <c r="G144" i="10"/>
  <c r="G37" i="10"/>
  <c r="G38" i="10"/>
  <c r="G244" i="10"/>
  <c r="G141" i="10"/>
  <c r="G538" i="10"/>
  <c r="G252" i="10"/>
  <c r="G269" i="10"/>
  <c r="G441" i="10"/>
  <c r="G434" i="10"/>
  <c r="G393" i="10"/>
  <c r="G290" i="10"/>
  <c r="G67" i="10"/>
  <c r="G341" i="10"/>
  <c r="G6" i="10"/>
  <c r="G327" i="10"/>
  <c r="G450" i="10"/>
  <c r="G384" i="10"/>
  <c r="G370" i="10"/>
  <c r="G385" i="10"/>
  <c r="G373" i="10"/>
  <c r="G314" i="10"/>
  <c r="G317" i="10"/>
  <c r="G284" i="10"/>
  <c r="G368" i="10"/>
  <c r="G542" i="10"/>
  <c r="G343" i="10"/>
  <c r="G707" i="10"/>
  <c r="G819" i="10"/>
  <c r="G760" i="10"/>
  <c r="G788" i="10"/>
  <c r="G735" i="10"/>
  <c r="G837" i="10"/>
  <c r="G737" i="10"/>
  <c r="G870" i="10"/>
  <c r="G873" i="10"/>
  <c r="G197" i="10"/>
  <c r="G764" i="10"/>
  <c r="G128" i="10"/>
  <c r="G132" i="10"/>
  <c r="G835" i="10"/>
  <c r="G749" i="10"/>
  <c r="G757" i="10"/>
  <c r="G857" i="10"/>
  <c r="G725" i="10"/>
  <c r="G782" i="10"/>
  <c r="G821" i="10"/>
  <c r="G732" i="10"/>
  <c r="G509" i="10"/>
  <c r="G511" i="10"/>
  <c r="G708" i="10"/>
  <c r="G440" i="10"/>
  <c r="G692" i="10"/>
  <c r="G856" i="10"/>
  <c r="G748" i="10"/>
  <c r="G808" i="10"/>
  <c r="G865" i="10"/>
  <c r="G93" i="10"/>
  <c r="G630" i="10"/>
  <c r="G547" i="10"/>
  <c r="G97" i="10"/>
  <c r="G471" i="10"/>
  <c r="G628" i="10"/>
  <c r="G567" i="10"/>
  <c r="G566" i="10"/>
  <c r="G557" i="10"/>
  <c r="G655" i="10"/>
  <c r="G654" i="10"/>
  <c r="G647" i="10"/>
  <c r="G564" i="10"/>
  <c r="G585" i="10"/>
  <c r="G611" i="10"/>
  <c r="G602" i="10"/>
  <c r="G493" i="10"/>
  <c r="G496" i="10"/>
  <c r="G558" i="10"/>
  <c r="G673" i="10"/>
  <c r="G671" i="10"/>
  <c r="G617" i="10"/>
  <c r="G645" i="10"/>
  <c r="G667" i="10"/>
  <c r="G150" i="10"/>
  <c r="G834" i="10"/>
  <c r="G161" i="10"/>
  <c r="G147" i="10"/>
  <c r="G533" i="10"/>
  <c r="G31" i="10"/>
  <c r="G135" i="10"/>
  <c r="G255" i="10"/>
  <c r="G505" i="10"/>
  <c r="G867" i="10"/>
  <c r="G431" i="10"/>
  <c r="G291" i="10"/>
  <c r="G424" i="10"/>
  <c r="G347" i="10"/>
  <c r="G428" i="10"/>
  <c r="G744" i="10"/>
  <c r="G767" i="10"/>
  <c r="G874" i="10"/>
  <c r="G126" i="10"/>
  <c r="G781" i="10"/>
  <c r="G895" i="10"/>
  <c r="G58" i="10"/>
  <c r="G841" i="10"/>
  <c r="G111" i="10"/>
  <c r="G472" i="10"/>
  <c r="G663" i="10"/>
  <c r="G610" i="10"/>
  <c r="G624" i="10"/>
  <c r="G668" i="10"/>
  <c r="G801" i="10"/>
  <c r="G5" i="10"/>
  <c r="G532" i="10"/>
  <c r="G203" i="10"/>
  <c r="G245" i="10"/>
  <c r="G541" i="10"/>
  <c r="G173" i="10"/>
  <c r="G168" i="10"/>
  <c r="G188" i="10"/>
  <c r="G207" i="10"/>
  <c r="G794" i="10"/>
  <c r="G520" i="10"/>
  <c r="G525" i="10"/>
  <c r="G107" i="10"/>
  <c r="G181" i="10"/>
  <c r="G306" i="10"/>
  <c r="G99" i="10"/>
  <c r="G361" i="10"/>
  <c r="G394" i="10"/>
  <c r="G267" i="10"/>
  <c r="G65" i="10"/>
  <c r="G466" i="10"/>
  <c r="G390" i="10"/>
  <c r="G383" i="10"/>
  <c r="G404" i="10"/>
  <c r="G76" i="10"/>
  <c r="G876" i="10"/>
  <c r="G46" i="10"/>
  <c r="G266" i="10"/>
  <c r="G838" i="10"/>
  <c r="G714" i="10"/>
  <c r="G662" i="10"/>
  <c r="G146" i="10"/>
  <c r="G44" i="10"/>
  <c r="G189" i="10"/>
  <c r="G53" i="10"/>
  <c r="G274" i="10"/>
  <c r="G410" i="10"/>
  <c r="G329" i="10"/>
  <c r="G883" i="10"/>
  <c r="G411" i="10"/>
  <c r="G333" i="10"/>
  <c r="G401" i="10"/>
  <c r="G467" i="10"/>
  <c r="G407" i="10"/>
  <c r="G779" i="10"/>
  <c r="G802" i="10"/>
  <c r="G872" i="10"/>
  <c r="G503" i="10"/>
  <c r="G47" i="10"/>
  <c r="G890" i="10"/>
  <c r="G52" i="10"/>
  <c r="G734" i="10"/>
  <c r="G584" i="10"/>
  <c r="G641" i="10"/>
  <c r="G609" i="10"/>
  <c r="G664" i="10"/>
  <c r="G675" i="10"/>
  <c r="G488" i="10"/>
  <c r="G4" i="10"/>
  <c r="G239" i="10"/>
  <c r="G529" i="10"/>
  <c r="G204" i="10"/>
  <c r="G251" i="10"/>
  <c r="G40" i="10"/>
  <c r="G175" i="10"/>
  <c r="G169" i="10"/>
  <c r="G14" i="10"/>
  <c r="G25" i="10"/>
  <c r="G860" i="10"/>
  <c r="G519" i="10"/>
  <c r="G51" i="10"/>
  <c r="G101" i="10"/>
  <c r="G183" i="10"/>
  <c r="G66" i="10"/>
  <c r="G11" i="10"/>
  <c r="G356" i="10"/>
  <c r="G392" i="10"/>
  <c r="G415" i="10"/>
  <c r="G448" i="10"/>
  <c r="G339" i="10"/>
  <c r="G388" i="10"/>
  <c r="G335" i="10"/>
  <c r="G320" i="10"/>
  <c r="G344" i="10"/>
  <c r="G881" i="10"/>
  <c r="G379" i="10"/>
  <c r="G215" i="10"/>
  <c r="G517" i="10"/>
  <c r="G263" i="10"/>
  <c r="G637" i="10"/>
  <c r="G194" i="10"/>
  <c r="G171" i="10"/>
  <c r="G807" i="10"/>
  <c r="G98" i="10"/>
  <c r="G468" i="10"/>
  <c r="G438" i="10"/>
  <c r="G381" i="10"/>
  <c r="G445" i="10"/>
  <c r="G357" i="10"/>
  <c r="G426" i="10"/>
  <c r="G852" i="10"/>
  <c r="G771" i="10"/>
  <c r="G690" i="10"/>
  <c r="G219" i="10"/>
  <c r="G155" i="10"/>
  <c r="G224" i="10"/>
  <c r="G730" i="10"/>
  <c r="G689" i="10"/>
  <c r="G484" i="10"/>
  <c r="G570" i="10"/>
  <c r="G574" i="10"/>
  <c r="G495" i="10"/>
  <c r="G685" i="10"/>
  <c r="G160" i="10"/>
  <c r="G137" i="10"/>
  <c r="G192" i="10"/>
  <c r="G206" i="10"/>
  <c r="G248" i="10"/>
  <c r="G534" i="10"/>
  <c r="G178" i="10"/>
  <c r="G170" i="10"/>
  <c r="G190" i="10"/>
  <c r="G705" i="10"/>
  <c r="G827" i="10"/>
  <c r="G233" i="10"/>
  <c r="G840" i="10"/>
  <c r="G94" i="10"/>
  <c r="G184" i="10"/>
  <c r="G276" i="10"/>
  <c r="G109" i="10"/>
  <c r="G279" i="10"/>
  <c r="G325" i="10"/>
  <c r="G346" i="10"/>
  <c r="G451" i="10"/>
  <c r="G337" i="10"/>
  <c r="G386" i="10"/>
  <c r="G413" i="10"/>
  <c r="G301" i="10"/>
  <c r="G281" i="10"/>
  <c r="G879" i="10"/>
  <c r="G416" i="10"/>
  <c r="G367" i="10"/>
  <c r="G816" i="10"/>
  <c r="G576" i="10"/>
  <c r="G619" i="10"/>
  <c r="G247" i="10"/>
  <c r="G256" i="10"/>
  <c r="G61" i="10"/>
  <c r="G179" i="10"/>
  <c r="G323" i="10"/>
  <c r="G358" i="10"/>
  <c r="G504" i="10"/>
  <c r="G360" i="10"/>
  <c r="G417" i="10"/>
  <c r="G459" i="10"/>
  <c r="G78" i="10"/>
  <c r="G84" i="10"/>
  <c r="G759" i="10"/>
  <c r="G806" i="10"/>
  <c r="G728" i="10"/>
  <c r="G22" i="10"/>
  <c r="G152" i="10"/>
  <c r="G515" i="10"/>
  <c r="G238" i="10"/>
  <c r="G727" i="10"/>
  <c r="G498" i="10"/>
  <c r="G639" i="10"/>
  <c r="G646" i="10"/>
  <c r="G559" i="10"/>
  <c r="G10" i="10"/>
  <c r="G591" i="10"/>
  <c r="G527" i="10"/>
  <c r="G139" i="10"/>
  <c r="G191" i="10"/>
  <c r="G201" i="10"/>
  <c r="G249" i="10"/>
  <c r="G212" i="10"/>
  <c r="G176" i="10"/>
  <c r="G167" i="10"/>
  <c r="G187" i="10"/>
  <c r="G742" i="10"/>
  <c r="G721" i="10"/>
  <c r="G59" i="10"/>
  <c r="G739" i="10"/>
  <c r="G112" i="10"/>
  <c r="G185" i="10"/>
  <c r="G270" i="10"/>
  <c r="G102" i="10"/>
  <c r="G435" i="10"/>
  <c r="G299" i="10"/>
  <c r="G430" i="10"/>
  <c r="G446" i="10"/>
  <c r="G330" i="10"/>
  <c r="G348" i="10"/>
  <c r="G318" i="10"/>
  <c r="G400" i="10"/>
  <c r="G48" i="10"/>
  <c r="G887" i="10"/>
  <c r="G418" i="10"/>
  <c r="G796" i="10"/>
  <c r="G784" i="10"/>
  <c r="G500" i="10"/>
  <c r="G578" i="10"/>
  <c r="G205" i="10"/>
  <c r="G177" i="10"/>
  <c r="G776" i="10"/>
  <c r="G106" i="10"/>
  <c r="G419" i="10"/>
  <c r="G460" i="10"/>
  <c r="G74" i="10"/>
  <c r="G391" i="10"/>
  <c r="G340" i="10"/>
  <c r="G365" i="10"/>
  <c r="G297" i="10"/>
  <c r="G280" i="10"/>
  <c r="G822" i="10"/>
  <c r="G877" i="10"/>
  <c r="G125" i="10"/>
  <c r="G793" i="10"/>
  <c r="G231" i="10"/>
  <c r="G745" i="10"/>
  <c r="G783" i="10"/>
  <c r="G681" i="10"/>
  <c r="G679" i="10"/>
  <c r="G652" i="10"/>
  <c r="G586" i="10"/>
  <c r="G491" i="10"/>
  <c r="G552" i="10"/>
  <c r="G830" i="10"/>
  <c r="G246" i="10"/>
  <c r="G218" i="10"/>
  <c r="G199" i="10"/>
  <c r="G242" i="10"/>
  <c r="G869" i="10"/>
  <c r="G3" i="10"/>
  <c r="G165" i="10"/>
  <c r="G20" i="10"/>
  <c r="G24" i="10"/>
  <c r="G844" i="10"/>
  <c r="G57" i="10"/>
  <c r="G234" i="10"/>
  <c r="G442" i="10"/>
  <c r="G12" i="10"/>
  <c r="G182" i="10"/>
  <c r="G196" i="10"/>
  <c r="G108" i="10"/>
  <c r="G312" i="10"/>
  <c r="G265" i="10"/>
  <c r="G85" i="10"/>
  <c r="G456" i="10"/>
  <c r="G453" i="10"/>
  <c r="G376" i="10"/>
  <c r="G408" i="10"/>
  <c r="G423" i="10"/>
  <c r="G889" i="10"/>
  <c r="G380" i="10"/>
  <c r="G324" i="10"/>
  <c r="G345" i="10"/>
  <c r="G366" i="10"/>
  <c r="G369" i="10"/>
  <c r="G69" i="10"/>
  <c r="G855" i="10"/>
  <c r="G871" i="10"/>
  <c r="G118" i="10"/>
  <c r="G859" i="10"/>
  <c r="G232" i="10"/>
  <c r="G780" i="10"/>
  <c r="G817" i="10"/>
  <c r="G332" i="10"/>
  <c r="G818" i="10"/>
  <c r="G634" i="10"/>
  <c r="G577" i="10"/>
  <c r="G536" i="10"/>
  <c r="G19" i="10"/>
  <c r="G55" i="10"/>
  <c r="G21" i="10"/>
  <c r="G304" i="10"/>
  <c r="G285" i="10"/>
  <c r="G530" i="10"/>
  <c r="G642" i="10"/>
  <c r="G110" i="10"/>
  <c r="G433" i="10"/>
  <c r="G849" i="10"/>
  <c r="G650" i="10"/>
  <c r="G863" i="10"/>
  <c r="G29" i="10"/>
  <c r="G200" i="10"/>
  <c r="G523" i="10"/>
  <c r="G103" i="10"/>
  <c r="G83" i="10"/>
  <c r="G406" i="10"/>
  <c r="G670" i="10"/>
  <c r="G100" i="10"/>
  <c r="G374" i="10"/>
  <c r="G474" i="10"/>
  <c r="G758" i="10"/>
  <c r="G80" i="10"/>
  <c r="G449" i="10"/>
  <c r="G223" i="10"/>
  <c r="G573" i="10"/>
  <c r="G145" i="10"/>
  <c r="G43" i="10"/>
  <c r="G23" i="10"/>
  <c r="G702" i="10"/>
  <c r="G2" i="10"/>
  <c r="G458" i="10"/>
  <c r="G282" i="10"/>
  <c r="G572" i="10"/>
  <c r="G810" i="10"/>
  <c r="G7" i="10"/>
  <c r="G862" i="10"/>
  <c r="G172" i="10"/>
  <c r="G885" i="10"/>
  <c r="G42" i="10"/>
  <c r="G308" i="10"/>
  <c r="G751" i="10"/>
  <c r="G656" i="10"/>
  <c r="G535" i="10"/>
  <c r="G211" i="10"/>
  <c r="G26" i="10"/>
  <c r="G87" i="10"/>
  <c r="G268" i="10"/>
  <c r="G462" i="10"/>
  <c r="G398" i="10"/>
  <c r="G63" i="10"/>
  <c r="G174" i="10"/>
  <c r="G464" i="10"/>
  <c r="G221" i="10"/>
  <c r="G396" i="10"/>
  <c r="G292" i="10"/>
  <c r="G470" i="10"/>
  <c r="G15" i="10"/>
  <c r="G164" i="10"/>
  <c r="G522" i="10"/>
  <c r="G180" i="10"/>
  <c r="G334" i="10"/>
  <c r="G378" i="10"/>
  <c r="G90" i="10"/>
  <c r="G158" i="10"/>
  <c r="G553" i="10"/>
  <c r="G499" i="10"/>
  <c r="G198" i="10"/>
  <c r="G166" i="10"/>
  <c r="G524" i="10"/>
  <c r="G186" i="10"/>
  <c r="G68" i="10"/>
  <c r="G372"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P460" i="5"/>
  <c r="P255" i="5"/>
  <c r="N359" i="5"/>
  <c r="T459" i="5"/>
  <c r="P473" i="5"/>
  <c r="O473" i="5"/>
  <c r="O356" i="5"/>
  <c r="P356" i="5"/>
  <c r="O359" i="5"/>
  <c r="U459" i="5"/>
  <c r="T494" i="5"/>
  <c r="P506" i="5"/>
  <c r="O491" i="5"/>
  <c r="T492" i="5"/>
  <c r="O361" i="5"/>
  <c r="P361" i="5"/>
  <c r="U494" i="5"/>
  <c r="U492" i="5"/>
  <c r="O457" i="5"/>
  <c r="V255" i="5"/>
  <c r="V457"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75" i="17" l="1"/>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5" i="3"/>
  <c r="L17" i="3"/>
  <c r="L31" i="3"/>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F35" i="3"/>
  <c r="Z412" i="3" s="1"/>
  <c r="I35" i="3"/>
  <c r="F15" i="3"/>
  <c r="I15" i="3"/>
  <c r="H15" i="3" s="1"/>
  <c r="F17" i="3"/>
  <c r="I17" i="3"/>
  <c r="F32" i="3"/>
  <c r="E11" i="19" s="1"/>
  <c r="I32" i="3"/>
  <c r="F42" i="3"/>
  <c r="Z420" i="3" s="1"/>
  <c r="I42" i="3"/>
  <c r="AC420" i="3" s="1"/>
  <c r="F52" i="3"/>
  <c r="Z430" i="3" s="1"/>
  <c r="I52" i="3"/>
  <c r="F59" i="3"/>
  <c r="I59" i="3"/>
  <c r="AC437" i="3" s="1"/>
  <c r="F12" i="3"/>
  <c r="I12" i="3"/>
  <c r="F45" i="3"/>
  <c r="Z423" i="3" s="1"/>
  <c r="I45" i="3"/>
  <c r="AC423" i="3" s="1"/>
  <c r="F57" i="3"/>
  <c r="Z435" i="3" s="1"/>
  <c r="I57" i="3"/>
  <c r="F21" i="3"/>
  <c r="I21" i="3"/>
  <c r="F43" i="3"/>
  <c r="Z421" i="3" s="1"/>
  <c r="I43" i="3"/>
  <c r="F60" i="3"/>
  <c r="Z438" i="3" s="1"/>
  <c r="I60" i="3"/>
  <c r="AC438" i="3" s="1"/>
  <c r="F44" i="3"/>
  <c r="Z422" i="3" s="1"/>
  <c r="I44" i="3"/>
  <c r="F65" i="3"/>
  <c r="Z444" i="3" s="1"/>
  <c r="I65" i="3"/>
  <c r="AC444" i="3" s="1"/>
  <c r="F66" i="3"/>
  <c r="Z445" i="3" s="1"/>
  <c r="I66" i="3"/>
  <c r="F58" i="3"/>
  <c r="Z436" i="3" s="1"/>
  <c r="I58" i="3"/>
  <c r="AC436" i="3" s="1"/>
  <c r="F36" i="3"/>
  <c r="I36" i="3"/>
  <c r="F31" i="3"/>
  <c r="E7" i="19" s="1"/>
  <c r="I31" i="3"/>
  <c r="D405" i="3" s="1"/>
  <c r="D410" i="3" s="1"/>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F33" i="3"/>
  <c r="Z410" i="3" s="1"/>
  <c r="I33" i="3"/>
  <c r="F40" i="3"/>
  <c r="I40" i="3"/>
  <c r="L32" i="3"/>
  <c r="L112" i="3"/>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V15" i="3"/>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AC430" i="3"/>
  <c r="Z437" i="3"/>
  <c r="AC445" i="3"/>
  <c r="AL471" i="3"/>
  <c r="AO471" i="3" s="1"/>
  <c r="Q41" i="3"/>
  <c r="F13" i="19" s="1"/>
  <c r="AC422" i="3"/>
  <c r="AC469" i="3"/>
  <c r="Q13" i="3"/>
  <c r="F5" i="19" s="1"/>
  <c r="F8" i="19" s="1"/>
  <c r="Q83" i="3"/>
  <c r="F15" i="19" s="1"/>
  <c r="AC413" i="3"/>
  <c r="Z443" i="3"/>
  <c r="AC443" i="3"/>
  <c r="O13" i="3"/>
  <c r="F4" i="19" s="1"/>
  <c r="P6" i="3"/>
  <c r="AC471" i="3"/>
  <c r="AC440" i="3"/>
  <c r="P15" i="3"/>
  <c r="Z442" i="3"/>
  <c r="Q24" i="3"/>
  <c r="F9" i="19" s="1"/>
  <c r="AC435" i="3"/>
  <c r="AC421" i="3"/>
  <c r="Z470"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L271" i="17"/>
  <c r="L262" i="17"/>
  <c r="L254" i="17"/>
  <c r="L223" i="17"/>
  <c r="J95" i="17"/>
  <c r="L339" i="17"/>
  <c r="L330" i="17"/>
  <c r="L318" i="17"/>
  <c r="L298" i="17"/>
  <c r="L335" i="17"/>
  <c r="L326" i="17"/>
  <c r="L307" i="17"/>
  <c r="L295" i="17"/>
  <c r="L276" i="17"/>
  <c r="L267" i="17"/>
  <c r="L258" i="17"/>
  <c r="L240" i="17"/>
  <c r="L219" i="17"/>
  <c r="L210" i="17"/>
  <c r="J99" i="17"/>
  <c r="J17" i="17"/>
  <c r="L334" i="17"/>
  <c r="L325" i="17"/>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C28" i="19"/>
  <c r="L144" i="3"/>
  <c r="L113" i="3"/>
  <c r="L95" i="3"/>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L298" i="3"/>
  <c r="N298" i="3" s="1"/>
  <c r="N299" i="3"/>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J6" i="3"/>
  <c r="AL428" i="3"/>
  <c r="AL429" i="3"/>
  <c r="F154" i="3"/>
  <c r="J243" i="3"/>
  <c r="J246" i="3"/>
  <c r="F350" i="3"/>
  <c r="E350" i="3" s="1"/>
  <c r="E329" i="3"/>
  <c r="F230" i="3"/>
  <c r="AP475" i="17" l="1"/>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K407" i="3"/>
  <c r="U131" i="17"/>
  <c r="K412" i="3"/>
  <c r="U206" i="17"/>
  <c r="K420" i="3"/>
  <c r="K422" i="3" s="1"/>
  <c r="U262" i="17"/>
  <c r="K430" i="3"/>
  <c r="U327" i="17"/>
  <c r="K406" i="3"/>
  <c r="U130" i="17"/>
  <c r="K413" i="3"/>
  <c r="U207" i="17"/>
  <c r="K421" i="3"/>
  <c r="U263" i="17"/>
  <c r="K428" i="3"/>
  <c r="U325" i="17"/>
  <c r="K403" i="3"/>
  <c r="K437" i="3" s="1"/>
  <c r="U52" i="17"/>
  <c r="K419" i="3"/>
  <c r="U261" i="17"/>
  <c r="K401" i="3"/>
  <c r="K435" i="3" s="1"/>
  <c r="U50" i="17"/>
  <c r="K408" i="3"/>
  <c r="U132" i="17"/>
  <c r="K411" i="3"/>
  <c r="U205" i="17"/>
  <c r="K429" i="3"/>
  <c r="U326" i="17"/>
  <c r="K402" i="3"/>
  <c r="U51" i="17"/>
  <c r="L446" i="3"/>
  <c r="M446" i="3" s="1"/>
  <c r="E15" i="3"/>
  <c r="E17" i="3"/>
  <c r="G27" i="3"/>
  <c r="AB469" i="3" s="1"/>
  <c r="AH419" i="17"/>
  <c r="AI419" i="17" s="1"/>
  <c r="AR419" i="17"/>
  <c r="K404" i="3"/>
  <c r="H17" i="3"/>
  <c r="G24" i="3"/>
  <c r="H35" i="3" s="1"/>
  <c r="D24" i="3"/>
  <c r="D27" i="3"/>
  <c r="L96" i="3"/>
  <c r="V294" i="3"/>
  <c r="X294" i="3" s="1"/>
  <c r="Y294" i="3" s="1"/>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E409" i="3"/>
  <c r="H409" i="3" s="1"/>
  <c r="I409" i="3" s="1"/>
  <c r="E406" i="3"/>
  <c r="H406" i="3" s="1"/>
  <c r="I406" i="3" s="1"/>
  <c r="E408" i="3"/>
  <c r="H408" i="3" s="1"/>
  <c r="I408" i="3" s="1"/>
  <c r="C40" i="19"/>
  <c r="H40" i="19" s="1"/>
  <c r="K40" i="19" s="1"/>
  <c r="U171" i="3"/>
  <c r="V171" i="3" s="1"/>
  <c r="M180" i="3"/>
  <c r="U180" i="3"/>
  <c r="V180" i="3" s="1"/>
  <c r="V174" i="3"/>
  <c r="M177" i="3"/>
  <c r="U177" i="3"/>
  <c r="V177" i="3"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P409" i="17" s="1"/>
  <c r="AF408" i="3"/>
  <c r="AP408" i="17" s="1"/>
  <c r="N34" i="3"/>
  <c r="AF411" i="3"/>
  <c r="AP411" i="17" s="1"/>
  <c r="AF421" i="3"/>
  <c r="N35" i="3"/>
  <c r="AF412" i="3"/>
  <c r="AF423" i="3"/>
  <c r="N36" i="3"/>
  <c r="AF413" i="3"/>
  <c r="AF428" i="3"/>
  <c r="AF429" i="3"/>
  <c r="AF420" i="3"/>
  <c r="AF422" i="3"/>
  <c r="AP422" i="17" s="1"/>
  <c r="AF427" i="3"/>
  <c r="AF430" i="3"/>
  <c r="N33" i="3"/>
  <c r="AF410" i="3"/>
  <c r="AF434" i="3"/>
  <c r="AP434" i="17" s="1"/>
  <c r="AF445" i="3"/>
  <c r="N44" i="3"/>
  <c r="AF442" i="3"/>
  <c r="AF443" i="3"/>
  <c r="N58" i="3"/>
  <c r="AF436" i="3"/>
  <c r="AP436" i="17" s="1"/>
  <c r="AF441" i="3"/>
  <c r="N43" i="3"/>
  <c r="AF440" i="3"/>
  <c r="S71" i="3"/>
  <c r="AF438" i="3"/>
  <c r="AP438" i="17" s="1"/>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R408" i="3" s="1"/>
  <c r="S132" i="3"/>
  <c r="N142" i="3"/>
  <c r="S142" i="3"/>
  <c r="S202" i="3"/>
  <c r="N202" i="3"/>
  <c r="S219" i="3"/>
  <c r="N219" i="3"/>
  <c r="N215" i="3"/>
  <c r="S215" i="3"/>
  <c r="N256" i="3"/>
  <c r="S256" i="3"/>
  <c r="N270" i="3"/>
  <c r="S270" i="3"/>
  <c r="S382" i="3"/>
  <c r="N382" i="3"/>
  <c r="N380" i="3"/>
  <c r="S380" i="3"/>
  <c r="S378" i="3"/>
  <c r="N378" i="3"/>
  <c r="S50" i="3"/>
  <c r="N50" i="3"/>
  <c r="R401" i="3" s="1"/>
  <c r="S65" i="3"/>
  <c r="N65" i="3"/>
  <c r="S78" i="3"/>
  <c r="N78" i="3"/>
  <c r="S147" i="3"/>
  <c r="N147" i="3"/>
  <c r="N223" i="3"/>
  <c r="S223" i="3"/>
  <c r="S206" i="3"/>
  <c r="N206" i="3"/>
  <c r="R412" i="3" s="1"/>
  <c r="S225" i="3"/>
  <c r="N225" i="3"/>
  <c r="N257" i="3"/>
  <c r="S257" i="3"/>
  <c r="N275" i="3"/>
  <c r="S275" i="3"/>
  <c r="S341" i="3"/>
  <c r="N341" i="3"/>
  <c r="S340" i="3"/>
  <c r="N340" i="3"/>
  <c r="N326" i="3"/>
  <c r="R429" i="3" s="1"/>
  <c r="S326" i="3"/>
  <c r="S374" i="3"/>
  <c r="N374" i="3"/>
  <c r="N372" i="3"/>
  <c r="S372" i="3"/>
  <c r="S370" i="3"/>
  <c r="N370" i="3"/>
  <c r="S49" i="3"/>
  <c r="N49" i="3"/>
  <c r="S62" i="3"/>
  <c r="N62" i="3"/>
  <c r="N131" i="3"/>
  <c r="R407" i="3" s="1"/>
  <c r="S131" i="3"/>
  <c r="S144" i="3"/>
  <c r="N144" i="3"/>
  <c r="N214" i="3"/>
  <c r="S214" i="3"/>
  <c r="S227" i="3"/>
  <c r="N227" i="3"/>
  <c r="S217" i="3"/>
  <c r="N217" i="3"/>
  <c r="N267" i="3"/>
  <c r="S267" i="3"/>
  <c r="N258" i="3"/>
  <c r="S258" i="3"/>
  <c r="N271" i="3"/>
  <c r="S271" i="3"/>
  <c r="N222" i="3"/>
  <c r="S222" i="3"/>
  <c r="S325" i="3"/>
  <c r="N325" i="3"/>
  <c r="R428" i="3" s="1"/>
  <c r="S368" i="3"/>
  <c r="N368" i="3"/>
  <c r="S366" i="3"/>
  <c r="N366" i="3"/>
  <c r="S375" i="3"/>
  <c r="N375" i="3"/>
  <c r="S393" i="3"/>
  <c r="N393" i="3"/>
  <c r="S66" i="3"/>
  <c r="N66" i="3"/>
  <c r="N70" i="3"/>
  <c r="S70" i="3"/>
  <c r="S60" i="3"/>
  <c r="N60" i="3"/>
  <c r="S146" i="3"/>
  <c r="N146" i="3"/>
  <c r="S200" i="3"/>
  <c r="N200" i="3"/>
  <c r="N283" i="3"/>
  <c r="S283" i="3"/>
  <c r="N268" i="3"/>
  <c r="S268" i="3"/>
  <c r="S261" i="3"/>
  <c r="N261" i="3"/>
  <c r="R419" i="3" s="1"/>
  <c r="Z419" i="3" s="1"/>
  <c r="S274" i="3"/>
  <c r="N274" i="3"/>
  <c r="N327" i="3"/>
  <c r="R430" i="3" s="1"/>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R406" i="3" s="1"/>
  <c r="S130" i="3"/>
  <c r="S220" i="3"/>
  <c r="N220" i="3"/>
  <c r="N259" i="3"/>
  <c r="S259" i="3"/>
  <c r="N279" i="3"/>
  <c r="S279" i="3"/>
  <c r="S262" i="3"/>
  <c r="N262" i="3"/>
  <c r="R420" i="3" s="1"/>
  <c r="N373" i="3"/>
  <c r="S373" i="3"/>
  <c r="N371" i="3"/>
  <c r="S371" i="3"/>
  <c r="S392" i="3"/>
  <c r="N392" i="3"/>
  <c r="N52" i="3"/>
  <c r="R403" i="3" s="1"/>
  <c r="S52" i="3"/>
  <c r="N143" i="3"/>
  <c r="S143" i="3"/>
  <c r="N125" i="3"/>
  <c r="S125" i="3"/>
  <c r="S205" i="3"/>
  <c r="N205" i="3"/>
  <c r="R411" i="3" s="1"/>
  <c r="S199" i="3"/>
  <c r="N199" i="3"/>
  <c r="S208" i="3"/>
  <c r="N208" i="3"/>
  <c r="S255" i="3"/>
  <c r="N255" i="3"/>
  <c r="S263" i="3"/>
  <c r="N263" i="3"/>
  <c r="R421" i="3" s="1"/>
  <c r="S342" i="3"/>
  <c r="N342" i="3"/>
  <c r="S367" i="3"/>
  <c r="N367" i="3"/>
  <c r="S377" i="3"/>
  <c r="N377" i="3"/>
  <c r="S384" i="3"/>
  <c r="N384" i="3"/>
  <c r="N221" i="3"/>
  <c r="S221" i="3"/>
  <c r="AH491" i="3"/>
  <c r="AI491" i="3" s="1"/>
  <c r="AN491" i="3"/>
  <c r="AO491" i="3" s="1"/>
  <c r="N61" i="3"/>
  <c r="S61" i="3"/>
  <c r="S207" i="3"/>
  <c r="N207" i="3"/>
  <c r="R413" i="3" s="1"/>
  <c r="S201" i="3"/>
  <c r="N201" i="3"/>
  <c r="N278" i="3"/>
  <c r="S278" i="3"/>
  <c r="N277" i="3"/>
  <c r="S277" i="3"/>
  <c r="N260" i="3"/>
  <c r="S260" i="3"/>
  <c r="N276" i="3"/>
  <c r="S276" i="3"/>
  <c r="N328" i="3"/>
  <c r="S328" i="3"/>
  <c r="S339" i="3"/>
  <c r="N339" i="3"/>
  <c r="S390" i="3"/>
  <c r="N390" i="3"/>
  <c r="N388" i="3"/>
  <c r="S388" i="3"/>
  <c r="S386" i="3"/>
  <c r="N386" i="3"/>
  <c r="N51" i="3"/>
  <c r="R402" i="3" s="1"/>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S307" i="3"/>
  <c r="L241" i="3"/>
  <c r="S297" i="3"/>
  <c r="L184" i="3"/>
  <c r="N184" i="3" s="1"/>
  <c r="N185" i="3" s="1"/>
  <c r="N240" i="3"/>
  <c r="N241" i="3" s="1"/>
  <c r="L303" i="3"/>
  <c r="N303" i="3" s="1"/>
  <c r="N304" i="3" s="1"/>
  <c r="S296" i="3"/>
  <c r="N337" i="3"/>
  <c r="N334" i="3"/>
  <c r="N330" i="3"/>
  <c r="W330" i="3" s="1"/>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W14" i="3" s="1"/>
  <c r="R6" i="3"/>
  <c r="M6" i="3"/>
  <c r="S6" i="3"/>
  <c r="J184" i="3"/>
  <c r="R184" i="3" s="1"/>
  <c r="N361" i="3"/>
  <c r="S361" i="3"/>
  <c r="F232" i="3"/>
  <c r="K436" i="3" l="1"/>
  <c r="K409" i="3"/>
  <c r="K423" i="3"/>
  <c r="AP413" i="17"/>
  <c r="C64" i="19"/>
  <c r="G64" i="19" s="1"/>
  <c r="J64" i="19" s="1"/>
  <c r="AP427" i="17"/>
  <c r="AP435" i="17"/>
  <c r="AP410" i="17"/>
  <c r="R436" i="3"/>
  <c r="AP423" i="17"/>
  <c r="AP428" i="17"/>
  <c r="AP412" i="17"/>
  <c r="AP437" i="17"/>
  <c r="K433" i="3"/>
  <c r="K418" i="3"/>
  <c r="AP433" i="17"/>
  <c r="AP420" i="17"/>
  <c r="AP416" i="17"/>
  <c r="AP425" i="17"/>
  <c r="AP424" i="17"/>
  <c r="AP450" i="17"/>
  <c r="AP448" i="17"/>
  <c r="AP477" i="17"/>
  <c r="AP476" i="17"/>
  <c r="AP449" i="17"/>
  <c r="K414" i="3"/>
  <c r="AP439" i="17"/>
  <c r="AP417" i="17"/>
  <c r="AP431" i="17"/>
  <c r="AP478" i="17"/>
  <c r="AP473" i="17"/>
  <c r="K410" i="3"/>
  <c r="AN444" i="3"/>
  <c r="AO444" i="3" s="1"/>
  <c r="AP444" i="17"/>
  <c r="AN440" i="3"/>
  <c r="AO440" i="3" s="1"/>
  <c r="AP440" i="17"/>
  <c r="AN445" i="3"/>
  <c r="AO445" i="3" s="1"/>
  <c r="AP445" i="17"/>
  <c r="L437" i="3"/>
  <c r="AP430" i="17"/>
  <c r="L436" i="3"/>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E469" i="3"/>
  <c r="AP469" i="17"/>
  <c r="AN441" i="3"/>
  <c r="AO441" i="3" s="1"/>
  <c r="AP441" i="17"/>
  <c r="AH442" i="3"/>
  <c r="AI442" i="3" s="1"/>
  <c r="AP442" i="17"/>
  <c r="AE415" i="3"/>
  <c r="AP415" i="17"/>
  <c r="R437" i="3"/>
  <c r="R435" i="3"/>
  <c r="AC419" i="3"/>
  <c r="AH419" i="3" s="1"/>
  <c r="AI419" i="3" s="1"/>
  <c r="Z432" i="3"/>
  <c r="AN428" i="3"/>
  <c r="AO428" i="3" s="1"/>
  <c r="L435" i="3"/>
  <c r="K193" i="3"/>
  <c r="C38" i="19" s="1"/>
  <c r="I38" i="19" s="1"/>
  <c r="L38" i="19" s="1"/>
  <c r="L186" i="3"/>
  <c r="D9" i="19"/>
  <c r="AH470" i="17"/>
  <c r="AI470" i="17" s="1"/>
  <c r="AR470" i="17"/>
  <c r="H34" i="3"/>
  <c r="K439" i="3"/>
  <c r="V115" i="3"/>
  <c r="W115" i="3" s="1"/>
  <c r="V114" i="3"/>
  <c r="W114" i="3" s="1"/>
  <c r="V113" i="3"/>
  <c r="W113" i="3" s="1"/>
  <c r="G31" i="3"/>
  <c r="H40" i="3"/>
  <c r="E37" i="3"/>
  <c r="E39" i="3"/>
  <c r="E38" i="3"/>
  <c r="E36" i="3"/>
  <c r="E40" i="3"/>
  <c r="E35" i="3"/>
  <c r="H39" i="3"/>
  <c r="H38" i="3"/>
  <c r="H37" i="3"/>
  <c r="E34" i="3"/>
  <c r="H33" i="3"/>
  <c r="H36" i="3"/>
  <c r="E33" i="3"/>
  <c r="C21" i="19"/>
  <c r="H21" i="19" s="1"/>
  <c r="K21" i="19" s="1"/>
  <c r="L348" i="17"/>
  <c r="L350" i="17" s="1"/>
  <c r="X14" i="3"/>
  <c r="Y14" i="3" s="1"/>
  <c r="L27" i="3"/>
  <c r="K41" i="3" s="1"/>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D8" i="19"/>
  <c r="W19" i="3"/>
  <c r="D4" i="19"/>
  <c r="V19" i="3"/>
  <c r="C4" i="19"/>
  <c r="I4" i="19" s="1"/>
  <c r="L4" i="19" s="1"/>
  <c r="V20" i="3"/>
  <c r="C22" i="19"/>
  <c r="I22" i="19" s="1"/>
  <c r="L22" i="19" s="1"/>
  <c r="C5" i="19"/>
  <c r="C8" i="19" s="1"/>
  <c r="W20" i="3"/>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H66" i="19"/>
  <c r="K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K376" i="3"/>
  <c r="S376" i="3"/>
  <c r="N376" i="3"/>
  <c r="N134" i="3"/>
  <c r="N249" i="3"/>
  <c r="N250" i="3" s="1"/>
  <c r="L396" i="3"/>
  <c r="S396" i="3" s="1"/>
  <c r="N394" i="3"/>
  <c r="S394" i="3"/>
  <c r="L185" i="3"/>
  <c r="L193" i="3"/>
  <c r="N193" i="3"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V116" i="3" s="1"/>
  <c r="W116" i="3" s="1"/>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AD469" i="3" s="1"/>
  <c r="K22" i="3"/>
  <c r="R22" i="3" s="1"/>
  <c r="K23" i="3"/>
  <c r="R23" i="3" s="1"/>
  <c r="K21" i="3"/>
  <c r="R21" i="3" s="1"/>
  <c r="K13" i="3"/>
  <c r="N13" i="3"/>
  <c r="I66" i="19" l="1"/>
  <c r="L66" i="19" s="1"/>
  <c r="AM415" i="3"/>
  <c r="AP432" i="17"/>
  <c r="AG415" i="3"/>
  <c r="C70" i="19"/>
  <c r="I70" i="19" s="1"/>
  <c r="L70" i="19" s="1"/>
  <c r="AP418" i="17"/>
  <c r="AC432" i="3"/>
  <c r="D62" i="19" s="1"/>
  <c r="AI469" i="3"/>
  <c r="AQ469" i="3"/>
  <c r="AH432" i="17"/>
  <c r="AI432" i="17" s="1"/>
  <c r="AR432" i="17"/>
  <c r="U34" i="3"/>
  <c r="V34" i="3" s="1"/>
  <c r="U35" i="3"/>
  <c r="V35" i="3" s="1"/>
  <c r="U33" i="3"/>
  <c r="V33" i="3" s="1"/>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AA465" i="3"/>
  <c r="H27" i="3"/>
  <c r="I85" i="3"/>
  <c r="H54" i="3"/>
  <c r="H41" i="3"/>
  <c r="H8" i="19"/>
  <c r="K8" i="19" s="1"/>
  <c r="D14" i="19"/>
  <c r="E407" i="3"/>
  <c r="H407" i="3" s="1"/>
  <c r="I407" i="3" s="1"/>
  <c r="H9" i="19"/>
  <c r="K9" i="19" s="1"/>
  <c r="I9" i="19"/>
  <c r="L9" i="19" s="1"/>
  <c r="G9" i="19"/>
  <c r="J9" i="19" s="1"/>
  <c r="G38" i="19"/>
  <c r="J38" i="19" s="1"/>
  <c r="H38" i="19"/>
  <c r="K38" i="19" s="1"/>
  <c r="C46" i="19"/>
  <c r="I46" i="19" s="1"/>
  <c r="L46"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I12" i="19"/>
  <c r="L12" i="19" s="1"/>
  <c r="H12" i="19"/>
  <c r="K12" i="19" s="1"/>
  <c r="C72" i="19"/>
  <c r="D71" i="19"/>
  <c r="AA480" i="3"/>
  <c r="AA451" i="3"/>
  <c r="AA418" i="3"/>
  <c r="L82" i="3"/>
  <c r="S158" i="3"/>
  <c r="S162" i="3" s="1"/>
  <c r="N158" i="3"/>
  <c r="J112" i="3"/>
  <c r="AG414" i="3"/>
  <c r="AM414" i="3"/>
  <c r="K32" i="17"/>
  <c r="K37" i="17"/>
  <c r="K209" i="3"/>
  <c r="K34" i="17"/>
  <c r="K36" i="17"/>
  <c r="K33" i="17"/>
  <c r="L107" i="3"/>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N194" i="3"/>
  <c r="L194" i="3"/>
  <c r="M193" i="3" s="1"/>
  <c r="M308" i="3"/>
  <c r="J313" i="3"/>
  <c r="C50" i="19" s="1"/>
  <c r="K308" i="3"/>
  <c r="N308" i="3"/>
  <c r="N309" i="3" s="1"/>
  <c r="L313" i="3"/>
  <c r="L447" i="3" s="1"/>
  <c r="M447" i="3"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AF479" i="3" l="1"/>
  <c r="AD479" i="3" s="1"/>
  <c r="J82" i="3"/>
  <c r="H70" i="19"/>
  <c r="K70" i="19" s="1"/>
  <c r="G70" i="19"/>
  <c r="J70" i="19" s="1"/>
  <c r="D72" i="19"/>
  <c r="G72" i="19" s="1"/>
  <c r="J72" i="19" s="1"/>
  <c r="AC467" i="3"/>
  <c r="AA467" i="3" s="1"/>
  <c r="AH432" i="3"/>
  <c r="AI432" i="3" s="1"/>
  <c r="AA432" i="3"/>
  <c r="H39" i="19"/>
  <c r="K39" i="19" s="1"/>
  <c r="V37" i="3"/>
  <c r="S154" i="17"/>
  <c r="L164" i="17"/>
  <c r="S164" i="17" s="1"/>
  <c r="K154" i="17"/>
  <c r="I31" i="19"/>
  <c r="L31" i="19" s="1"/>
  <c r="G31" i="19"/>
  <c r="J31" i="19" s="1"/>
  <c r="G39" i="19"/>
  <c r="J39" i="19" s="1"/>
  <c r="X21" i="3"/>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D73" i="19"/>
  <c r="AN479" i="3"/>
  <c r="AO479" i="3" s="1"/>
  <c r="L83" i="3"/>
  <c r="C15" i="19" s="1"/>
  <c r="N82" i="3"/>
  <c r="N83" i="3" s="1"/>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AP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AF480" i="3" l="1"/>
  <c r="AH479" i="3"/>
  <c r="AI479" i="3" s="1"/>
  <c r="AE479" i="3"/>
  <c r="AP406" i="17"/>
  <c r="AC482" i="3"/>
  <c r="D74"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P480" i="17" s="1"/>
  <c r="AF482" i="17" l="1"/>
  <c r="AR482" i="17" s="1"/>
  <c r="AR480" i="17"/>
  <c r="D76" i="19"/>
  <c r="D77" i="19" s="1"/>
  <c r="I71" i="19"/>
  <c r="L71" i="19" s="1"/>
  <c r="G71" i="19"/>
  <c r="J71" i="19" s="1"/>
  <c r="H67" i="19"/>
  <c r="K67" i="19" s="1"/>
  <c r="I67" i="19"/>
  <c r="L67" i="19" s="1"/>
  <c r="G67" i="19"/>
  <c r="J67" i="19" s="1"/>
  <c r="I62" i="19"/>
  <c r="L62" i="19" s="1"/>
  <c r="G62" i="19"/>
  <c r="J62" i="19" s="1"/>
  <c r="G73" i="19"/>
  <c r="J73" i="19" s="1"/>
  <c r="AB497" i="3"/>
  <c r="AB488" i="3"/>
  <c r="AH480" i="17"/>
  <c r="AI480" i="17" s="1"/>
  <c r="AD480" i="17"/>
  <c r="AN480" i="17"/>
  <c r="AO480" i="17" s="1"/>
  <c r="D303" i="3"/>
  <c r="D308" i="3" s="1"/>
  <c r="AN482" i="17" l="1"/>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499" i="17"/>
  <c r="AE497" i="17"/>
  <c r="E50" i="2"/>
  <c r="E53" i="2" s="1"/>
  <c r="E56" i="2" s="1"/>
  <c r="E65" i="2" s="1"/>
  <c r="AH497" i="17"/>
  <c r="AI497" i="17" s="1"/>
  <c r="AN497" i="17"/>
  <c r="AO497" i="17" s="1"/>
  <c r="AF500" i="17"/>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500" i="3"/>
  <c r="AC500" i="3" s="1"/>
  <c r="AC501" i="3" s="1"/>
  <c r="Y497" i="3"/>
  <c r="L224" i="3"/>
  <c r="N224" i="3" s="1"/>
  <c r="L344" i="3"/>
  <c r="L348" i="3" s="1"/>
  <c r="AH447" i="3"/>
  <c r="AI447" i="3" s="1"/>
  <c r="L280" i="3"/>
  <c r="S280" i="3" s="1"/>
  <c r="L148" i="3"/>
  <c r="N148" i="3" s="1"/>
  <c r="L68" i="3"/>
  <c r="AF451" i="3"/>
  <c r="AP451" i="17" s="1"/>
  <c r="Z501"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C75" i="19"/>
  <c r="AH482" i="3"/>
  <c r="AI482" i="3" s="1"/>
  <c r="AE482" i="3"/>
  <c r="AF488" i="3"/>
  <c r="S352" i="3"/>
  <c r="K154" i="3"/>
  <c r="L164" i="3"/>
  <c r="N154" i="3"/>
  <c r="S154" i="3"/>
  <c r="S286" i="3"/>
  <c r="N286" i="3"/>
  <c r="L288" i="3"/>
  <c r="L85" i="3"/>
  <c r="K74" i="3"/>
  <c r="N74" i="3"/>
  <c r="G74" i="19" l="1"/>
  <c r="J74" i="19" s="1"/>
  <c r="AF497" i="3"/>
  <c r="AP488" i="17"/>
  <c r="L445" i="3"/>
  <c r="M445" i="3" s="1"/>
  <c r="S232" i="3"/>
  <c r="N232" i="3"/>
  <c r="H75" i="19"/>
  <c r="K75" i="19" s="1"/>
  <c r="G75" i="19"/>
  <c r="J75" i="19" s="1"/>
  <c r="AE488" i="3"/>
  <c r="AH488" i="3"/>
  <c r="AI488" i="3" s="1"/>
  <c r="N164" i="3"/>
  <c r="S164" i="3"/>
  <c r="S288" i="3"/>
  <c r="N288" i="3"/>
  <c r="AP497" i="17" l="1"/>
  <c r="AF500" i="3"/>
  <c r="AF501" i="3" s="1"/>
  <c r="C76" i="19"/>
  <c r="C80" i="19" s="1"/>
  <c r="AH497" i="3"/>
  <c r="AI497" i="3" s="1"/>
  <c r="AE497" i="3"/>
  <c r="C77" i="19" l="1"/>
  <c r="G76" i="19"/>
  <c r="J76" i="19" s="1"/>
  <c r="H76" i="19"/>
  <c r="K76" i="19" s="1"/>
  <c r="H77" i="19"/>
  <c r="K77" i="19" s="1"/>
  <c r="G77" i="19"/>
  <c r="J77" i="19" s="1"/>
  <c r="Q72" i="3" l="1"/>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 r="E405" i="3"/>
  <c r="H405" i="3" s="1"/>
  <c r="I405" i="3" s="1"/>
  <c r="E410" i="3" l="1"/>
  <c r="H410" i="3" s="1"/>
  <c r="I410" i="3" s="1"/>
  <c r="F406" i="3" l="1"/>
  <c r="F410" i="3"/>
  <c r="F407" i="3"/>
  <c r="F408" i="3"/>
  <c r="K440" i="3"/>
  <c r="F409" i="3"/>
  <c r="F405" i="3"/>
  <c r="M401" i="3" l="1"/>
  <c r="M402" i="3"/>
  <c r="M403" i="3"/>
  <c r="M421" i="3"/>
  <c r="N421" i="3" s="1"/>
  <c r="Q421" i="3" s="1"/>
  <c r="S421" i="3" s="1"/>
  <c r="M420" i="3"/>
  <c r="N420" i="3" s="1"/>
  <c r="Q420" i="3" s="1"/>
  <c r="S420" i="3" s="1"/>
  <c r="M419" i="3"/>
  <c r="M413" i="3"/>
  <c r="N413" i="3" s="1"/>
  <c r="Q413" i="3" s="1"/>
  <c r="S413" i="3" s="1"/>
  <c r="M412" i="3"/>
  <c r="N412" i="3" s="1"/>
  <c r="Q412" i="3" s="1"/>
  <c r="S412" i="3" s="1"/>
  <c r="M411" i="3"/>
  <c r="M428" i="3"/>
  <c r="N428" i="3" s="1"/>
  <c r="M430" i="3"/>
  <c r="N430" i="3" s="1"/>
  <c r="Q430" i="3" s="1"/>
  <c r="S430" i="3" s="1"/>
  <c r="M429" i="3"/>
  <c r="M406" i="3"/>
  <c r="M408" i="3"/>
  <c r="N408" i="3" s="1"/>
  <c r="Q408" i="3" s="1"/>
  <c r="S408" i="3" s="1"/>
  <c r="M407" i="3"/>
  <c r="N407" i="3" s="1"/>
  <c r="Q407" i="3" s="1"/>
  <c r="S407" i="3" s="1"/>
  <c r="N403" i="3" l="1"/>
  <c r="M437" i="3"/>
  <c r="N402" i="3"/>
  <c r="M436" i="3"/>
  <c r="M435" i="3"/>
  <c r="N401" i="3"/>
  <c r="N429" i="3"/>
  <c r="Q429" i="3" s="1"/>
  <c r="S429" i="3" s="1"/>
  <c r="M432" i="3"/>
  <c r="Q428" i="3"/>
  <c r="S428" i="3" s="1"/>
  <c r="M422" i="3"/>
  <c r="N419" i="3"/>
  <c r="M409" i="3"/>
  <c r="N406" i="3"/>
  <c r="N411" i="3"/>
  <c r="Q411" i="3" s="1"/>
  <c r="S411" i="3" s="1"/>
  <c r="M414" i="3"/>
  <c r="N414" i="3" s="1"/>
  <c r="M404" i="3"/>
  <c r="N432" i="3" l="1"/>
  <c r="Q402" i="3"/>
  <c r="S402" i="3" s="1"/>
  <c r="S436" i="3" s="1"/>
  <c r="N436" i="3"/>
  <c r="N435" i="3"/>
  <c r="Q401" i="3"/>
  <c r="N431" i="3"/>
  <c r="Q403" i="3"/>
  <c r="S403" i="3" s="1"/>
  <c r="S437" i="3" s="1"/>
  <c r="N437" i="3"/>
  <c r="N404" i="3"/>
  <c r="S401" i="3"/>
  <c r="Q406" i="3"/>
  <c r="S406" i="3" s="1"/>
  <c r="N409" i="3"/>
  <c r="N422" i="3"/>
  <c r="Q419" i="3"/>
  <c r="S419" i="3" s="1"/>
  <c r="U436" i="3" l="1"/>
  <c r="U437" i="3"/>
  <c r="S435"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A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<sst xmlns="http://schemas.openxmlformats.org/spreadsheetml/2006/main" count="14596" uniqueCount="3554">
  <si>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</si>
  <si>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</si>
  <si>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</si>
  <si>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</si>
  <si>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</si>
  <si>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</si>
  <si>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</si>
  <si>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</si>
  <si>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</si>
  <si>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</si>
  <si>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</si>
  <si>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</si>
  <si>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</si>
  <si>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</si>
  <si>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</si>
  <si>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</si>
  <si>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</si>
  <si>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</si>
  <si>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</si>
  <si>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</si>
  <si>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</si>
  <si>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</si>
  <si>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</si>
  <si>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</si>
  <si>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</si>
  <si>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</si>
  <si>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</si>
  <si>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</si>
  <si>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</si>
  <si>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</si>
  <si>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</si>
  <si>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</si>
  <si>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</si>
  <si>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</si>
  <si>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</si>
  <si>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</si>
  <si>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</si>
  <si>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</si>
  <si>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</si>
  <si>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</si>
  <si>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</si>
  <si>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</si>
  <si>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</si>
  <si>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</si>
  <si>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</si>
  <si>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</si>
  <si>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</si>
  <si>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</si>
  <si>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</si>
  <si>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</si>
  <si>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</si>
  <si>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</si>
  <si>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</si>
  <si>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</si>
  <si>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</si>
  <si>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</si>
  <si>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</si>
  <si>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</si>
  <si>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</si>
  <si>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</si>
  <si>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</si>
  <si>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</si>
  <si>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</si>
  <si>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</si>
  <si>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</si>
  <si>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</si>
  <si>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</si>
  <si>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</si>
  <si>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</si>
  <si>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</si>
  <si>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</si>
  <si>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</si>
  <si>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</si>
  <si>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</si>
  <si>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</si>
  <si>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</si>
  <si>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</si>
  <si>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</si>
  <si>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</si>
  <si>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</si>
  <si>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</si>
  <si>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</si>
  <si>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</si>
  <si>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</si>
  <si>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</si>
  <si>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</si>
  <si>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</si>
  <si>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</si>
  <si>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</si>
  <si>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</si>
  <si>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</si>
  <si>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</si>
  <si>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</si>
  <si>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</si>
  <si>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</si>
  <si>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</si>
  <si>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</si>
  <si>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</si>
  <si>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</si>
  <si>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</si>
  <si>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</si>
  <si>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</si>
  <si>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</si>
  <si>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</si>
  <si>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</si>
  <si>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</si>
  <si>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</si>
  <si>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</si>
  <si>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</si>
  <si>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</si>
  <si>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</si>
  <si>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</si>
  <si>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</si>
  <si>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</si>
  <si>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</si>
  <si>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</si>
  <si>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</si>
  <si>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</si>
  <si>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</si>
  <si>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</si>
  <si>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</si>
  <si>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</si>
  <si>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</si>
  <si>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</si>
  <si>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</si>
  <si>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</si>
  <si>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</si>
  <si>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</si>
  <si>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</si>
  <si>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</si>
  <si>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</si>
  <si>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</si>
  <si>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</si>
  <si>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</si>
  <si>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</si>
  <si>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</si>
  <si>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</si>
  <si>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</si>
  <si>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</si>
  <si>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</si>
  <si>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</si>
  <si>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</si>
  <si>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</si>
  <si>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</si>
  <si>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</si>
  <si>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</si>
  <si>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</si>
  <si>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</si>
  <si>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</si>
  <si>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</si>
  <si>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</si>
  <si>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</si>
  <si>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</si>
  <si>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</si>
  <si>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</si>
  <si>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</si>
  <si>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</si>
  <si>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</si>
  <si>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</si>
  <si>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</si>
  <si>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</si>
  <si>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</si>
  <si>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</si>
  <si>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</si>
  <si>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</si>
  <si>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</si>
  <si>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</si>
  <si>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</si>
  <si>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</si>
  <si>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</si>
  <si>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</si>
  <si>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</si>
  <si>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</si>
  <si>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</si>
  <si>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</si>
  <si>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</si>
  <si>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</si>
  <si>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</si>
  <si>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</si>
  <si>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</si>
  <si>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</si>
  <si>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</si>
  <si>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</si>
  <si>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</si>
  <si>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</si>
  <si>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</si>
  <si>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</si>
  <si>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</si>
  <si>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</si>
  <si>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</si>
  <si>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</si>
  <si>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</si>
  <si>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</si>
  <si>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</si>
  <si>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</si>
  <si>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</si>
  <si>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</si>
  <si>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</si>
  <si>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</si>
  <si>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</si>
  <si>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</si>
  <si>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</si>
  <si>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</si>
  <si>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</si>
  <si>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</si>
  <si>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</si>
  <si>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</si>
  <si>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</si>
  <si>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</si>
  <si>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</si>
  <si>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</si>
  <si>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</si>
  <si>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</si>
  <si>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</si>
  <si>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</si>
  <si>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</si>
  <si>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</si>
  <si>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</si>
  <si>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</si>
  <si>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</si>
  <si>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</si>
  <si>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</si>
  <si>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</si>
  <si>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</si>
  <si>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</si>
  <si>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</si>
  <si>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</si>
  <si>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</si>
  <si>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</si>
  <si>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</si>
  <si>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</si>
  <si>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</si>
  <si>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</si>
  <si>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</si>
  <si>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</si>
  <si>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</si>
  <si>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</si>
  <si>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</si>
  <si>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</si>
  <si>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</si>
  <si>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</si>
  <si>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</si>
  <si>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</si>
  <si>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</si>
  <si>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</si>
  <si>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</si>
  <si>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</si>
  <si>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</si>
  <si>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</si>
  <si>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</si>
  <si>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</si>
  <si>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</si>
  <si>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</si>
  <si>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</si>
  <si>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</si>
  <si>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</si>
  <si>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</si>
  <si>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</si>
  <si>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</si>
  <si>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</si>
  <si>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</si>
  <si>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</si>
  <si>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</si>
  <si>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</si>
  <si>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</si>
  <si>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</si>
  <si>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</si>
  <si>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</si>
  <si>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</si>
  <si>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</si>
  <si>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</si>
  <si>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</si>
  <si>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</si>
  <si>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</si>
  <si>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</si>
  <si>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</si>
  <si>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</si>
  <si>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</si>
  <si>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</si>
  <si>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</si>
  <si>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</si>
  <si>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</si>
  <si>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</si>
  <si>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</si>
  <si>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</si>
  <si>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</si>
  <si>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</si>
  <si>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</si>
  <si>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</si>
  <si>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</si>
  <si>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</si>
  <si>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</si>
  <si>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</si>
  <si>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</si>
  <si>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</si>
  <si>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</si>
  <si>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</si>
  <si>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</si>
  <si>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</si>
  <si>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</si>
  <si>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</si>
  <si>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</si>
  <si>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</si>
  <si>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</si>
  <si>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</si>
  <si>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</si>
  <si>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</si>
  <si>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</si>
  <si>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</si>
  <si>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</si>
  <si>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</si>
  <si>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</si>
  <si>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</si>
  <si>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</si>
  <si>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</si>
  <si>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</si>
  <si>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</si>
  <si>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</si>
  <si>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</si>
  <si>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</si>
  <si>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</si>
  <si>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</si>
  <si>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</si>
  <si>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</si>
  <si>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</si>
  <si>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</si>
  <si>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</si>
  <si>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</si>
  <si>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</si>
  <si>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</si>
  <si>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</si>
  <si>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</si>
  <si>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</si>
  <si>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</si>
  <si>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</si>
  <si>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</si>
  <si>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</si>
  <si>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</si>
  <si>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</si>
  <si>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</si>
  <si>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</si>
  <si>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</si>
  <si>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</si>
  <si>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</si>
  <si>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</si>
  <si>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</si>
  <si>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</si>
  <si>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</si>
  <si>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</si>
  <si>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</si>
  <si>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</si>
  <si>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</si>
  <si>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</si>
  <si>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</si>
  <si>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</si>
  <si>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</si>
  <si>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</si>
  <si>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</si>
  <si>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</si>
  <si>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</si>
  <si>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</si>
  <si>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</si>
  <si>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</si>
  <si>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</si>
  <si>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</si>
  <si>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</si>
  <si>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</si>
  <si>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</si>
  <si>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</si>
  <si>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</si>
  <si>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</si>
  <si>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</si>
  <si>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</si>
  <si>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</si>
  <si>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</si>
  <si>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</si>
  <si>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</si>
  <si>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</si>
  <si>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</si>
  <si>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</si>
  <si>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</si>
  <si>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</si>
  <si>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</si>
  <si>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</si>
  <si>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</si>
  <si>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</si>
  <si>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</si>
  <si>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</si>
  <si>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</si>
  <si>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</si>
  <si>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</si>
  <si>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</si>
  <si>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</si>
  <si>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</si>
  <si>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</si>
  <si>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</si>
  <si>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</si>
  <si>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</si>
  <si>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</si>
  <si>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</si>
  <si>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</si>
  <si>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</si>
  <si>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</si>
  <si>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</si>
  <si>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</si>
  <si>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</si>
  <si>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</si>
  <si>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</si>
  <si>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</si>
  <si>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</si>
  <si>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</si>
  <si>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</si>
  <si>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</si>
  <si>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</si>
  <si>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</si>
  <si>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</si>
  <si>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</si>
  <si>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</si>
  <si>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</si>
  <si>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</si>
  <si>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</si>
  <si>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</si>
  <si>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</si>
  <si>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</si>
  <si>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</si>
  <si>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</si>
  <si>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</si>
  <si>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</si>
  <si>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</si>
  <si>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</si>
  <si>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</si>
  <si>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</si>
  <si>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</si>
  <si>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</si>
  <si>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</si>
  <si>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</si>
  <si>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</si>
  <si>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</si>
  <si>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</si>
  <si>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</si>
  <si>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</si>
  <si>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</si>
  <si>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</si>
  <si>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</si>
  <si>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</si>
  <si>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</si>
  <si>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</si>
  <si>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</si>
  <si>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</si>
  <si>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</si>
  <si>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</si>
  <si>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</si>
  <si>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</si>
  <si>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</si>
  <si>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</si>
  <si>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</si>
  <si>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</si>
  <si>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</si>
  <si>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</si>
  <si>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</si>
  <si>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</si>
  <si>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</si>
  <si>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</si>
  <si>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</si>
  <si>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</si>
  <si>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</si>
  <si>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</si>
  <si>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</si>
  <si>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</si>
  <si>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</si>
  <si>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</si>
  <si>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</si>
  <si>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</si>
  <si>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</si>
  <si>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</si>
  <si>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</si>
  <si>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</si>
  <si>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</si>
  <si>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</si>
  <si>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</si>
  <si>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</si>
  <si>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</si>
  <si>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</si>
  <si>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</si>
  <si>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</si>
  <si>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</si>
  <si>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</si>
  <si>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</si>
  <si>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</si>
  <si>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</si>
  <si>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</si>
  <si>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</si>
  <si>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</si>
  <si>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</si>
  <si>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</si>
  <si>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</si>
  <si>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</si>
  <si>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</si>
  <si>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</si>
  <si>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</si>
  <si>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</si>
  <si>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</si>
  <si>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</si>
  <si>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</si>
  <si>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</si>
  <si>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</si>
  <si>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</si>
  <si>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</si>
  <si>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</si>
  <si>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</si>
  <si>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</si>
  <si>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</si>
  <si>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</si>
  <si>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</si>
  <si>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</si>
  <si>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</si>
  <si>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</si>
  <si>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</si>
  <si>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</si>
  <si>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</si>
  <si>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</si>
  <si>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</si>
  <si>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</si>
  <si>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</si>
  <si>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</si>
  <si>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</si>
  <si>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</si>
  <si>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</si>
  <si>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</si>
  <si>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</si>
  <si>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</si>
  <si>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</si>
  <si>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</si>
  <si>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</si>
  <si>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</si>
  <si>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</si>
  <si>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</si>
  <si>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</si>
  <si>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</si>
  <si>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</si>
  <si>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</si>
  <si>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</si>
  <si>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</si>
  <si>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</si>
  <si>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</si>
  <si>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</si>
  <si>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</si>
  <si>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</si>
  <si>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</si>
  <si>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</si>
  <si>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</si>
  <si>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</si>
  <si>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</si>
  <si>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</si>
  <si>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</si>
  <si>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</si>
  <si>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</si>
  <si>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</si>
  <si>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</si>
  <si>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</si>
  <si>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</si>
  <si>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</si>
  <si>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</si>
  <si>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</si>
  <si>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</si>
  <si>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</si>
  <si>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</si>
  <si>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</si>
  <si>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</si>
  <si>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</si>
  <si>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</si>
  <si>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</si>
  <si>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</si>
  <si>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</si>
  <si>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</si>
  <si>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</si>
  <si>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</si>
  <si>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</si>
  <si>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</si>
  <si>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</si>
  <si>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</si>
  <si>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</si>
  <si>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</si>
  <si>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</si>
  <si>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</si>
  <si>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</si>
  <si>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</si>
  <si>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</si>
  <si>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</si>
  <si>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</si>
  <si>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</si>
  <si>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</si>
  <si>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</si>
  <si>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</si>
  <si>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</si>
  <si>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</si>
  <si>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</si>
  <si>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</si>
  <si>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</si>
  <si>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</si>
  <si>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</si>
  <si>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</si>
  <si>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</si>
  <si>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</si>
  <si>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</si>
  <si>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</si>
  <si>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</si>
  <si>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</si>
  <si>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</si>
  <si>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</si>
  <si>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</si>
  <si>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</si>
  <si>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</si>
  <si>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</si>
  <si>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</si>
  <si>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</si>
  <si>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</si>
  <si>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</si>
  <si>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</si>
  <si>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</si>
  <si>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</si>
  <si>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</si>
  <si>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</si>
  <si>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</si>
  <si>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</si>
  <si>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</si>
  <si>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</si>
  <si>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</si>
  <si>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</si>
  <si>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</si>
  <si>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</si>
  <si>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</si>
  <si>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</si>
  <si>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</si>
  <si>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</si>
  <si>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</si>
  <si>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</si>
  <si>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</si>
  <si>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</si>
  <si>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</si>
  <si>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</si>
  <si>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</si>
  <si>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</si>
  <si>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</si>
  <si>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</si>
  <si>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</si>
  <si>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</si>
  <si>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</si>
  <si>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</si>
  <si>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</si>
  <si>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</si>
  <si>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</si>
  <si>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</si>
  <si>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</si>
  <si>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</si>
  <si>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</si>
  <si>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</si>
  <si>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</si>
  <si>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</si>
  <si>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</si>
  <si>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</si>
  <si>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</si>
  <si>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</si>
  <si>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</si>
  <si>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</si>
  <si>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</si>
  <si>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</si>
  <si>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</si>
  <si>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</si>
  <si>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</si>
  <si>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</si>
  <si>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</si>
  <si>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</si>
  <si>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</si>
  <si>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</si>
  <si>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</si>
  <si>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</si>
  <si>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</si>
  <si>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</si>
  <si>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</si>
  <si>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</si>
  <si>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</si>
  <si>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</si>
  <si>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</si>
  <si>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</si>
  <si>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</si>
  <si>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</si>
  <si>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</si>
  <si>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</si>
  <si>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</si>
  <si>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</si>
  <si>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</si>
  <si>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</si>
  <si>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</si>
  <si>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</si>
  <si>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</si>
  <si>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</si>
  <si>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</si>
  <si>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</si>
  <si>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</si>
  <si>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</si>
  <si>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</si>
  <si>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</si>
  <si>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</si>
  <si>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</si>
  <si>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</si>
  <si>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</si>
  <si>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</si>
  <si>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</si>
  <si>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</si>
  <si>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</si>
  <si>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</si>
  <si>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</si>
  <si>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</si>
  <si>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</si>
  <si>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</si>
  <si>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</si>
  <si>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</si>
  <si>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</si>
  <si>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</si>
  <si>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</si>
  <si>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</si>
  <si>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</si>
  <si>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</si>
  <si>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</si>
  <si>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</si>
  <si>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</si>
  <si>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</si>
  <si>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</si>
  <si>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</si>
  <si>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</si>
  <si>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</si>
  <si>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</si>
  <si>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</si>
  <si>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</si>
  <si>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</si>
  <si>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</si>
  <si>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</si>
  <si>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</si>
  <si>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</si>
  <si>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</si>
  <si>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</si>
  <si>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</si>
  <si>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</si>
  <si>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</si>
  <si>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</si>
  <si>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</si>
  <si>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</si>
  <si>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</si>
  <si>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</si>
  <si>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</si>
  <si>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</si>
  <si>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</si>
  <si>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</si>
  <si>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</si>
  <si>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</si>
  <si>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</si>
  <si>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</si>
  <si>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</si>
  <si>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</si>
  <si>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</si>
  <si>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</si>
  <si>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</si>
  <si>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</si>
  <si>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</si>
  <si>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</si>
  <si>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</si>
  <si>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</si>
  <si>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</si>
  <si>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</si>
  <si>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</si>
  <si>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</si>
  <si>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</si>
  <si>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</si>
  <si>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</si>
  <si>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</si>
  <si>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</si>
  <si>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</si>
  <si>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</si>
  <si>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</si>
  <si>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</si>
  <si>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</si>
  <si>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</si>
  <si>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</si>
  <si>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</si>
  <si>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</si>
  <si>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</si>
  <si>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</si>
  <si>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</si>
  <si>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</si>
  <si>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</si>
  <si>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</si>
  <si>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</si>
  <si>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</si>
  <si>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</si>
  <si>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</si>
  <si>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</si>
  <si>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</si>
  <si>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</si>
  <si>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</si>
  <si>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</si>
  <si>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</si>
  <si>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</si>
  <si>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</si>
  <si>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</si>
  <si>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</si>
  <si>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</si>
  <si>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</si>
  <si>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</si>
  <si>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</si>
  <si>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</si>
  <si>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</si>
  <si>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</si>
  <si>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</si>
  <si>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</si>
  <si>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</si>
  <si>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</si>
  <si>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</si>
  <si>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</si>
  <si>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</si>
  <si>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</si>
  <si>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</si>
  <si>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</si>
  <si>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</si>
  <si>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</si>
  <si>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</si>
  <si>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</si>
  <si>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</si>
  <si>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</si>
  <si>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</si>
  <si>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</si>
  <si>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</si>
  <si>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</si>
  <si>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</si>
  <si>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</si>
  <si>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</si>
  <si>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</si>
  <si>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</si>
  <si>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</si>
  <si>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</si>
  <si>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</si>
  <si>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</si>
  <si>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</si>
  <si>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</si>
  <si>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</si>
  <si>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</si>
  <si>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</si>
  <si>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</si>
  <si>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</si>
  <si>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</si>
  <si>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</si>
  <si>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</si>
  <si>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</si>
  <si>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</si>
  <si>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</si>
  <si>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</si>
  <si>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</si>
  <si>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</si>
  <si>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</si>
  <si>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</si>
  <si>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</si>
  <si>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</si>
  <si>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</si>
  <si>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</si>
  <si>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</si>
  <si>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</si>
  <si>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</si>
  <si>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</si>
  <si>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</si>
  <si>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</si>
  <si>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</si>
  <si>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</si>
  <si>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</si>
  <si>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</si>
  <si>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</si>
  <si>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</si>
  <si>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</si>
  <si>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</si>
  <si>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</si>
  <si>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</si>
  <si>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</si>
  <si>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</si>
  <si>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</si>
  <si>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</si>
  <si>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</si>
  <si>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</si>
  <si>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</si>
  <si>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</si>
  <si>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</si>
  <si>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</si>
  <si>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</si>
  <si>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</si>
  <si>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</si>
  <si>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</si>
  <si>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</si>
  <si>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</si>
  <si>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</si>
  <si>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</si>
  <si>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</si>
  <si>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</si>
  <si>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</si>
  <si>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</si>
  <si>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</si>
  <si>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</si>
  <si>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</si>
  <si>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</si>
  <si>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</si>
  <si>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</si>
  <si>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</si>
  <si>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</si>
  <si>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</si>
  <si>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</si>
  <si>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</si>
  <si>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</si>
  <si>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</si>
  <si>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</si>
  <si>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</si>
  <si>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</si>
  <si>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</si>
  <si>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</si>
  <si>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</si>
  <si>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</si>
  <si>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</si>
  <si>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</si>
  <si>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</si>
  <si>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</si>
  <si>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</si>
  <si>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</si>
  <si>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</si>
  <si>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</si>
  <si>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</si>
  <si>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</si>
  <si>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</si>
  <si>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</si>
  <si>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</si>
  <si>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</si>
  <si>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</si>
  <si>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</si>
  <si>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</si>
  <si>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</si>
  <si>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</si>
  <si>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</si>
  <si>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</si>
  <si>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</si>
  <si>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</si>
  <si>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</si>
  <si>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</si>
  <si>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</si>
  <si>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</si>
  <si>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</si>
  <si>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</si>
  <si>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</si>
  <si>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</si>
  <si>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</si>
  <si>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</si>
  <si>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</si>
  <si>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</si>
  <si>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</si>
  <si>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</si>
  <si>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</si>
  <si>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</si>
  <si>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</si>
  <si>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</si>
  <si>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</si>
  <si>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</si>
  <si>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</si>
  <si>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</si>
  <si>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</si>
  <si>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</si>
  <si>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</si>
  <si>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</si>
  <si>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</si>
  <si>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</si>
  <si>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</si>
  <si>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</si>
  <si>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</si>
  <si>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</si>
  <si>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</si>
  <si>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</si>
  <si>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</si>
  <si>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</si>
  <si>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</si>
  <si>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</si>
  <si>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</si>
  <si>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</si>
  <si>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</si>
  <si>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</si>
  <si>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</si>
  <si>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</si>
  <si>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</si>
  <si>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</si>
  <si>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</si>
  <si>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</si>
  <si>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</si>
  <si>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</si>
  <si>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</si>
  <si>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</si>
  <si>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</si>
  <si>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</si>
  <si>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</si>
  <si>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</si>
  <si>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</si>
  <si>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</si>
  <si>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</si>
  <si>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</si>
  <si>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</si>
  <si>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</si>
  <si>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</si>
  <si>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</si>
  <si>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</si>
  <si>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</si>
  <si>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</si>
  <si>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</si>
  <si>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</si>
  <si>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</si>
  <si>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</si>
  <si>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</si>
  <si>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</si>
  <si>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</si>
  <si>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</si>
  <si>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</si>
  <si>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</si>
  <si>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</si>
  <si>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</si>
  <si>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</si>
  <si>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</si>
  <si>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</si>
  <si>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</si>
  <si>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</si>
  <si>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</si>
  <si>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</si>
  <si>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</si>
  <si>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</si>
  <si>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</si>
  <si>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</si>
  <si>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</si>
  <si>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</si>
  <si>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</si>
  <si>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</si>
  <si>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</si>
  <si>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</si>
  <si>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</si>
  <si>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</si>
  <si>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</si>
  <si>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</si>
  <si>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</si>
  <si>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</si>
  <si>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</si>
  <si>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</si>
  <si>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</si>
  <si>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</si>
  <si>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</si>
  <si>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</si>
  <si>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</si>
  <si>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</si>
  <si>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</si>
  <si>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</si>
  <si>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</si>
  <si>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</si>
  <si>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</si>
  <si>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</si>
  <si>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</si>
  <si>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</si>
  <si>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</si>
  <si>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</si>
  <si>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</si>
  <si>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</si>
  <si>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</si>
  <si>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</si>
  <si>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</si>
  <si>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</si>
  <si>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</si>
  <si>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</si>
  <si>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</si>
  <si>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</si>
  <si>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</si>
  <si>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</si>
  <si>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</si>
  <si>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</si>
  <si>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</si>
  <si>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</si>
  <si>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</si>
  <si>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</si>
  <si>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</si>
  <si>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</si>
  <si>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</si>
  <si>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</si>
  <si>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</si>
  <si>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</si>
  <si>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</si>
  <si>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</si>
  <si>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</si>
  <si>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</si>
  <si>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</si>
  <si>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</si>
  <si>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</si>
  <si>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</si>
  <si>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</si>
  <si>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</si>
  <si>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</si>
  <si>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</si>
  <si>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</si>
  <si>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</si>
  <si>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</si>
  <si>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</si>
  <si>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</si>
  <si>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</si>
  <si>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</si>
  <si>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</si>
  <si>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</si>
  <si>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</si>
  <si>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</si>
  <si>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</si>
  <si>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</si>
  <si>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</si>
  <si>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</si>
  <si>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</si>
  <si>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</si>
  <si>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</si>
  <si>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</si>
  <si>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</si>
  <si>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</si>
  <si>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</si>
  <si>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</si>
  <si>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</si>
  <si>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</si>
  <si>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</si>
  <si>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</si>
  <si>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</si>
  <si>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</si>
  <si>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</si>
  <si>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</si>
  <si>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</si>
  <si>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</si>
  <si>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</si>
  <si>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</si>
  <si>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</si>
  <si>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</si>
  <si>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</si>
  <si>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</si>
  <si>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</si>
  <si>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</si>
  <si>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</si>
  <si>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</si>
  <si>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</si>
  <si>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</si>
  <si>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</si>
  <si>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</si>
  <si>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</si>
  <si>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</si>
  <si>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</si>
  <si>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</si>
  <si>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</si>
  <si>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</si>
  <si>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</si>
  <si>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</si>
  <si>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</si>
  <si>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</si>
  <si>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</si>
  <si>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</si>
  <si>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</si>
  <si>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</si>
  <si>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</si>
  <si>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</si>
  <si>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</si>
  <si>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</si>
  <si>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</si>
  <si>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</si>
  <si>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</si>
  <si>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</si>
  <si>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</si>
  <si>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</si>
  <si>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</si>
  <si>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</si>
  <si>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</si>
  <si>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</si>
  <si>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</si>
  <si>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</si>
  <si>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</si>
  <si>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</si>
  <si>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</si>
  <si>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</si>
  <si>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</si>
  <si>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</si>
  <si>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</si>
  <si>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</si>
  <si>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</si>
  <si>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</si>
  <si>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</si>
  <si>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</si>
  <si>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</si>
  <si>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</si>
  <si>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</si>
  <si>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</si>
  <si>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</si>
  <si>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</si>
  <si>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</si>
  <si>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</si>
  <si>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</si>
  <si>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</si>
  <si>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</si>
  <si>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</si>
  <si>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</si>
  <si>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</si>
  <si>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</si>
  <si>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</si>
  <si>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</si>
  <si>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</si>
  <si>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</si>
  <si>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</si>
  <si>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</si>
  <si>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</si>
  <si>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</si>
  <si>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</si>
  <si>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</si>
  <si>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</si>
  <si>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</si>
  <si>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</si>
  <si>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</si>
  <si>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</si>
  <si>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</si>
  <si>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</si>
  <si>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</si>
  <si>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</si>
  <si>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</si>
  <si>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</si>
  <si>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</si>
  <si>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</si>
  <si>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</si>
  <si>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</si>
  <si>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</si>
  <si>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</si>
  <si>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</si>
  <si>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</si>
  <si>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</si>
  <si>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</si>
  <si>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</si>
  <si>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</si>
  <si>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</si>
  <si>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</si>
  <si>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</si>
  <si>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</si>
  <si>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</si>
  <si>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</si>
  <si>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</si>
  <si>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</si>
  <si>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</si>
  <si>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</si>
  <si>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</si>
  <si>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</si>
  <si>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</si>
  <si>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</si>
  <si>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</si>
  <si>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</si>
  <si>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</si>
  <si>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</si>
  <si>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</si>
  <si>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</si>
  <si>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</si>
  <si>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</si>
  <si>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</si>
  <si>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</si>
  <si>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</si>
  <si>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</si>
  <si>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</si>
  <si>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</si>
  <si>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</si>
  <si>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</si>
  <si>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</si>
  <si>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</si>
  <si>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</si>
  <si>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</si>
  <si>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</si>
  <si>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</si>
  <si>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</si>
  <si>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</si>
  <si>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</si>
  <si>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</si>
  <si>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</si>
  <si>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</si>
  <si>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</si>
  <si>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</si>
  <si>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</si>
  <si>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</si>
  <si>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</si>
  <si>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</si>
  <si>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</si>
  <si>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</si>
  <si>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</si>
  <si>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</si>
  <si>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</si>
  <si>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</si>
  <si>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</si>
  <si>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</si>
  <si>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</si>
  <si>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</si>
  <si>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</si>
  <si>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</si>
  <si>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</si>
  <si>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</si>
  <si>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</si>
  <si>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</si>
  <si>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</si>
  <si>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</si>
  <si>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</si>
  <si>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</si>
  <si>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</si>
  <si>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</si>
  <si>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</si>
  <si>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</si>
  <si>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</si>
  <si>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</si>
  <si>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</si>
  <si>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</si>
  <si>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</si>
  <si>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</si>
  <si>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</si>
  <si>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</si>
  <si>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</si>
  <si>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</si>
  <si>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</si>
  <si>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</si>
  <si>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</si>
  <si>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</si>
  <si>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</si>
  <si>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</si>
  <si>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</si>
  <si>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</si>
  <si>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</si>
  <si>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</si>
  <si>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</si>
  <si>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</si>
  <si>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</si>
  <si>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</si>
  <si>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</si>
  <si>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</si>
  <si>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</si>
  <si>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</si>
  <si>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</si>
  <si>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</si>
  <si>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</si>
  <si>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</si>
  <si>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</si>
  <si>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</si>
  <si>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</si>
  <si>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</si>
  <si>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</si>
  <si>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</si>
  <si>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</si>
  <si>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</si>
  <si>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</si>
  <si>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</si>
  <si>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</si>
  <si>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</si>
  <si>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</si>
  <si>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</si>
  <si>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</si>
  <si>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</si>
  <si>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</si>
  <si>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</si>
  <si>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</si>
  <si>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</si>
  <si>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</si>
  <si>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</si>
  <si>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</si>
  <si>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</si>
  <si>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</si>
  <si>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</si>
  <si>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</si>
  <si>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</si>
  <si>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</si>
  <si>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</si>
  <si>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</si>
  <si>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</si>
  <si>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</si>
  <si>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</si>
  <si>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</si>
  <si>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</si>
  <si>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</si>
  <si>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</si>
  <si>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</si>
  <si>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</si>
  <si>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</si>
  <si>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</si>
  <si>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</si>
  <si>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</si>
  <si>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</si>
  <si>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</si>
  <si>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</si>
  <si>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</si>
  <si>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</si>
  <si>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</si>
  <si>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</si>
  <si>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</si>
  <si>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</si>
  <si>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</si>
  <si>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</si>
  <si>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</si>
  <si>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</si>
  <si>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</si>
  <si>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</si>
  <si>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</si>
  <si>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</si>
  <si>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</si>
  <si>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</si>
  <si>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</si>
  <si>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</si>
  <si>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</si>
  <si>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</si>
  <si>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</si>
  <si>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</si>
  <si>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</si>
  <si>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</si>
  <si>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</si>
  <si>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</si>
  <si>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</si>
  <si>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</si>
  <si>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</si>
  <si>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</si>
  <si>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</si>
  <si>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</si>
  <si>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</si>
  <si>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</si>
  <si>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</si>
  <si>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</si>
  <si>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</si>
  <si>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</si>
  <si>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</si>
  <si>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</si>
  <si>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</si>
  <si>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</si>
  <si>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</si>
  <si>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</si>
  <si>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</si>
  <si>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</si>
  <si>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</si>
  <si>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</si>
  <si>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</si>
  <si>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</si>
  <si>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</si>
  <si>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</si>
  <si>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</si>
  <si>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</si>
  <si>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</si>
  <si>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</si>
  <si>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</si>
  <si>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</si>
  <si>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</si>
  <si>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</si>
  <si>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</si>
  <si>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</si>
  <si>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</si>
  <si>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</si>
  <si>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</si>
  <si>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</si>
  <si>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</si>
  <si>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</si>
  <si>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</si>
  <si>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</si>
  <si>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</si>
  <si>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</si>
  <si>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</si>
  <si>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</si>
  <si>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</si>
  <si>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</si>
  <si>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</si>
  <si>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</si>
  <si>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</si>
  <si>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</si>
  <si>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</si>
  <si>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</si>
  <si>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</si>
  <si>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</si>
  <si>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</si>
  <si>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</si>
  <si>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</si>
  <si>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</si>
  <si>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</si>
  <si>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</si>
  <si>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</si>
  <si>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</si>
  <si>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</si>
  <si>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</si>
  <si>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</si>
  <si>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</si>
  <si>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</si>
  <si>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</si>
  <si>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</si>
  <si>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</si>
  <si>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</si>
  <si>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</si>
  <si>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</si>
  <si>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</si>
  <si>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</si>
  <si>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</si>
  <si>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</si>
  <si>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</si>
  <si>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</si>
  <si>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</si>
  <si>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</si>
  <si>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</si>
  <si>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</si>
  <si>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</si>
  <si>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</si>
  <si>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</si>
  <si>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</si>
  <si>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</si>
  <si>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</si>
  <si>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</si>
  <si>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</si>
  <si>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</si>
  <si>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</si>
  <si>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</si>
  <si>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</si>
  <si>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</si>
  <si>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</si>
  <si>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</si>
  <si>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</si>
  <si>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</si>
  <si>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</si>
  <si>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</si>
  <si>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</si>
  <si>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</si>
  <si>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</si>
  <si>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</si>
  <si>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</si>
  <si>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</si>
  <si>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</si>
  <si>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</si>
  <si>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</si>
  <si>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</si>
  <si>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</si>
  <si>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</si>
  <si>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</si>
  <si>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</si>
  <si>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</si>
  <si>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</si>
  <si>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</si>
  <si>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</si>
  <si>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</si>
  <si>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</si>
  <si>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</si>
  <si>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</si>
  <si>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</si>
  <si>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</si>
  <si>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</si>
  <si>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</si>
  <si>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</si>
  <si>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</si>
  <si>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</si>
  <si>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</si>
  <si>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</si>
  <si>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</si>
  <si>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</si>
  <si>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</si>
  <si>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</si>
  <si>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</si>
  <si>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</si>
  <si>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</si>
  <si>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</si>
  <si>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</si>
  <si>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</si>
  <si>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</si>
  <si>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</si>
  <si>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</si>
  <si>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</si>
  <si>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</si>
  <si>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</si>
  <si>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</si>
  <si>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</si>
  <si>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</si>
  <si>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</si>
  <si>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</si>
  <si>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</si>
  <si>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</si>
  <si>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</si>
  <si>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</si>
  <si>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</si>
  <si>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</si>
  <si>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</si>
  <si>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</si>
  <si>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</si>
  <si>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</si>
  <si>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</si>
  <si>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</si>
  <si>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</si>
  <si>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</si>
  <si>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</si>
  <si>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</si>
  <si>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</si>
  <si>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</si>
  <si>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</si>
  <si>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</si>
  <si>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</si>
  <si>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</si>
  <si>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</si>
  <si>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</si>
  <si>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</si>
  <si>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</si>
  <si>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</si>
  <si>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</si>
  <si>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</si>
  <si>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</si>
  <si>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</si>
  <si>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</si>
  <si>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</si>
  <si>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</si>
  <si>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</si>
  <si>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</si>
  <si>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</si>
  <si>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</si>
  <si>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</si>
  <si>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</si>
  <si>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</si>
  <si>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</si>
  <si>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</si>
  <si>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</si>
  <si>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</si>
  <si>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</si>
  <si>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</si>
  <si>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</si>
  <si>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</si>
  <si>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</si>
  <si>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</si>
  <si>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</si>
  <si>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</si>
  <si>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</si>
  <si>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</si>
  <si>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</si>
  <si>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</si>
  <si>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</si>
  <si>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</si>
  <si>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</si>
  <si>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</si>
  <si>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</si>
  <si>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</si>
  <si>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</si>
  <si>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</si>
  <si>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</si>
  <si>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</si>
  <si>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</si>
  <si>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</si>
  <si>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</si>
  <si>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</si>
  <si>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</si>
  <si>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</si>
  <si>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</si>
  <si>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</si>
  <si>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</si>
  <si>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</si>
  <si>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</si>
  <si>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</si>
  <si>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</si>
  <si>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</si>
  <si>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</si>
  <si>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</si>
  <si>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</si>
  <si>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</si>
  <si>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</si>
  <si>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</si>
  <si>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</si>
  <si>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</si>
  <si>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</si>
  <si>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</si>
  <si>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</si>
  <si>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</si>
  <si>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</si>
  <si>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</si>
  <si>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</si>
  <si>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</si>
  <si>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</si>
  <si>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</si>
  <si>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</si>
  <si>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</si>
  <si>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</si>
  <si>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</si>
  <si>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</si>
  <si>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</si>
  <si>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</si>
  <si>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</si>
  <si>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</si>
  <si>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</si>
  <si>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</si>
  <si>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</si>
  <si>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</si>
  <si>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</si>
  <si>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</si>
  <si>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</si>
  <si>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</si>
  <si>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</si>
  <si>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</si>
  <si>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</si>
  <si>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</si>
  <si>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</si>
  <si>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</si>
  <si>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</si>
  <si>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</si>
  <si>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</si>
  <si>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</si>
  <si>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</si>
  <si>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</si>
  <si>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</si>
  <si>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</si>
  <si>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</si>
  <si>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</si>
  <si>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</si>
  <si>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</si>
  <si>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</si>
  <si>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</si>
  <si>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</si>
  <si>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</si>
  <si>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</si>
  <si>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</si>
  <si>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</si>
  <si>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</si>
  <si>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</si>
  <si>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</si>
  <si>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</si>
  <si>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</si>
  <si>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</si>
  <si>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</si>
  <si>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</si>
  <si>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</si>
  <si>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</si>
  <si>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</si>
  <si>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</si>
  <si>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</si>
  <si>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</si>
  <si>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</si>
  <si>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</si>
  <si>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</si>
  <si>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</si>
  <si>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</si>
  <si>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</si>
  <si>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</si>
  <si>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</si>
  <si>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</si>
  <si>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</si>
  <si>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</si>
  <si>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</si>
  <si>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</si>
  <si>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</si>
  <si>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</si>
  <si>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</si>
  <si>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</si>
  <si>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</si>
  <si>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</si>
  <si>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</si>
  <si>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</si>
  <si>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</si>
  <si>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</si>
  <si>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</si>
  <si>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</si>
  <si>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</si>
  <si>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</si>
  <si>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</si>
  <si>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</si>
  <si>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</si>
  <si>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</si>
  <si>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</si>
  <si>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</si>
  <si>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</si>
  <si>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</si>
  <si>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</si>
  <si>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</si>
  <si>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</si>
  <si>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</si>
  <si>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</si>
  <si>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</si>
  <si>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</si>
  <si>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</si>
  <si>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</si>
  <si>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</si>
  <si>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</si>
  <si>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</si>
  <si>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</si>
  <si>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</si>
  <si>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</si>
  <si>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</si>
  <si>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</si>
  <si>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</si>
  <si>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</si>
  <si>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</si>
  <si>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</si>
  <si>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</si>
  <si>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</si>
  <si>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</si>
  <si>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</si>
  <si>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</si>
  <si>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</si>
  <si>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</si>
  <si>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</si>
  <si>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</si>
  <si>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</si>
  <si>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</si>
  <si>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</si>
  <si>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</si>
  <si>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</si>
  <si>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</si>
  <si>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</si>
  <si>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</si>
  <si>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</si>
  <si>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</si>
  <si>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</si>
  <si>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</si>
  <si>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</si>
  <si>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</si>
  <si>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</si>
  <si>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</si>
  <si>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</si>
  <si>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</si>
  <si>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</si>
  <si>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</si>
  <si>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</si>
  <si>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</si>
  <si>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</si>
  <si>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</si>
  <si>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</si>
  <si>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</si>
  <si>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</si>
  <si>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</si>
  <si>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</si>
  <si>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</si>
  <si>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</si>
  <si>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</si>
  <si>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</si>
  <si>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</si>
  <si>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</si>
  <si>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</si>
  <si>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</si>
  <si>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</si>
  <si>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</si>
  <si>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</si>
  <si>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</si>
  <si>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</si>
  <si>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</si>
  <si>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</si>
  <si>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</si>
  <si>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</si>
  <si>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</si>
  <si>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</si>
  <si>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</si>
  <si>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</si>
  <si>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</si>
  <si>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</si>
  <si>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</si>
  <si>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</si>
  <si>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</si>
  <si>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</si>
  <si>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</si>
  <si>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</si>
  <si>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</si>
  <si>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</si>
  <si>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</si>
  <si>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</si>
  <si>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</si>
  <si>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</si>
  <si>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</si>
  <si>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</si>
  <si>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</si>
  <si>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</si>
  <si>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</si>
  <si>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</si>
  <si>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</si>
  <si>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</si>
  <si>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</si>
  <si>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</si>
  <si>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</si>
  <si>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</si>
  <si>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</si>
  <si>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</si>
  <si>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</si>
  <si>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</si>
  <si>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</si>
  <si>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</si>
  <si>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</si>
  <si>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</si>
  <si>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</si>
  <si>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</si>
  <si>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</si>
  <si>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</si>
  <si>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</si>
  <si>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</si>
  <si>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</si>
  <si>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</si>
  <si>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</si>
  <si>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</si>
  <si>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</si>
  <si>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</si>
  <si>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</si>
  <si>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</si>
  <si>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</si>
  <si>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</si>
  <si>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</si>
  <si>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</si>
  <si>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</si>
  <si>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</si>
  <si>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</si>
  <si>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</si>
  <si>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</si>
  <si>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</si>
  <si>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</si>
  <si>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</si>
  <si>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</si>
  <si>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</si>
  <si>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</si>
  <si>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</si>
  <si>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</si>
  <si>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</si>
  <si>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</si>
  <si>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</si>
  <si>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</si>
  <si>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</si>
  <si>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</si>
  <si>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</si>
  <si>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</si>
  <si>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</si>
  <si>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</si>
  <si>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</si>
  <si>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</si>
  <si>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</si>
  <si>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</si>
  <si>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</si>
  <si>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</si>
  <si>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</si>
  <si>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</si>
  <si>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</si>
  <si>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</si>
  <si>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</si>
  <si>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</si>
  <si>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</si>
  <si>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</si>
  <si>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</si>
  <si>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</si>
  <si>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</si>
  <si>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</si>
  <si>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</si>
  <si>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</si>
  <si>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</si>
  <si>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</si>
  <si>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</si>
  <si>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</si>
  <si>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</si>
  <si>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</si>
  <si>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</si>
  <si>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</si>
  <si>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</si>
  <si>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</si>
  <si>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</si>
  <si>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</si>
  <si>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</si>
  <si>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</si>
  <si>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</si>
  <si>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</si>
  <si>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</si>
  <si>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</si>
  <si>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</si>
  <si>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</si>
  <si>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</si>
  <si>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</si>
  <si>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</si>
  <si>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</si>
  <si>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</si>
  <si>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</si>
  <si>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</si>
  <si>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</si>
  <si>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</si>
  <si>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</si>
  <si>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</si>
  <si>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</si>
  <si>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</si>
  <si>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</si>
  <si>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</si>
  <si>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</si>
  <si>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</si>
  <si>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</si>
  <si>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</si>
  <si>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</si>
  <si>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</si>
  <si>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</si>
  <si>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</si>
  <si>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</si>
  <si>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</si>
  <si>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</si>
  <si>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</si>
  <si>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</si>
  <si>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</si>
  <si>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</si>
  <si>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</si>
  <si>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</si>
  <si>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</si>
  <si>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</si>
  <si>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</si>
  <si>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</si>
  <si>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</si>
  <si>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</si>
  <si>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</si>
  <si>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</si>
  <si>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</si>
  <si>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</si>
  <si>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</si>
  <si>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</si>
  <si>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</si>
  <si>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</si>
  <si>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</si>
  <si>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</si>
  <si>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</si>
  <si>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</si>
  <si>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</si>
  <si>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</si>
  <si>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</si>
  <si>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</si>
  <si>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</si>
  <si>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</si>
  <si>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</si>
  <si>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</si>
  <si>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</si>
  <si>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</si>
  <si>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</si>
  <si>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</si>
  <si>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</si>
  <si>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</si>
  <si>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</si>
  <si>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</si>
  <si>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</si>
  <si>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</si>
  <si>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</si>
  <si>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</si>
  <si>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</si>
  <si>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</si>
  <si>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</si>
  <si>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</si>
  <si>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</si>
  <si>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</si>
  <si>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</si>
  <si>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</si>
  <si>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</si>
  <si>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</si>
  <si>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</si>
  <si>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</si>
  <si>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</si>
  <si>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</si>
  <si>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</si>
  <si>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</si>
  <si>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</si>
  <si>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</si>
  <si>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</si>
  <si>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</si>
  <si>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</si>
  <si>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</si>
  <si>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</si>
  <si>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</si>
  <si>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</si>
  <si>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</si>
  <si>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</si>
  <si>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</si>
  <si>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</si>
  <si>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</si>
  <si>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</si>
  <si>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</si>
  <si>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</si>
  <si>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</si>
  <si>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</si>
  <si>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</si>
  <si>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</si>
  <si>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</si>
  <si>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</si>
  <si>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</si>
  <si>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</si>
  <si>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</si>
  <si>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</si>
  <si>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</si>
  <si>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</si>
  <si>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</si>
  <si>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</si>
  <si>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</si>
  <si>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</si>
  <si>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</si>
  <si>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</si>
  <si>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</si>
  <si>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</si>
  <si>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</si>
  <si>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</si>
  <si>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</si>
  <si>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</si>
  <si>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</si>
  <si>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</si>
  <si>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</si>
  <si>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</si>
  <si>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</si>
  <si>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</si>
  <si>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</si>
  <si>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</si>
  <si>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</si>
  <si>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</si>
  <si>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</si>
  <si>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</si>
  <si>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</si>
  <si>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</si>
  <si>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</si>
  <si>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</si>
  <si>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</si>
  <si>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</si>
  <si>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</si>
  <si>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</si>
  <si>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</si>
  <si>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</si>
  <si>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</si>
  <si>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</si>
  <si>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</si>
  <si>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</si>
  <si>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</si>
  <si>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</si>
  <si>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</si>
  <si>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</si>
  <si>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</si>
  <si>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</si>
  <si>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</si>
  <si>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</si>
  <si>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</si>
  <si>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</si>
  <si>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</si>
  <si>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</si>
  <si>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</si>
  <si>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</si>
  <si>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</si>
  <si>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</si>
  <si>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</si>
  <si>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</si>
  <si>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</si>
  <si>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</si>
  <si>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</si>
  <si>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</si>
  <si>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</si>
  <si>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</si>
  <si>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</si>
  <si>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</si>
  <si>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</si>
  <si>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</si>
  <si>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</si>
  <si>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</si>
  <si>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</si>
  <si>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</si>
  <si>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</si>
  <si>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</si>
  <si>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</si>
  <si>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</si>
  <si>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</si>
  <si>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</si>
  <si>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</si>
  <si>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</si>
  <si>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</si>
  <si>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</si>
  <si>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</si>
  <si>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</si>
  <si>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</si>
  <si>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</si>
  <si>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</si>
  <si>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</si>
  <si>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</si>
  <si>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</si>
  <si>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</si>
  <si>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</si>
  <si>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</si>
  <si>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</si>
  <si>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</si>
  <si>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</si>
  <si>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</si>
  <si>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</si>
  <si>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</si>
  <si>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</si>
  <si>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</si>
  <si>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</si>
  <si>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</si>
  <si>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</si>
  <si>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</si>
  <si>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</si>
  <si>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</si>
  <si>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</si>
  <si>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</si>
  <si>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</si>
  <si>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</si>
  <si>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</si>
  <si>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</si>
  <si>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</si>
  <si>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</si>
  <si>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</si>
  <si>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</si>
  <si>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</si>
  <si>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</si>
  <si>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</si>
  <si>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</si>
  <si>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</si>
  <si>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</si>
  <si>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</si>
  <si>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</si>
  <si>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</si>
  <si>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</si>
  <si>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</si>
  <si>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</si>
  <si>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</si>
  <si>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</si>
  <si>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</si>
  <si>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</si>
  <si>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</si>
  <si>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</si>
  <si>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</si>
  <si>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</si>
  <si>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</si>
  <si>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</si>
  <si>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</si>
  <si>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</si>
  <si>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</si>
  <si>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</si>
  <si>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</si>
  <si>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</si>
  <si>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</si>
  <si>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</si>
  <si>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</si>
  <si>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</si>
  <si>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</si>
  <si>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</si>
  <si>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</si>
  <si>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</si>
  <si>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</si>
  <si>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</si>
  <si>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</si>
  <si>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</si>
  <si>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</si>
  <si>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</si>
  <si>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</si>
  <si>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</si>
  <si>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</si>
  <si>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</si>
  <si>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</si>
  <si>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</si>
  <si>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</si>
  <si>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</si>
  <si>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</si>
  <si>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</si>
  <si>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</si>
  <si>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</si>
  <si>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</si>
  <si>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</si>
  <si>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</si>
  <si>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</si>
  <si>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</si>
  <si>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</si>
  <si>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</si>
  <si>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</si>
  <si>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</si>
  <si>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</si>
  <si>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</si>
  <si>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</si>
  <si>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</si>
  <si>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</si>
  <si>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</si>
  <si>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</si>
  <si>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</si>
  <si>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</si>
  <si>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</si>
  <si>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</si>
  <si>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</si>
  <si>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</si>
  <si>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</si>
  <si>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</si>
  <si>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</si>
  <si>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</si>
  <si>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</si>
  <si>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</si>
  <si>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</si>
  <si>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</si>
  <si>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</si>
  <si>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</si>
  <si>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</si>
  <si>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</si>
  <si>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</si>
  <si>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</si>
  <si>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</si>
  <si>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</si>
  <si>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</si>
  <si>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</si>
  <si>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</si>
  <si>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</si>
  <si>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</si>
  <si>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</si>
  <si>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</si>
  <si>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</si>
  <si>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</si>
  <si>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</si>
  <si>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</si>
  <si>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</si>
  <si>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</si>
  <si>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</si>
  <si>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</si>
  <si>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</si>
  <si>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</si>
  <si>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</si>
  <si>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</si>
  <si>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</si>
  <si>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</si>
  <si>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</si>
  <si>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</si>
  <si>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</si>
  <si>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</si>
  <si>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</si>
  <si>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</si>
  <si>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</si>
  <si>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</si>
  <si>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</si>
  <si>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</si>
  <si>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</si>
  <si>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</si>
  <si>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</si>
  <si>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</si>
  <si>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</si>
  <si>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</si>
  <si>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</si>
  <si>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</si>
  <si>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</si>
  <si>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</si>
  <si>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</si>
  <si>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</si>
  <si>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</si>
  <si>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</si>
  <si>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</si>
  <si>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</si>
  <si>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</si>
  <si>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</si>
  <si>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</si>
  <si>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</si>
  <si>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</si>
  <si>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</si>
  <si>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</si>
  <si>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</si>
  <si>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</si>
  <si>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</si>
  <si>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</si>
  <si>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</si>
  <si>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</si>
  <si>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</si>
  <si>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</si>
  <si>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</si>
  <si>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</si>
  <si>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</si>
  <si>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</si>
  <si>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</si>
  <si>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</si>
  <si>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</si>
  <si>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</si>
  <si>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</si>
  <si>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</si>
  <si>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</si>
  <si>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</si>
  <si>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</si>
  <si>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</si>
  <si>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</si>
  <si>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</si>
  <si>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</si>
  <si>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</si>
  <si>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</si>
  <si>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</si>
  <si>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</si>
  <si>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</si>
  <si>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</si>
  <si>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</si>
  <si>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</si>
  <si>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</si>
  <si>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</si>
  <si>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</si>
  <si>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</si>
  <si>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</si>
  <si>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</si>
  <si>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</si>
  <si>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</si>
  <si>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</si>
  <si>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</si>
  <si>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</si>
  <si>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</si>
  <si>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</si>
  <si>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</si>
  <si>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</si>
  <si>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</si>
  <si>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</si>
  <si>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</si>
  <si>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</si>
  <si>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</si>
  <si>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</si>
  <si>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</si>
  <si>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</si>
  <si>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</si>
  <si>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</si>
  <si>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</si>
  <si>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</si>
  <si>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</si>
  <si>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</si>
  <si>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</si>
  <si>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</si>
  <si>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</si>
  <si>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</si>
  <si>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</si>
  <si>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</si>
  <si>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</si>
  <si>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</si>
  <si>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</si>
  <si>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</si>
  <si>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</si>
  <si>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</si>
  <si>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</si>
  <si>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</si>
  <si>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</si>
  <si>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</si>
  <si>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</si>
  <si>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</si>
  <si>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</si>
  <si>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</si>
  <si>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</si>
  <si>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</si>
  <si>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</si>
  <si>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</si>
  <si>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</si>
  <si>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</si>
  <si>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</si>
  <si>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</si>
  <si>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</si>
  <si>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</si>
  <si>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</si>
  <si>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</si>
  <si>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</si>
  <si>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</si>
  <si>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</si>
  <si>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</si>
  <si>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</si>
  <si>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</si>
  <si>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</si>
  <si>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</si>
  <si>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</si>
  <si>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</si>
  <si>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</si>
  <si>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</si>
  <si>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</si>
  <si>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</si>
  <si>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</si>
  <si>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</si>
  <si>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</si>
  <si>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</si>
  <si>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</si>
  <si>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</si>
  <si>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</si>
  <si>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</si>
  <si>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</si>
  <si>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</si>
  <si>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</si>
  <si>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</si>
  <si>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</si>
  <si>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</si>
  <si>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</si>
  <si>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</si>
  <si>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</si>
  <si>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</si>
  <si>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</si>
  <si>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</si>
  <si>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</si>
  <si>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</si>
  <si>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</si>
  <si>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</si>
  <si>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</si>
  <si>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</si>
  <si>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</si>
  <si>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</si>
  <si>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</si>
  <si>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</si>
  <si>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</si>
  <si>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</si>
  <si>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</si>
  <si>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</si>
  <si>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</si>
  <si>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</si>
  <si>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</si>
  <si>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</si>
  <si>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</si>
  <si>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</si>
  <si>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</si>
  <si>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</si>
  <si>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</si>
  <si>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</si>
  <si>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</si>
  <si>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</si>
  <si>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</si>
  <si>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</si>
  <si>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</si>
  <si>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</si>
  <si>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</si>
  <si>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</si>
  <si>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</si>
  <si>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</si>
  <si>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</si>
  <si>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</si>
  <si>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</si>
  <si>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</si>
  <si>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</si>
  <si>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</si>
  <si>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</si>
  <si>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</si>
  <si>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</si>
  <si>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</si>
  <si>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</si>
  <si>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</si>
  <si>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</si>
  <si>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</si>
  <si>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</si>
  <si>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</si>
  <si>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</si>
  <si>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</si>
  <si>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</si>
  <si>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</si>
  <si>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</si>
  <si>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</si>
  <si>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</si>
  <si>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</si>
  <si>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</si>
  <si>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</si>
  <si>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</si>
  <si>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</si>
  <si>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</si>
  <si>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</si>
  <si>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</si>
  <si>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</si>
  <si>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</si>
  <si>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</si>
  <si>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</si>
  <si>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</si>
  <si>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</si>
  <si>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</si>
  <si>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</si>
  <si>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</si>
  <si>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</si>
  <si>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</si>
  <si>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</si>
  <si>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</si>
  <si>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</si>
  <si>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</si>
  <si>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</si>
  <si>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</si>
  <si>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</si>
  <si>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</si>
  <si>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</si>
  <si>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</si>
  <si>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</si>
  <si>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</si>
  <si>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</si>
  <si>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</si>
  <si>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</si>
  <si>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</si>
  <si>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</si>
  <si>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</si>
  <si>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</si>
  <si>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</si>
  <si>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</si>
  <si>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</si>
  <si>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</si>
  <si>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</si>
  <si>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</si>
  <si>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</si>
  <si>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</si>
  <si>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</si>
  <si>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</si>
  <si>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</si>
  <si>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</si>
  <si>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</si>
  <si>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</si>
  <si>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</si>
  <si>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</si>
  <si>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</si>
  <si>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</si>
  <si>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</si>
  <si>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</si>
  <si>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</si>
  <si>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</si>
  <si>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</si>
  <si>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</si>
  <si>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</si>
  <si>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</si>
  <si>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</si>
  <si>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</si>
  <si>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</si>
  <si>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</si>
  <si>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</si>
  <si>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</si>
  <si>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</si>
  <si>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</si>
  <si>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</si>
  <si>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</si>
  <si>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</si>
  <si>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</si>
  <si>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</si>
  <si>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</si>
  <si>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</si>
  <si>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</si>
  <si>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</si>
  <si>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</si>
  <si>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</si>
  <si>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</si>
  <si>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</si>
  <si>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</si>
  <si>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</si>
  <si>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</si>
  <si>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</si>
  <si>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</si>
  <si>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</si>
  <si>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</si>
  <si>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</si>
  <si>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</si>
  <si>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</si>
  <si>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</si>
  <si>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</si>
  <si>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</si>
  <si>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</si>
  <si>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</si>
  <si>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</si>
  <si>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</si>
  <si>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</si>
  <si>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</si>
  <si>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</si>
  <si>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</si>
  <si>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</si>
  <si>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</si>
  <si>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</si>
  <si>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</si>
  <si>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</si>
  <si>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</si>
  <si>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</si>
  <si>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</si>
  <si>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</si>
  <si>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</si>
  <si>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</si>
  <si>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</si>
  <si>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</si>
  <si>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</si>
  <si>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</si>
  <si>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</si>
  <si>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</si>
  <si>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</si>
  <si>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</si>
  <si>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</si>
  <si>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</si>
  <si>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</si>
  <si>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</si>
  <si>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</si>
  <si>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</si>
  <si>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</si>
  <si>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</si>
  <si>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</si>
  <si>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</si>
  <si>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</si>
  <si>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</si>
  <si>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</si>
  <si>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</si>
  <si>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</si>
  <si>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</si>
  <si>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</si>
  <si>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</si>
  <si>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</si>
  <si>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</si>
  <si>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</si>
  <si>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</si>
  <si>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</si>
  <si>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</si>
  <si>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</si>
  <si>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</si>
  <si>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</si>
  <si>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</si>
  <si>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</si>
  <si>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</si>
  <si>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</si>
  <si>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</si>
  <si>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</si>
  <si>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</si>
  <si>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</si>
  <si>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</si>
  <si>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</si>
  <si>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</si>
  <si>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</si>
  <si>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</si>
  <si>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</si>
  <si>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</si>
  <si>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</si>
  <si>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</si>
  <si>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</si>
  <si>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</si>
  <si>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</si>
  <si>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</si>
  <si>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</si>
  <si>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</si>
  <si>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</si>
  <si>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</si>
  <si>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</si>
  <si>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</si>
  <si>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</si>
  <si>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</si>
  <si>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</si>
  <si>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</si>
  <si>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</si>
  <si>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</si>
  <si>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</si>
  <si>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</si>
  <si>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</si>
  <si>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</si>
  <si>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</si>
  <si>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</si>
  <si>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</si>
  <si>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</si>
  <si>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</si>
  <si>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</si>
  <si>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</si>
  <si>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</si>
  <si>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</si>
  <si>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</si>
  <si>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</si>
  <si>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</si>
  <si>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</si>
  <si>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</si>
  <si>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</si>
  <si>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</si>
  <si>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</si>
  <si>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</si>
  <si>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</si>
  <si>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</si>
  <si>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</si>
  <si>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</si>
  <si>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</si>
  <si>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</si>
  <si>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</si>
  <si>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</si>
  <si>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</si>
  <si>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</si>
  <si>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</si>
  <si>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</si>
  <si>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</si>
  <si>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</si>
  <si>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</si>
  <si>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</si>
  <si>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</si>
  <si>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</si>
  <si>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</si>
  <si>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</si>
  <si>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</si>
  <si>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</si>
  <si>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</si>
  <si>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</si>
  <si>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</si>
  <si>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</si>
  <si>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</si>
  <si>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</si>
  <si>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</si>
  <si>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</si>
  <si>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</si>
  <si>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</si>
  <si>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</si>
  <si>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</si>
  <si>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</si>
  <si>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</si>
  <si>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</si>
  <si>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</si>
  <si>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</si>
  <si>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</si>
  <si>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</si>
  <si>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</si>
  <si>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</si>
  <si>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</si>
  <si>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</si>
  <si>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</si>
  <si>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</si>
  <si>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</si>
  <si>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</si>
  <si>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</si>
  <si>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</si>
  <si>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</si>
  <si>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</si>
  <si>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</si>
  <si>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</si>
  <si>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</si>
  <si>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</si>
  <si>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</si>
  <si>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</si>
  <si>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</si>
  <si>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</si>
  <si>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</si>
  <si>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</si>
  <si>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</si>
  <si>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</si>
  <si>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</si>
  <si>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</si>
  <si>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</si>
  <si>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</si>
  <si>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</si>
  <si>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</si>
  <si>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</si>
  <si>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</si>
  <si>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</si>
  <si>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</si>
  <si>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</si>
  <si>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</si>
  <si>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</si>
  <si>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</si>
  <si>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</si>
  <si>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</si>
  <si>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</si>
  <si>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</si>
  <si>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</si>
  <si>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</si>
  <si>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</si>
  <si>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</si>
  <si>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</si>
  <si>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</si>
  <si>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</si>
  <si>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</si>
  <si>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</si>
  <si>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</si>
  <si>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</si>
  <si>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</si>
  <si>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</si>
  <si>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</si>
  <si>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</si>
  <si>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</si>
  <si>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</si>
  <si>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</si>
  <si>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</si>
  <si>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</si>
  <si>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</si>
  <si>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</si>
  <si>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</si>
  <si>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</si>
  <si>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</si>
  <si>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</si>
  <si>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</si>
  <si>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</si>
  <si>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</si>
  <si>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</si>
  <si>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</si>
  <si>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</si>
  <si>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</si>
  <si>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</si>
  <si>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</si>
  <si>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</si>
  <si>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</si>
  <si>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</si>
  <si>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</si>
  <si>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</si>
  <si>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</si>
  <si>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</si>
  <si>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</si>
  <si>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</si>
  <si>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</si>
  <si>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</si>
  <si>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</si>
  <si>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</si>
  <si>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</si>
  <si>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</si>
  <si>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</si>
  <si>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</si>
  <si>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</si>
  <si>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</si>
  <si>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</si>
  <si>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</si>
  <si>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</si>
  <si>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</si>
  <si>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Luc .5 de moin</t>
  </si>
  <si>
    <t>rémi de plus 5.5k et allocation % 8% versus 4% corrigé feb</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</si>
  <si>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</si>
  <si>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</si>
  <si>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</si>
  <si>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</si>
  <si>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</si>
  <si>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</si>
  <si>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</si>
  <si>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</si>
  <si>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</si>
  <si>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</si>
  <si>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</si>
  <si>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</si>
  <si>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</si>
  <si>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</si>
  <si>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</si>
  <si>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</si>
  <si>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</si>
  <si>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</si>
  <si>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</si>
  <si>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</si>
  <si>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</si>
  <si>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</si>
  <si>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</si>
  <si>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</si>
  <si>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</si>
  <si>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</si>
  <si>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Neuf</t>
  </si>
  <si>
    <t>corr</t>
  </si>
  <si>
    <t>DAS</t>
  </si>
  <si>
    <t>BM</t>
  </si>
  <si>
    <t>Masse salariale</t>
  </si>
  <si>
    <t>Carosserie</t>
  </si>
  <si>
    <t>Piece</t>
  </si>
  <si>
    <t>Ben Marginaux</t>
  </si>
  <si>
    <t>Caroline en maladie</t>
  </si>
  <si>
    <t xml:space="preserve">erreur pneu 2019 vendu mais cleint ont appelé apres pour avoir mais $10k vente de pneu en réserve - </t>
  </si>
  <si>
    <t>pneu/veh aad</t>
  </si>
  <si>
    <t>bonification vendeur</t>
  </si>
  <si>
    <t>VTE - RACHAT BAIL AUDI</t>
  </si>
  <si>
    <t>less cash deals 6 only</t>
  </si>
  <si>
    <t>VTES -TAOS</t>
  </si>
  <si>
    <t>4117</t>
  </si>
  <si>
    <t>TAOS</t>
  </si>
  <si>
    <t>4118@</t>
  </si>
  <si>
    <t>C/V - TAOS</t>
  </si>
  <si>
    <t>VTE - TAOS</t>
  </si>
  <si>
    <t># DE VTE - TAOS</t>
  </si>
  <si>
    <t>ATLAS</t>
  </si>
  <si>
    <t>ATLAS SPORT</t>
  </si>
  <si>
    <t>TIGUAN</t>
  </si>
  <si>
    <t>Compte de depense a payer</t>
  </si>
  <si>
    <t>250</t>
  </si>
  <si>
    <t xml:space="preserve">remi question </t>
  </si>
  <si>
    <t>remi question</t>
  </si>
  <si>
    <t>même explication que neuf split</t>
  </si>
  <si>
    <t>#Contrôle</t>
  </si>
  <si>
    <t>$ Inventaire</t>
  </si>
  <si>
    <t>$ Financé</t>
  </si>
  <si>
    <t>NIV</t>
  </si>
  <si>
    <t>Jours en stock</t>
  </si>
  <si>
    <t>CTRL</t>
  </si>
  <si>
    <t>Amount</t>
  </si>
  <si>
    <t>Financé</t>
  </si>
  <si>
    <t>Marque</t>
  </si>
  <si>
    <t>Modèle</t>
  </si>
  <si>
    <t>HYUNDAI</t>
  </si>
  <si>
    <t>HONDA</t>
  </si>
  <si>
    <t>NISSAN</t>
  </si>
  <si>
    <t>VTE - AUTRE PIECE/ACC/CARR B.R. INTERNE</t>
  </si>
  <si>
    <t># DE VTE - P&amp;A B.T. INTERNE AUDI</t>
  </si>
  <si>
    <t>4715@</t>
  </si>
  <si>
    <t>C/V - AUTRE PIECE/ACC/CARR B.R. INTERNE</t>
  </si>
  <si>
    <t>GOLF</t>
  </si>
  <si>
    <t>JETTA</t>
  </si>
  <si>
    <t>210893</t>
  </si>
  <si>
    <t>210820</t>
  </si>
  <si>
    <t>210805</t>
  </si>
  <si>
    <t>210790</t>
  </si>
  <si>
    <t>1V2BC2CAXMC221804</t>
  </si>
  <si>
    <t>1V2TR2CAXMC562025</t>
  </si>
  <si>
    <t>1V2FE2CA6MC236067</t>
  </si>
  <si>
    <t>1V2BE2CA7MC225206</t>
  </si>
  <si>
    <t>3VWG57AU2MM012984</t>
  </si>
  <si>
    <t>4906P</t>
  </si>
  <si>
    <t>SRX</t>
  </si>
  <si>
    <t>1GYEE437690117273</t>
  </si>
  <si>
    <t>210972A</t>
  </si>
  <si>
    <t>210638A</t>
  </si>
  <si>
    <t>5027P</t>
  </si>
  <si>
    <t>5015P</t>
  </si>
  <si>
    <t>210715A</t>
  </si>
  <si>
    <t>GOLF GTI</t>
  </si>
  <si>
    <t>JETTA SEDAN</t>
  </si>
  <si>
    <t>ELANTRA</t>
  </si>
  <si>
    <t>BEETLE CONVERT</t>
  </si>
  <si>
    <t>GOLF ALLTRACK</t>
  </si>
  <si>
    <t>3VW5T7AU9LM011262</t>
  </si>
  <si>
    <t>3VWW57BU9KM050042</t>
  </si>
  <si>
    <t>3VW507AT0GM814869</t>
  </si>
  <si>
    <t>3VW5DAATXKM502469</t>
  </si>
  <si>
    <t>1V2MR2CA1KC543784</t>
  </si>
  <si>
    <t>CADILLAC TRUCK</t>
  </si>
  <si>
    <t>VOLKSWAGEN</t>
  </si>
  <si>
    <t>2021</t>
  </si>
  <si>
    <t>2022</t>
  </si>
  <si>
    <t>RECEVABLES INTERCO</t>
  </si>
  <si>
    <t>COMPTES FOURNISSEURS INTERCO</t>
  </si>
  <si>
    <t>FPA PAYABLES</t>
  </si>
  <si>
    <t>COMPTE FOURNISSEURS INTERCO</t>
  </si>
  <si>
    <t>Pacing</t>
  </si>
  <si>
    <t>211014</t>
  </si>
  <si>
    <t>211055</t>
  </si>
  <si>
    <t>3VWC57BUXMM027617</t>
  </si>
  <si>
    <t>2009</t>
  </si>
  <si>
    <t>2018</t>
  </si>
  <si>
    <t>2013</t>
  </si>
  <si>
    <t>2019</t>
  </si>
  <si>
    <t>2017</t>
  </si>
  <si>
    <t>2016</t>
  </si>
  <si>
    <t>2020</t>
  </si>
  <si>
    <t>5035P</t>
  </si>
  <si>
    <t>3VW5DAATXKM502908</t>
  </si>
  <si>
    <t>5042P</t>
  </si>
  <si>
    <t>3VWW57BU8KM135955</t>
  </si>
  <si>
    <t>4951PA</t>
  </si>
  <si>
    <t>3VWH17AU2JM754068</t>
  </si>
  <si>
    <t>220011A</t>
  </si>
  <si>
    <t>3VV0B7AX7JM038517</t>
  </si>
  <si>
    <t>TOYOTA</t>
  </si>
  <si>
    <t>5052P</t>
  </si>
  <si>
    <t>3VW167AJ7GM268504</t>
  </si>
  <si>
    <t>2015</t>
  </si>
  <si>
    <t>211048A</t>
  </si>
  <si>
    <t>3VWN57BU0KM009875</t>
  </si>
  <si>
    <t>CIVIC SEDAN</t>
  </si>
  <si>
    <t>var</t>
  </si>
  <si>
    <t>ajsu</t>
  </si>
  <si>
    <t>220067</t>
  </si>
  <si>
    <t>3VV2B7AX6NM020721</t>
  </si>
  <si>
    <t>220071</t>
  </si>
  <si>
    <t>3VV2B7AX1NM019928</t>
  </si>
  <si>
    <t>220079</t>
  </si>
  <si>
    <t>1V2BR2CA9NC507501</t>
  </si>
  <si>
    <t>220108</t>
  </si>
  <si>
    <t>3VV2B7AX4NM029031</t>
  </si>
  <si>
    <t>211080</t>
  </si>
  <si>
    <t>3VV4B7AX4MM154344</t>
  </si>
  <si>
    <t>220114</t>
  </si>
  <si>
    <t>3VV0B7AX2NM030881</t>
  </si>
  <si>
    <t>220049A</t>
  </si>
  <si>
    <t>3VW447AU5JM258672</t>
  </si>
  <si>
    <t>5057P</t>
  </si>
  <si>
    <t>3VV1B7AX7JM041101</t>
  </si>
  <si>
    <t>5058P</t>
  </si>
  <si>
    <t>3VV4B7AX7KM056955</t>
  </si>
  <si>
    <t>220044A</t>
  </si>
  <si>
    <t>2HGFC2F56JH001684</t>
  </si>
  <si>
    <t>210983A</t>
  </si>
  <si>
    <t>3VWN57BU5KM135519</t>
  </si>
  <si>
    <t>211047B</t>
  </si>
  <si>
    <t>3VWG57AU6KM028103</t>
  </si>
  <si>
    <t>210456A</t>
  </si>
  <si>
    <t>1V2BP2CA7JC537922</t>
  </si>
  <si>
    <t>220096A</t>
  </si>
  <si>
    <t>3VW6T7BU4KM175147</t>
  </si>
  <si>
    <t>5061P</t>
  </si>
  <si>
    <t>3VW447AU0JM258630</t>
  </si>
  <si>
    <t>220026A</t>
  </si>
  <si>
    <t>3VV0B7AX1JM057807</t>
  </si>
  <si>
    <t>220106A</t>
  </si>
  <si>
    <t>ATLAS CROSS SP</t>
  </si>
  <si>
    <t>1V2TE2CA9MC229097</t>
  </si>
  <si>
    <t>211059A</t>
  </si>
  <si>
    <t>3VWW57BU7KM263992</t>
  </si>
  <si>
    <t>ROGUE</t>
  </si>
  <si>
    <t>210777A</t>
  </si>
  <si>
    <t>KMHD84LF4JU539504</t>
  </si>
  <si>
    <t>COROLLA</t>
  </si>
  <si>
    <t>220024A</t>
  </si>
  <si>
    <t>1V2DP2CA0JC523384</t>
  </si>
  <si>
    <t>RECEVABLES INTERCO VEHICULE</t>
  </si>
  <si>
    <t>PROFIT/PERTES DECEMBRE</t>
  </si>
  <si>
    <t>UNITES NEUVES VENDUES DECEMBRE</t>
  </si>
  <si>
    <t>REVENUE HOLDBACK DIFFERE</t>
  </si>
  <si>
    <t>2561</t>
  </si>
  <si>
    <t>heure banque ajust</t>
  </si>
  <si>
    <t>LHD interco</t>
  </si>
  <si>
    <t>actual</t>
  </si>
  <si>
    <t>desired</t>
  </si>
  <si>
    <t>210786</t>
  </si>
  <si>
    <t>1V2TR2CA9MC600912</t>
  </si>
  <si>
    <t>210446B</t>
  </si>
  <si>
    <t>2012</t>
  </si>
  <si>
    <t>ACCENT</t>
  </si>
  <si>
    <t>KMHCT5AE4CU014584</t>
  </si>
  <si>
    <t>211012A</t>
  </si>
  <si>
    <t>3VV2B7AXXJM108861</t>
  </si>
  <si>
    <t>211049A</t>
  </si>
  <si>
    <t>1V2NR2CA7JC534638</t>
  </si>
  <si>
    <t>E-GOLF</t>
  </si>
  <si>
    <t>220053A</t>
  </si>
  <si>
    <t>1V2MR2CA8JC529363</t>
  </si>
  <si>
    <t>220065A</t>
  </si>
  <si>
    <t>5N1AT2MT6JC844888</t>
  </si>
  <si>
    <t>2007</t>
  </si>
  <si>
    <t>220125A</t>
  </si>
  <si>
    <t>2T1BURHE4FC410655</t>
  </si>
  <si>
    <t>220134A</t>
  </si>
  <si>
    <t>3VWC57BU6KM053306</t>
  </si>
  <si>
    <t>220138A</t>
  </si>
  <si>
    <t>3VV2B7AX8KM085520</t>
  </si>
  <si>
    <t>220143A</t>
  </si>
  <si>
    <t>3VV2B7AX2JM054875</t>
  </si>
  <si>
    <t>220144A</t>
  </si>
  <si>
    <t>3VWG57AU4KM014636</t>
  </si>
  <si>
    <t>220146A</t>
  </si>
  <si>
    <t>3VWG17AU0JM256608</t>
  </si>
  <si>
    <t>5062P</t>
  </si>
  <si>
    <t>3VWW57BU5KM174891</t>
  </si>
  <si>
    <t>5065P</t>
  </si>
  <si>
    <t>3VW6T7AU2KM008707</t>
  </si>
  <si>
    <t>5066P</t>
  </si>
  <si>
    <t>GOLF R</t>
  </si>
  <si>
    <t>WVWLF7AU5GW145029</t>
  </si>
  <si>
    <t>5067P</t>
  </si>
  <si>
    <t>3VV1B7AX3JM086469</t>
  </si>
  <si>
    <t>5069P</t>
  </si>
  <si>
    <t>1V2TR2CA6JC581618</t>
  </si>
  <si>
    <t>AUDI</t>
  </si>
  <si>
    <t>5073P</t>
  </si>
  <si>
    <t>3VWC57BU0KM033620</t>
  </si>
  <si>
    <t>5074P</t>
  </si>
  <si>
    <t>3VWC57BU9KM120304</t>
  </si>
  <si>
    <t>5075P</t>
  </si>
  <si>
    <t>3VV0B7AX6JM094013</t>
  </si>
  <si>
    <t>Unités</t>
  </si>
  <si>
    <t>AJUSTEMENTS QG</t>
  </si>
  <si>
    <t>PROVISIONS QG</t>
  </si>
  <si>
    <t>CSST A PAYER OU RECEVOIR</t>
  </si>
  <si>
    <t>256</t>
  </si>
  <si>
    <t>UNITES USAGES DET./ DEC.</t>
  </si>
  <si>
    <t>p12</t>
  </si>
  <si>
    <t>VAR</t>
  </si>
  <si>
    <t>$9454 ajustment report vac 2021</t>
  </si>
  <si>
    <t>Budget 2022</t>
  </si>
  <si>
    <t>CONCESSION</t>
  </si>
  <si>
    <t>Forecast Immobilisation 2022 (en milliers)</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</si>
  <si>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</si>
  <si>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</si>
  <si>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</si>
  <si>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</si>
  <si>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</si>
  <si>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</si>
  <si>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</si>
  <si>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</si>
  <si>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</si>
  <si>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</si>
  <si>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</si>
  <si>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</si>
  <si>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</si>
  <si>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</si>
  <si>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</si>
  <si>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</si>
  <si>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</si>
  <si>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</si>
  <si>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</si>
  <si>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</si>
  <si>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</si>
  <si>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</si>
  <si>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</si>
  <si>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</si>
  <si>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</si>
  <si>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</si>
  <si>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</si>
  <si>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</si>
  <si>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Fast Rolling porte de garage</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</si>
  <si>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</si>
  <si>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</si>
  <si>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</si>
  <si>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</si>
  <si>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</si>
  <si>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</si>
  <si>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</si>
  <si>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</si>
  <si>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</si>
  <si>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</si>
  <si>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Comm sur rachat bail</t>
  </si>
  <si>
    <t>220189</t>
  </si>
  <si>
    <t>3VVAX7B23NM030929</t>
  </si>
  <si>
    <t>220180</t>
  </si>
  <si>
    <t>3VVAX7B26NM043965</t>
  </si>
  <si>
    <t>220191</t>
  </si>
  <si>
    <t>3VV3X7B2XNM048580</t>
  </si>
  <si>
    <t>220197</t>
  </si>
  <si>
    <t>3VV3X7B23NM047108</t>
  </si>
  <si>
    <t>220196</t>
  </si>
  <si>
    <t>3VV3X7B21NM047253</t>
  </si>
  <si>
    <t>220203</t>
  </si>
  <si>
    <t>3VV2B7AX3NM046063</t>
  </si>
  <si>
    <t>220167</t>
  </si>
  <si>
    <t>3VV3X7B27NM047211</t>
  </si>
  <si>
    <t>220211</t>
  </si>
  <si>
    <t>3VV8B7AX8NM057067</t>
  </si>
  <si>
    <t>220200</t>
  </si>
  <si>
    <t>3VV4B7AX4NM052527</t>
  </si>
  <si>
    <t>220183</t>
  </si>
  <si>
    <t>3VV4B7AX1NM053652</t>
  </si>
  <si>
    <t>220182</t>
  </si>
  <si>
    <t>1V2LP2CA6NC514867</t>
  </si>
  <si>
    <t>220159</t>
  </si>
  <si>
    <t>1V2LE2CA1NC207452</t>
  </si>
  <si>
    <t>5068PA</t>
  </si>
  <si>
    <t>3VWDX7AJ5CM337100</t>
  </si>
  <si>
    <t>220204A</t>
  </si>
  <si>
    <t>LEXUS</t>
  </si>
  <si>
    <t>IS 250</t>
  </si>
  <si>
    <t>JTHCK262372013821</t>
  </si>
  <si>
    <t>5085PA</t>
  </si>
  <si>
    <t>3VW1K7AJ0DM262275</t>
  </si>
  <si>
    <t>220017A</t>
  </si>
  <si>
    <t>3VW1K7AJ1FM210351</t>
  </si>
  <si>
    <t>220207A</t>
  </si>
  <si>
    <t>2010</t>
  </si>
  <si>
    <t>CHEVROLET TRUCK</t>
  </si>
  <si>
    <t>TRAVERSE</t>
  </si>
  <si>
    <t>1GNLVFEDXAJ239801</t>
  </si>
  <si>
    <t>5086P</t>
  </si>
  <si>
    <t>DODGE TRUCK</t>
  </si>
  <si>
    <t>JOURNEY</t>
  </si>
  <si>
    <t>3C4PDCAB6GT169960</t>
  </si>
  <si>
    <t>220154B</t>
  </si>
  <si>
    <t>PASSAT</t>
  </si>
  <si>
    <t>1VWAH7A33DC137319</t>
  </si>
  <si>
    <t>220186A</t>
  </si>
  <si>
    <t>3VW2B7AJ5HM259270</t>
  </si>
  <si>
    <t>220198A</t>
  </si>
  <si>
    <t>WVGJV7AX4GW014237</t>
  </si>
  <si>
    <t>220187A</t>
  </si>
  <si>
    <t>A7</t>
  </si>
  <si>
    <t>WAU2GCFC6CN085079</t>
  </si>
  <si>
    <t>220212A</t>
  </si>
  <si>
    <t>3VWG17AU1JM265950</t>
  </si>
  <si>
    <t>210952A</t>
  </si>
  <si>
    <t>3VWN57BUXKM071879</t>
  </si>
  <si>
    <t>220082C</t>
  </si>
  <si>
    <t>2T1BURHE1KC179255</t>
  </si>
  <si>
    <t>220018A</t>
  </si>
  <si>
    <t>3VWG17AU5JM258189</t>
  </si>
  <si>
    <t>5079P</t>
  </si>
  <si>
    <t>3VW217AU4GM056687</t>
  </si>
  <si>
    <t>220145A</t>
  </si>
  <si>
    <t>3VWC57BU5KM149279</t>
  </si>
  <si>
    <t>220202A</t>
  </si>
  <si>
    <t>3VWC57BU6KM008950</t>
  </si>
  <si>
    <t>220174A</t>
  </si>
  <si>
    <t>3VV0B7AX8JM019555</t>
  </si>
  <si>
    <t>220171A</t>
  </si>
  <si>
    <t>C-HR</t>
  </si>
  <si>
    <t>NMTKHMBX0JR028042</t>
  </si>
  <si>
    <t>220193A</t>
  </si>
  <si>
    <t>3VV0B7AX0JM070788</t>
  </si>
  <si>
    <t>210990A</t>
  </si>
  <si>
    <t>3VWG57BU1KM160975</t>
  </si>
  <si>
    <t>220179A</t>
  </si>
  <si>
    <t>MINI</t>
  </si>
  <si>
    <t>CLUBMAN</t>
  </si>
  <si>
    <t>WMWLU1C54J2F29262</t>
  </si>
  <si>
    <t>220201A</t>
  </si>
  <si>
    <t>3VV2B7AX4JM037057</t>
  </si>
  <si>
    <t>210789A</t>
  </si>
  <si>
    <t>3VWE57BU2KM015757</t>
  </si>
  <si>
    <t>220190A</t>
  </si>
  <si>
    <t>3VWG57BU0KM168355</t>
  </si>
  <si>
    <t>5081P</t>
  </si>
  <si>
    <t>3VV2B7AXXJM184306</t>
  </si>
  <si>
    <t>220177A</t>
  </si>
  <si>
    <t>LEAF</t>
  </si>
  <si>
    <t>1N4AZ1CPXKC301391</t>
  </si>
  <si>
    <t>5084P</t>
  </si>
  <si>
    <t>3VV4B7AX1JM113536</t>
  </si>
  <si>
    <t>220210A</t>
  </si>
  <si>
    <t>3VV2B7AX1JM049232</t>
  </si>
  <si>
    <t>220209A</t>
  </si>
  <si>
    <t>SUBARU</t>
  </si>
  <si>
    <t>CROSSTREK</t>
  </si>
  <si>
    <t>JF2GTAECXJH326276</t>
  </si>
  <si>
    <t>220194A</t>
  </si>
  <si>
    <t>3VV2B7AX2JM117795</t>
  </si>
  <si>
    <t>220047B</t>
  </si>
  <si>
    <t>3VW4T7AU3HM047967</t>
  </si>
  <si>
    <t>220135B</t>
  </si>
  <si>
    <t>WVWPR7AU3LW909267</t>
  </si>
  <si>
    <t>220206A</t>
  </si>
  <si>
    <t>BMW SAV</t>
  </si>
  <si>
    <t>X1</t>
  </si>
  <si>
    <t>WBXHT3C38J5F92520</t>
  </si>
  <si>
    <t>220176A</t>
  </si>
  <si>
    <t>3VW6T7BU3LM057589</t>
  </si>
  <si>
    <t>5076PA</t>
  </si>
  <si>
    <t>TOUAREG</t>
  </si>
  <si>
    <t>WVGEF9BP0GD011176</t>
  </si>
  <si>
    <t>220163A</t>
  </si>
  <si>
    <t>EQUINOX</t>
  </si>
  <si>
    <t>2GNAXUEV5L6228459</t>
  </si>
  <si>
    <t>220160A</t>
  </si>
  <si>
    <t>WVWVF7AU0HW174125</t>
  </si>
  <si>
    <t>5083P</t>
  </si>
  <si>
    <t>3VW5T7AU2KM029942</t>
  </si>
  <si>
    <t>5077P</t>
  </si>
  <si>
    <t>3VV4B7AX7LM136094</t>
  </si>
  <si>
    <t>5082P</t>
  </si>
  <si>
    <t>3VV4B7AX6LM082318</t>
  </si>
  <si>
    <t>220116A</t>
  </si>
  <si>
    <t>JEEP</t>
  </si>
  <si>
    <t>GRAND CHEROKEE</t>
  </si>
  <si>
    <t>1C4RJFJG1KC634602</t>
  </si>
  <si>
    <t>5078P</t>
  </si>
  <si>
    <t>1V2TE2CA4LC219740</t>
  </si>
  <si>
    <t>210778A</t>
  </si>
  <si>
    <t>RAM</t>
  </si>
  <si>
    <t>1C6SRFLT2KN708075</t>
  </si>
  <si>
    <t>HB per u</t>
  </si>
  <si>
    <t>unit wo HB</t>
  </si>
  <si>
    <t>HB units</t>
  </si>
  <si>
    <t>$2100 accident service</t>
  </si>
  <si>
    <t>14 référencement</t>
  </si>
  <si>
    <t xml:space="preserve"> x $150</t>
  </si>
  <si>
    <t>25 unités fin de moi</t>
  </si>
  <si>
    <t>trimestriel</t>
  </si>
  <si>
    <t>bon fermé</t>
  </si>
  <si>
    <t>Metayer</t>
  </si>
  <si>
    <t>A vs B</t>
  </si>
  <si>
    <t>Bonus if not in #</t>
  </si>
  <si>
    <t>%</t>
  </si>
  <si>
    <t>SST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</si>
  <si>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</si>
  <si>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</si>
  <si>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</si>
  <si>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</si>
  <si>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</si>
  <si>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</si>
  <si>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</si>
  <si>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</si>
  <si>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</si>
  <si>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</si>
  <si>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</si>
  <si>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</si>
  <si>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</si>
  <si>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</si>
  <si>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</si>
  <si>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</si>
  <si>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</si>
  <si>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</si>
  <si>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</si>
  <si>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</si>
  <si>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</si>
  <si>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</si>
  <si>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</si>
  <si>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</si>
  <si>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</si>
  <si>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</si>
  <si>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</si>
  <si>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</si>
  <si>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</si>
  <si>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</si>
  <si>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</si>
  <si>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</si>
  <si>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</si>
  <si>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</si>
  <si>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</si>
  <si>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</si>
  <si>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</si>
  <si>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</si>
  <si>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</si>
  <si>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</si>
  <si>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</si>
  <si>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</si>
  <si>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</si>
  <si>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</si>
  <si>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</si>
  <si>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</si>
  <si>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</si>
  <si>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</si>
  <si>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</si>
  <si>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</si>
  <si>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</si>
  <si>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</si>
  <si>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</si>
  <si>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</si>
  <si>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</si>
  <si>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</si>
  <si>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</si>
  <si>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</si>
  <si>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</si>
  <si>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</si>
  <si>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</si>
  <si>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</si>
  <si>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</si>
  <si>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</si>
  <si>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</si>
  <si>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</si>
  <si>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</si>
  <si>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</si>
  <si>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</si>
  <si>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</si>
  <si>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</si>
  <si>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</si>
  <si>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</si>
  <si>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</si>
  <si>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</si>
  <si>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</si>
  <si>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</si>
  <si>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</si>
  <si>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</si>
  <si>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</si>
  <si>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</si>
  <si>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</si>
  <si>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</si>
  <si>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</si>
  <si>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</si>
  <si>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</si>
  <si>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</si>
  <si>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</si>
  <si>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</si>
  <si>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</si>
  <si>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</si>
  <si>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</si>
  <si>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</si>
  <si>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</si>
  <si>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</si>
  <si>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</si>
  <si>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</si>
  <si>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</si>
  <si>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</si>
  <si>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</si>
  <si>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</si>
  <si>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</si>
  <si>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</si>
  <si>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</si>
  <si>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</si>
  <si>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</si>
  <si>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</si>
  <si>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</si>
  <si>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</si>
  <si>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</si>
  <si>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</si>
  <si>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</si>
  <si>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</si>
  <si>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</si>
  <si>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</si>
  <si>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</si>
  <si>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</si>
  <si>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</si>
  <si>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</si>
  <si>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</si>
  <si>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</si>
  <si>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</si>
  <si>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</si>
  <si>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</si>
  <si>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</si>
  <si>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</si>
  <si>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</si>
  <si>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</si>
  <si>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</si>
  <si>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</si>
  <si>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</si>
  <si>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</si>
  <si>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</si>
  <si>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</si>
  <si>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</si>
  <si>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</si>
  <si>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</si>
  <si>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</si>
  <si>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</si>
  <si>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</si>
  <si>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</si>
  <si>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</si>
  <si>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</si>
  <si>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</si>
  <si>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</si>
  <si>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</si>
  <si>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</si>
  <si>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</si>
  <si>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</si>
  <si>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</si>
  <si>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</si>
  <si>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</si>
  <si>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</si>
  <si>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</si>
  <si>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</si>
  <si>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</si>
  <si>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</si>
  <si>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</si>
  <si>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</si>
  <si>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</si>
  <si>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</si>
  <si>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</si>
  <si>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</si>
  <si>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</si>
  <si>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</si>
  <si>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</si>
  <si>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</si>
  <si>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</si>
  <si>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</si>
  <si>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</si>
  <si>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</si>
  <si>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</si>
  <si>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</si>
  <si>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</si>
  <si>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</si>
  <si>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</si>
  <si>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</si>
  <si>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</si>
  <si>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</si>
  <si>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</si>
  <si>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</si>
  <si>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</si>
  <si>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</si>
  <si>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</si>
  <si>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</si>
  <si>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</si>
  <si>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</si>
  <si>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</si>
  <si>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</si>
  <si>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</si>
  <si>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</si>
  <si>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</si>
  <si>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</si>
  <si>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</si>
  <si>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</si>
  <si>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</si>
  <si>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</si>
  <si>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</si>
  <si>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</si>
  <si>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</si>
  <si>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</si>
  <si>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</si>
  <si>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</si>
  <si>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</si>
  <si>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</si>
  <si>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</si>
  <si>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</si>
  <si>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</si>
  <si>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</si>
  <si>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</si>
  <si>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</si>
  <si>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</si>
  <si>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</si>
  <si>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</si>
  <si>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</si>
  <si>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</si>
  <si>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</si>
  <si>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</si>
  <si>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</si>
  <si>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</si>
  <si>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</si>
  <si>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</si>
  <si>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</si>
  <si>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</si>
  <si>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</si>
  <si>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</si>
  <si>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</si>
  <si>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</si>
  <si>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</si>
  <si>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</si>
  <si>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</si>
  <si>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</si>
  <si>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</si>
  <si>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</si>
  <si>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</si>
  <si>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</si>
  <si>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</si>
  <si>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</si>
  <si>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</si>
  <si>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</si>
  <si>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</si>
  <si>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</si>
  <si>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</si>
  <si>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</si>
  <si>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 xml:space="preserve">Dans un contexte de pénurie nous avons à la fois fait avec nos unités disponibles et optimisé chaque opportunité. 2900 front et 1050 back. 47 unités livrées.
Le net du mois finit à 77257$ en over du budget qui était 20274$.
Inventaires très bas en fin de mois de 25 unités dont 7 véhicules de courtoisies et 5 démonstrateurs donc 13 unités à vendre ! 
Dépenses plus que maitrisées et notamment réduites par l’embauche différée de 2 personnes.
</t>
  </si>
  <si>
    <t xml:space="preserve">Au budget mais pas de fierté en ce sens que nos volumes sont trop bas et nous avons identifié des failles d’organisation dans notre stockage et marchandisage qui sont maintenant résolues. Nous aurions pu faire plus de volume avec la même qualité de profit dans chaque transaction.
Profit par unité à 2810$ rassurant avec une approche déjà optimisée sur le reconditionnement.
Février = 1 vendeur de plus et l’ajout du directeur adjoint va permettre de voir plus loin.
</t>
  </si>
  <si>
    <t xml:space="preserve">Flush avec le budget. Le « client paye » a donné le profit qui a manqué en garantie. L’interne est bon en chiffres absolus mais aurait aussi pu être plus élevé avec un volume used au niveau qu’il aurait dû être. Le mois finit avec 7653$ over budget avec une perte de seulement 2775$.
Grosse performance de $/bon à 291.67$. C’est inédit.
Des dépenses sous contrôle et on a bénéficié des nombreuses absences ou congés des salaires autres mais d’un autre côté on a aussi subi des impacts COVID d’absence employés mais aussi de clients. La stratégie de surbooking horaire sur février montrera sans doute une partie de solution.
</t>
  </si>
  <si>
    <t xml:space="preserve">Un mois au budget grâce à 2 hommes qui ont rempli le rôle de 4. Un recrutement était planifié et a démarré le 7 février. Un autre est en cours ; on vise le 28 février en démarrage.
Budget dépassé de justesse malgré des difficultés d’approvisionnement. Le profit sur les pneus évolue à la hausse VS la moyenne 2021. On affine notre stratégie de volume.
La carrosserie est légèrement sous le budget. Beaucoup de pièces ont eu du retard et n’ont pas permis de livrer des dossiers en cours et ceci a eu un impact jusqu’au profit des pièces (3052$ !)
Belle performance de wholesale avec un chiffre d’affaires de 75602$. La prochaine étape est de mieux maitriser nos profits sur ce créneau.
</t>
  </si>
  <si>
    <t>Moins de monde en janvier, des dépenses sous contrôle et peu d’intérêts de floor plan en conséquence de peu d’inventaire.</t>
  </si>
  <si>
    <t xml:space="preserve">La lecture de ce beau résultat ne doit pas occulter nos plans d’actions et continuer à refuser le statu quo.
Février et Mars seront concernés par une certaine restriction de production du manufacturier, nous devons protéger toutes nos opportunités.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</si>
</sst>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6" formatCode="&quot;$&quot;#,##0_);[Red]\(&quot;$&quot;#,##0\)"/>
    <numFmt numFmtId="44" formatCode="_(&quot;$&quot;* #,##0.00_);_(&quot;$&quot;* \(#,##0.00\);_(&quot;$&quot;* &quot;-&quot;??_);_(@_)"/>
    <numFmt numFmtId="43" formatCode="_(* #,##0.00_);_(* \(#,##0.00\);_(* &quot;-&quot;??_);_(@_)"/>
    <numFmt numFmtId="164" formatCode="_ * #,##0_)\ _$_ ;_ * \(#,##0\)\ _$_ ;_ * &quot;-&quot;_)\ _$_ ;_ @_ "/>
    <numFmt numFmtId="165" formatCode="_ * #,##0.00_)\ _$_ ;_ * \(#,##0.00\)\ _$_ ;_ * &quot;-&quot;??_)\ _$_ ;_ @_ "/>
    <numFmt numFmtId="166" formatCode="&quot;$&quot;#,##0"/>
    <numFmt numFmtId="167" formatCode="_-* #,##0\ _$_-;_-* #,##0\ _$\-;_-* &quot;-&quot;??\ _$_-;_-@"/>
    <numFmt numFmtId="168" formatCode="_(* #,##0_);_(* \(#,##0\);_(* &quot;-&quot;??_);_(@_)"/>
    <numFmt numFmtId="169" formatCode="dd\/mm\/yy_)"/>
    <numFmt numFmtId="170" formatCode="0.0%"/>
    <numFmt numFmtId="171" formatCode="0_)"/>
    <numFmt numFmtId="172" formatCode="0.00_)"/>
    <numFmt numFmtId="173" formatCode="#,###.00;\-#,###.00;.00"/>
    <numFmt numFmtId="174" formatCode="#.00;\-#.00;.00"/>
    <numFmt numFmtId="175" formatCode="#,###.00;\-#,###.00;.00;@"/>
    <numFmt numFmtId="176" formatCode="0.00000000000000%"/>
    <numFmt numFmtId="177" formatCode="#;#;0;@"/>
    <numFmt numFmtId="178" formatCode="_(&quot;$&quot;* #,##0_);_(&quot;$&quot;* \(#,##0\);_(&quot;$&quot;* &quot;-&quot;??_);_(@_)"/>
  </numFmts>
  <fonts count="94">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sz val="9"/>
      <color theme="1"/>
      <name val="Calibri"/>
      <family val="2"/>
    </font>
    <font>
      <sz val="9"/>
      <name val="Arial"/>
      <family val="2"/>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rgb="FF92D050"/>
        <bgColor indexed="64"/>
      </patternFill>
    </fill>
    <fill>
      <patternFill patternType="solid">
        <fgColor theme="0" tint="-0.34998626667073579"/>
        <bgColor rgb="FFC0C0C0"/>
      </patternFill>
    </fill>
  </fills>
  <borders count="223">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7">
    <xf numFmtId="0" fontId="0" fillId="0" borderId="0"/>
    <xf numFmtId="9" fontId="49" fillId="0" borderId="0" applyFont="0" applyFill="0" applyBorder="0" applyAlignment="0" applyProtection="0"/>
    <xf numFmtId="0" fontId="13" fillId="0" borderId="1"/>
    <xf numFmtId="0" fontId="12" fillId="0" borderId="1"/>
    <xf numFmtId="9" fontId="12" fillId="0" borderId="1" applyFont="0" applyFill="0" applyBorder="0" applyAlignment="0" applyProtection="0"/>
    <xf numFmtId="43" fontId="79" fillId="0" borderId="0" applyFont="0" applyFill="0" applyBorder="0" applyAlignment="0" applyProtection="0"/>
    <xf numFmtId="0" fontId="11" fillId="0" borderId="1"/>
    <xf numFmtId="0" fontId="10" fillId="0" borderId="1"/>
    <xf numFmtId="0" fontId="9" fillId="0" borderId="1"/>
    <xf numFmtId="0" fontId="7" fillId="0" borderId="1"/>
    <xf numFmtId="0" fontId="83" fillId="0" borderId="0" applyNumberFormat="0" applyFill="0" applyBorder="0" applyAlignment="0" applyProtection="0"/>
    <xf numFmtId="0" fontId="5" fillId="0" borderId="1"/>
    <xf numFmtId="0" fontId="49" fillId="0" borderId="1"/>
    <xf numFmtId="0" fontId="85" fillId="0" borderId="1"/>
    <xf numFmtId="44" fontId="85" fillId="0" borderId="0" applyFont="0" applyFill="0" applyBorder="0" applyAlignment="0" applyProtection="0"/>
    <xf numFmtId="165" fontId="3" fillId="0" borderId="1" applyFont="0" applyFill="0" applyBorder="0" applyAlignment="0" applyProtection="0"/>
    <xf numFmtId="0" fontId="1" fillId="0" borderId="1"/>
  </cellStyleXfs>
  <cellXfs count="1302">
    <xf numFmtId="0" fontId="0" fillId="0" borderId="0" xfId="0" applyFont="1" applyAlignment="1"/>
    <xf numFmtId="0" fontId="14" fillId="0" borderId="0" xfId="0" applyFont="1"/>
    <xf numFmtId="0" fontId="15" fillId="0" borderId="0" xfId="0" applyFont="1"/>
    <xf numFmtId="0" fontId="15" fillId="2" borderId="1" xfId="0" applyFont="1" applyFill="1" applyBorder="1" applyAlignment="1">
      <alignment horizontal="center"/>
    </xf>
    <xf numFmtId="0" fontId="16" fillId="0" borderId="0" xfId="0" applyFont="1" applyAlignment="1">
      <alignment horizontal="left"/>
    </xf>
    <xf numFmtId="0" fontId="17" fillId="0" borderId="0" xfId="0" applyFont="1" applyAlignment="1">
      <alignment horizontal="center"/>
    </xf>
    <xf numFmtId="0" fontId="17" fillId="0" borderId="0" xfId="0" applyFont="1" applyAlignment="1">
      <alignment horizontal="right"/>
    </xf>
    <xf numFmtId="0" fontId="16" fillId="0" borderId="0" xfId="0" applyFont="1"/>
    <xf numFmtId="0" fontId="18" fillId="0" borderId="2" xfId="0" applyFont="1" applyBorder="1"/>
    <xf numFmtId="0" fontId="20" fillId="0" borderId="4" xfId="0" applyFont="1" applyBorder="1"/>
    <xf numFmtId="0" fontId="18" fillId="0" borderId="6" xfId="0" applyFont="1" applyBorder="1"/>
    <xf numFmtId="0" fontId="20" fillId="0" borderId="6" xfId="0" applyFont="1" applyBorder="1"/>
    <xf numFmtId="0" fontId="20" fillId="3" borderId="8" xfId="0" applyFont="1" applyFill="1" applyBorder="1"/>
    <xf numFmtId="0" fontId="20" fillId="3" borderId="10" xfId="0" applyFont="1" applyFill="1" applyBorder="1"/>
    <xf numFmtId="0" fontId="19" fillId="0" borderId="6" xfId="0" applyFont="1" applyBorder="1"/>
    <xf numFmtId="167" fontId="15" fillId="0" borderId="0" xfId="0" applyNumberFormat="1" applyFont="1"/>
    <xf numFmtId="0" fontId="15" fillId="0" borderId="6" xfId="0" applyFont="1" applyBorder="1"/>
    <xf numFmtId="168" fontId="15" fillId="0" borderId="0" xfId="0" applyNumberFormat="1" applyFont="1"/>
    <xf numFmtId="0" fontId="17" fillId="0" borderId="0" xfId="0" applyFont="1"/>
    <xf numFmtId="0" fontId="22" fillId="0" borderId="0" xfId="0" applyFont="1" applyAlignment="1">
      <alignment horizontal="center" vertical="center"/>
    </xf>
    <xf numFmtId="3" fontId="17" fillId="0" borderId="0" xfId="0" applyNumberFormat="1" applyFont="1"/>
    <xf numFmtId="0" fontId="22" fillId="0" borderId="0" xfId="0" applyFont="1"/>
    <xf numFmtId="169" fontId="23" fillId="0" borderId="0" xfId="0" applyNumberFormat="1" applyFont="1" applyAlignment="1">
      <alignment horizontal="left"/>
    </xf>
    <xf numFmtId="0" fontId="23" fillId="0" borderId="0" xfId="0" applyFont="1"/>
    <xf numFmtId="0" fontId="24" fillId="0" borderId="0" xfId="0" applyFont="1"/>
    <xf numFmtId="0" fontId="25" fillId="0" borderId="0" xfId="0" applyFont="1"/>
    <xf numFmtId="37" fontId="26" fillId="3" borderId="14" xfId="0" applyNumberFormat="1" applyFont="1" applyFill="1" applyBorder="1"/>
    <xf numFmtId="3" fontId="26" fillId="3" borderId="14" xfId="0" applyNumberFormat="1" applyFont="1" applyFill="1" applyBorder="1"/>
    <xf numFmtId="37" fontId="26" fillId="3" borderId="9" xfId="0" applyNumberFormat="1" applyFont="1" applyFill="1" applyBorder="1"/>
    <xf numFmtId="37" fontId="26" fillId="3" borderId="8" xfId="0" applyNumberFormat="1" applyFont="1" applyFill="1" applyBorder="1"/>
    <xf numFmtId="171" fontId="26" fillId="3" borderId="14" xfId="0" applyNumberFormat="1" applyFont="1" applyFill="1" applyBorder="1"/>
    <xf numFmtId="0" fontId="26" fillId="3" borderId="10" xfId="0" applyFont="1" applyFill="1" applyBorder="1"/>
    <xf numFmtId="0" fontId="26" fillId="3" borderId="11" xfId="0" applyFont="1" applyFill="1" applyBorder="1"/>
    <xf numFmtId="170" fontId="26" fillId="3" borderId="10" xfId="0" applyNumberFormat="1" applyFont="1" applyFill="1" applyBorder="1"/>
    <xf numFmtId="170" fontId="26" fillId="3" borderId="11" xfId="0" applyNumberFormat="1" applyFont="1" applyFill="1" applyBorder="1"/>
    <xf numFmtId="0" fontId="26" fillId="4" borderId="1" xfId="0" applyFont="1" applyFill="1" applyBorder="1"/>
    <xf numFmtId="0" fontId="25" fillId="0" borderId="0" xfId="0" applyFont="1" applyAlignment="1">
      <alignment horizontal="right"/>
    </xf>
    <xf numFmtId="37" fontId="25" fillId="0" borderId="0" xfId="0" applyNumberFormat="1" applyFont="1"/>
    <xf numFmtId="0" fontId="26" fillId="3" borderId="16" xfId="0" applyFont="1" applyFill="1" applyBorder="1"/>
    <xf numFmtId="0" fontId="26" fillId="3" borderId="17" xfId="0" applyFont="1" applyFill="1" applyBorder="1" applyAlignment="1">
      <alignment horizontal="center"/>
    </xf>
    <xf numFmtId="170" fontId="26" fillId="3" borderId="17" xfId="0" applyNumberFormat="1" applyFont="1" applyFill="1" applyBorder="1"/>
    <xf numFmtId="37" fontId="26" fillId="3" borderId="18" xfId="0" applyNumberFormat="1" applyFont="1" applyFill="1" applyBorder="1"/>
    <xf numFmtId="0" fontId="26" fillId="3" borderId="16" xfId="0" applyFont="1" applyFill="1" applyBorder="1" applyAlignment="1">
      <alignment horizontal="center"/>
    </xf>
    <xf numFmtId="0" fontId="25" fillId="3" borderId="13" xfId="0" applyFont="1" applyFill="1" applyBorder="1"/>
    <xf numFmtId="0" fontId="25" fillId="3" borderId="16" xfId="0" applyFont="1" applyFill="1" applyBorder="1"/>
    <xf numFmtId="37" fontId="26" fillId="0" borderId="0" xfId="0" applyNumberFormat="1" applyFont="1"/>
    <xf numFmtId="37" fontId="26" fillId="3" borderId="19" xfId="0" applyNumberFormat="1" applyFont="1" applyFill="1" applyBorder="1"/>
    <xf numFmtId="0" fontId="25" fillId="4" borderId="1" xfId="0" applyFont="1" applyFill="1" applyBorder="1"/>
    <xf numFmtId="37" fontId="26" fillId="4" borderId="15" xfId="0" applyNumberFormat="1" applyFont="1" applyFill="1" applyBorder="1"/>
    <xf numFmtId="0" fontId="25" fillId="4" borderId="12" xfId="0" applyFont="1" applyFill="1" applyBorder="1"/>
    <xf numFmtId="0" fontId="25" fillId="4" borderId="13" xfId="0" applyFont="1" applyFill="1" applyBorder="1"/>
    <xf numFmtId="0" fontId="25" fillId="4" borderId="22" xfId="0" applyFont="1" applyFill="1" applyBorder="1"/>
    <xf numFmtId="37" fontId="26" fillId="4" borderId="19" xfId="0" applyNumberFormat="1" applyFont="1" applyFill="1" applyBorder="1"/>
    <xf numFmtId="0" fontId="29" fillId="0" borderId="0" xfId="0" applyFont="1"/>
    <xf numFmtId="0" fontId="30" fillId="0" borderId="0" xfId="0" applyFont="1"/>
    <xf numFmtId="37" fontId="30" fillId="0" borderId="0" xfId="0" applyNumberFormat="1" applyFont="1"/>
    <xf numFmtId="0" fontId="26" fillId="0" borderId="0" xfId="0" applyFont="1"/>
    <xf numFmtId="37" fontId="23" fillId="0" borderId="0" xfId="0" applyNumberFormat="1" applyFont="1"/>
    <xf numFmtId="37" fontId="26" fillId="4" borderId="14" xfId="0" applyNumberFormat="1" applyFont="1" applyFill="1" applyBorder="1"/>
    <xf numFmtId="37" fontId="26" fillId="4" borderId="9" xfId="0" applyNumberFormat="1" applyFont="1" applyFill="1" applyBorder="1"/>
    <xf numFmtId="37" fontId="26" fillId="4" borderId="8" xfId="0" applyNumberFormat="1" applyFont="1" applyFill="1" applyBorder="1"/>
    <xf numFmtId="170" fontId="26" fillId="4" borderId="8" xfId="0" applyNumberFormat="1" applyFont="1" applyFill="1" applyBorder="1"/>
    <xf numFmtId="37" fontId="26" fillId="4" borderId="22" xfId="0" applyNumberFormat="1" applyFont="1" applyFill="1" applyBorder="1"/>
    <xf numFmtId="170" fontId="26" fillId="4" borderId="19" xfId="0" applyNumberFormat="1" applyFont="1" applyFill="1" applyBorder="1"/>
    <xf numFmtId="37" fontId="26" fillId="4" borderId="13" xfId="0" applyNumberFormat="1" applyFont="1" applyFill="1" applyBorder="1"/>
    <xf numFmtId="39" fontId="26" fillId="4" borderId="22" xfId="0" applyNumberFormat="1" applyFont="1" applyFill="1" applyBorder="1"/>
    <xf numFmtId="37" fontId="26" fillId="4" borderId="24" xfId="0" applyNumberFormat="1" applyFont="1" applyFill="1" applyBorder="1"/>
    <xf numFmtId="171" fontId="26" fillId="4" borderId="24" xfId="0" applyNumberFormat="1" applyFont="1" applyFill="1" applyBorder="1"/>
    <xf numFmtId="37" fontId="26" fillId="4" borderId="25" xfId="0" applyNumberFormat="1" applyFont="1" applyFill="1" applyBorder="1"/>
    <xf numFmtId="37" fontId="26" fillId="4" borderId="23" xfId="0" applyNumberFormat="1" applyFont="1" applyFill="1" applyBorder="1"/>
    <xf numFmtId="170" fontId="26" fillId="3" borderId="8" xfId="0" applyNumberFormat="1" applyFont="1" applyFill="1" applyBorder="1"/>
    <xf numFmtId="170" fontId="26" fillId="3" borderId="14" xfId="0" applyNumberFormat="1" applyFont="1" applyFill="1" applyBorder="1"/>
    <xf numFmtId="170" fontId="26" fillId="3" borderId="26" xfId="0" applyNumberFormat="1" applyFont="1" applyFill="1" applyBorder="1"/>
    <xf numFmtId="37" fontId="26" fillId="3" borderId="27" xfId="0" applyNumberFormat="1" applyFont="1" applyFill="1" applyBorder="1"/>
    <xf numFmtId="37" fontId="26" fillId="3" borderId="29" xfId="0" applyNumberFormat="1" applyFont="1" applyFill="1" applyBorder="1"/>
    <xf numFmtId="171" fontId="26" fillId="3" borderId="29" xfId="0" applyNumberFormat="1" applyFont="1" applyFill="1" applyBorder="1"/>
    <xf numFmtId="37" fontId="26" fillId="3" borderId="30" xfId="0" applyNumberFormat="1" applyFont="1" applyFill="1" applyBorder="1"/>
    <xf numFmtId="37" fontId="26" fillId="3" borderId="28" xfId="0" applyNumberFormat="1" applyFont="1" applyFill="1" applyBorder="1"/>
    <xf numFmtId="0" fontId="25" fillId="3" borderId="10" xfId="0" applyFont="1" applyFill="1" applyBorder="1"/>
    <xf numFmtId="0" fontId="33" fillId="0" borderId="0" xfId="0" applyFont="1"/>
    <xf numFmtId="0" fontId="22" fillId="0" borderId="0" xfId="0" applyFont="1" applyAlignment="1">
      <alignment horizontal="right" vertical="center"/>
    </xf>
    <xf numFmtId="0" fontId="34" fillId="3" borderId="22" xfId="0" applyFont="1" applyFill="1" applyBorder="1"/>
    <xf numFmtId="37" fontId="34" fillId="3" borderId="32" xfId="0" applyNumberFormat="1" applyFont="1" applyFill="1" applyBorder="1"/>
    <xf numFmtId="37" fontId="34" fillId="3" borderId="33" xfId="0" applyNumberFormat="1" applyFont="1" applyFill="1" applyBorder="1"/>
    <xf numFmtId="37" fontId="34" fillId="3" borderId="22" xfId="0" applyNumberFormat="1" applyFont="1" applyFill="1" applyBorder="1"/>
    <xf numFmtId="170" fontId="34" fillId="3" borderId="22" xfId="0" applyNumberFormat="1" applyFont="1" applyFill="1" applyBorder="1"/>
    <xf numFmtId="37" fontId="34" fillId="3" borderId="34" xfId="0" applyNumberFormat="1" applyFont="1" applyFill="1" applyBorder="1"/>
    <xf numFmtId="37" fontId="28" fillId="0" borderId="35" xfId="0" applyNumberFormat="1" applyFont="1" applyBorder="1"/>
    <xf numFmtId="0" fontId="34" fillId="3" borderId="17" xfId="0" applyFont="1" applyFill="1" applyBorder="1"/>
    <xf numFmtId="170" fontId="34" fillId="3" borderId="17" xfId="0" applyNumberFormat="1" applyFont="1" applyFill="1" applyBorder="1"/>
    <xf numFmtId="37" fontId="34" fillId="3" borderId="21" xfId="0" applyNumberFormat="1" applyFont="1" applyFill="1" applyBorder="1"/>
    <xf numFmtId="170" fontId="34" fillId="3" borderId="20" xfId="0" applyNumberFormat="1" applyFont="1" applyFill="1" applyBorder="1"/>
    <xf numFmtId="0" fontId="34" fillId="3" borderId="20" xfId="0" applyFont="1" applyFill="1" applyBorder="1"/>
    <xf numFmtId="37" fontId="34" fillId="3" borderId="17" xfId="0" applyNumberFormat="1" applyFont="1" applyFill="1" applyBorder="1"/>
    <xf numFmtId="0" fontId="34" fillId="3" borderId="36" xfId="0" applyFont="1" applyFill="1" applyBorder="1"/>
    <xf numFmtId="43" fontId="23" fillId="0" borderId="0" xfId="0" applyNumberFormat="1" applyFont="1"/>
    <xf numFmtId="43" fontId="33" fillId="0" borderId="0" xfId="0" applyNumberFormat="1" applyFont="1"/>
    <xf numFmtId="170" fontId="28" fillId="0" borderId="35" xfId="0" applyNumberFormat="1" applyFont="1" applyBorder="1"/>
    <xf numFmtId="171" fontId="34" fillId="3" borderId="17" xfId="0" applyNumberFormat="1" applyFont="1" applyFill="1" applyBorder="1"/>
    <xf numFmtId="37" fontId="34" fillId="3" borderId="20" xfId="0" applyNumberFormat="1" applyFont="1" applyFill="1" applyBorder="1"/>
    <xf numFmtId="37" fontId="34" fillId="3" borderId="36" xfId="0" applyNumberFormat="1" applyFont="1" applyFill="1" applyBorder="1"/>
    <xf numFmtId="37" fontId="33" fillId="0" borderId="0" xfId="0" applyNumberFormat="1" applyFont="1"/>
    <xf numFmtId="168" fontId="33" fillId="0" borderId="0" xfId="0" applyNumberFormat="1" applyFont="1"/>
    <xf numFmtId="0" fontId="28" fillId="3" borderId="17" xfId="0" applyFont="1" applyFill="1" applyBorder="1"/>
    <xf numFmtId="0" fontId="33" fillId="4" borderId="1" xfId="0" applyFont="1" applyFill="1" applyBorder="1"/>
    <xf numFmtId="0" fontId="28" fillId="0" borderId="35" xfId="0" applyFont="1" applyBorder="1"/>
    <xf numFmtId="37" fontId="28" fillId="4" borderId="37" xfId="0" applyNumberFormat="1" applyFont="1" applyFill="1" applyBorder="1"/>
    <xf numFmtId="0" fontId="34" fillId="4" borderId="24" xfId="0" applyFont="1" applyFill="1" applyBorder="1"/>
    <xf numFmtId="37" fontId="34" fillId="4" borderId="24" xfId="0" applyNumberFormat="1" applyFont="1" applyFill="1" applyBorder="1"/>
    <xf numFmtId="170" fontId="28" fillId="3" borderId="20" xfId="0" applyNumberFormat="1" applyFont="1" applyFill="1" applyBorder="1"/>
    <xf numFmtId="170" fontId="28" fillId="3" borderId="17" xfId="0" applyNumberFormat="1" applyFont="1" applyFill="1" applyBorder="1"/>
    <xf numFmtId="37" fontId="28" fillId="3" borderId="36" xfId="0" applyNumberFormat="1" applyFont="1" applyFill="1" applyBorder="1"/>
    <xf numFmtId="0" fontId="28" fillId="4" borderId="24" xfId="0" applyFont="1" applyFill="1" applyBorder="1"/>
    <xf numFmtId="37" fontId="28" fillId="4" borderId="24" xfId="0" applyNumberFormat="1" applyFont="1" applyFill="1" applyBorder="1"/>
    <xf numFmtId="37" fontId="28" fillId="4" borderId="38" xfId="0" applyNumberFormat="1" applyFont="1" applyFill="1" applyBorder="1"/>
    <xf numFmtId="37" fontId="28" fillId="4" borderId="1" xfId="0" applyNumberFormat="1" applyFont="1" applyFill="1" applyBorder="1"/>
    <xf numFmtId="170" fontId="28" fillId="4" borderId="1" xfId="0" applyNumberFormat="1" applyFont="1" applyFill="1" applyBorder="1"/>
    <xf numFmtId="170" fontId="28" fillId="4" borderId="38" xfId="0" applyNumberFormat="1" applyFont="1" applyFill="1" applyBorder="1"/>
    <xf numFmtId="170" fontId="28" fillId="4" borderId="24" xfId="0" applyNumberFormat="1" applyFont="1" applyFill="1" applyBorder="1"/>
    <xf numFmtId="37" fontId="28" fillId="4" borderId="42" xfId="0" applyNumberFormat="1" applyFont="1" applyFill="1" applyBorder="1"/>
    <xf numFmtId="39" fontId="28" fillId="0" borderId="0" xfId="0" applyNumberFormat="1" applyFont="1"/>
    <xf numFmtId="37" fontId="33" fillId="0" borderId="35" xfId="0" applyNumberFormat="1" applyFont="1" applyBorder="1"/>
    <xf numFmtId="0" fontId="33" fillId="0" borderId="35" xfId="0" applyFont="1" applyBorder="1"/>
    <xf numFmtId="0" fontId="33" fillId="0" borderId="40" xfId="0" applyFont="1" applyBorder="1"/>
    <xf numFmtId="0" fontId="35" fillId="0" borderId="0" xfId="0" applyFont="1"/>
    <xf numFmtId="37" fontId="35" fillId="0" borderId="0" xfId="0" applyNumberFormat="1" applyFont="1"/>
    <xf numFmtId="37" fontId="34" fillId="0" borderId="0" xfId="0" applyNumberFormat="1" applyFont="1"/>
    <xf numFmtId="37" fontId="36" fillId="0" borderId="0" xfId="0" applyNumberFormat="1" applyFont="1"/>
    <xf numFmtId="0" fontId="35" fillId="4" borderId="1" xfId="0" applyFont="1" applyFill="1" applyBorder="1"/>
    <xf numFmtId="37" fontId="33" fillId="4" borderId="1" xfId="0" applyNumberFormat="1" applyFont="1" applyFill="1" applyBorder="1"/>
    <xf numFmtId="0" fontId="37" fillId="4" borderId="1" xfId="0" applyFont="1" applyFill="1" applyBorder="1"/>
    <xf numFmtId="37" fontId="35" fillId="4" borderId="1" xfId="0" applyNumberFormat="1" applyFont="1" applyFill="1" applyBorder="1"/>
    <xf numFmtId="0" fontId="38" fillId="4" borderId="1" xfId="0" applyFont="1" applyFill="1" applyBorder="1" applyAlignment="1">
      <alignment horizontal="center" vertical="center"/>
    </xf>
    <xf numFmtId="0" fontId="33" fillId="4" borderId="1" xfId="0" applyFont="1" applyFill="1" applyBorder="1" applyAlignment="1">
      <alignment horizontal="center" vertical="center"/>
    </xf>
    <xf numFmtId="169" fontId="39" fillId="4" borderId="1" xfId="0" applyNumberFormat="1" applyFont="1" applyFill="1" applyBorder="1" applyAlignment="1">
      <alignment horizontal="right"/>
    </xf>
    <xf numFmtId="0" fontId="35" fillId="4" borderId="1" xfId="0" applyFont="1" applyFill="1" applyBorder="1" applyAlignment="1">
      <alignment horizontal="center"/>
    </xf>
    <xf numFmtId="0" fontId="33" fillId="4" borderId="1" xfId="0" applyFont="1" applyFill="1" applyBorder="1" applyAlignment="1">
      <alignment horizontal="center"/>
    </xf>
    <xf numFmtId="0" fontId="39" fillId="4" borderId="1" xfId="0" applyFont="1" applyFill="1" applyBorder="1" applyAlignment="1">
      <alignment horizontal="center"/>
    </xf>
    <xf numFmtId="0" fontId="39" fillId="4" borderId="1" xfId="0" applyFont="1" applyFill="1" applyBorder="1"/>
    <xf numFmtId="170" fontId="33" fillId="4" borderId="1" xfId="0" applyNumberFormat="1" applyFont="1" applyFill="1" applyBorder="1"/>
    <xf numFmtId="9" fontId="33" fillId="4" borderId="1" xfId="0" applyNumberFormat="1" applyFont="1" applyFill="1" applyBorder="1"/>
    <xf numFmtId="170" fontId="35" fillId="4" borderId="1" xfId="0" applyNumberFormat="1" applyFont="1" applyFill="1" applyBorder="1"/>
    <xf numFmtId="0" fontId="40" fillId="4" borderId="1" xfId="0" applyFont="1" applyFill="1" applyBorder="1"/>
    <xf numFmtId="0" fontId="38" fillId="4" borderId="1" xfId="0" applyFont="1" applyFill="1" applyBorder="1" applyAlignment="1">
      <alignment horizontal="center"/>
    </xf>
    <xf numFmtId="169" fontId="33" fillId="4" borderId="1" xfId="0" applyNumberFormat="1" applyFont="1" applyFill="1" applyBorder="1" applyAlignment="1">
      <alignment horizontal="center"/>
    </xf>
    <xf numFmtId="0" fontId="41" fillId="4" borderId="1" xfId="0" applyFont="1" applyFill="1" applyBorder="1" applyAlignment="1">
      <alignment horizontal="center"/>
    </xf>
    <xf numFmtId="0" fontId="39" fillId="4" borderId="1" xfId="0" applyFont="1" applyFill="1" applyBorder="1" applyAlignment="1">
      <alignment horizontal="left"/>
    </xf>
    <xf numFmtId="0" fontId="42" fillId="4" borderId="1" xfId="0" applyFont="1" applyFill="1" applyBorder="1"/>
    <xf numFmtId="0" fontId="43" fillId="0" borderId="0" xfId="0" applyFont="1" applyAlignment="1">
      <alignment horizontal="center" vertical="top"/>
    </xf>
    <xf numFmtId="0" fontId="44" fillId="6" borderId="43" xfId="0" applyFont="1" applyFill="1" applyBorder="1" applyAlignment="1">
      <alignment horizontal="center" vertical="center" wrapText="1"/>
    </xf>
    <xf numFmtId="49" fontId="15" fillId="5" borderId="1" xfId="0" applyNumberFormat="1" applyFont="1" applyFill="1" applyBorder="1" applyAlignment="1">
      <alignment horizontal="left" vertical="center"/>
    </xf>
    <xf numFmtId="173" fontId="15" fillId="5" borderId="1" xfId="0" applyNumberFormat="1" applyFont="1" applyFill="1" applyBorder="1" applyAlignment="1">
      <alignment horizontal="right" vertical="center"/>
    </xf>
    <xf numFmtId="0" fontId="15" fillId="5" borderId="1" xfId="0" applyFont="1" applyFill="1" applyBorder="1"/>
    <xf numFmtId="1" fontId="15" fillId="0" borderId="0" xfId="0" applyNumberFormat="1" applyFont="1" applyAlignment="1">
      <alignment horizontal="left" vertical="top"/>
    </xf>
    <xf numFmtId="49" fontId="15" fillId="0" borderId="0" xfId="0" applyNumberFormat="1" applyFont="1" applyAlignment="1">
      <alignment horizontal="left" vertical="top"/>
    </xf>
    <xf numFmtId="4" fontId="15" fillId="0" borderId="0" xfId="0" applyNumberFormat="1" applyFont="1" applyAlignment="1">
      <alignment horizontal="center" vertical="top"/>
    </xf>
    <xf numFmtId="0" fontId="15" fillId="7" borderId="1" xfId="0" applyFont="1" applyFill="1" applyBorder="1" applyAlignment="1">
      <alignment horizontal="center"/>
    </xf>
    <xf numFmtId="0" fontId="15" fillId="5" borderId="1" xfId="0" applyFont="1" applyFill="1" applyBorder="1" applyAlignment="1">
      <alignment horizontal="left" vertical="top"/>
    </xf>
    <xf numFmtId="49" fontId="15" fillId="5" borderId="1" xfId="0" applyNumberFormat="1" applyFont="1" applyFill="1" applyBorder="1" applyAlignment="1">
      <alignment horizontal="left" vertical="top"/>
    </xf>
    <xf numFmtId="174" fontId="15" fillId="5" borderId="1" xfId="0" applyNumberFormat="1" applyFont="1" applyFill="1" applyBorder="1" applyAlignment="1">
      <alignment horizontal="right" vertical="top"/>
    </xf>
    <xf numFmtId="0" fontId="23" fillId="0" borderId="0" xfId="0" applyFont="1" applyAlignment="1">
      <alignment horizontal="center"/>
    </xf>
    <xf numFmtId="0" fontId="0" fillId="0" borderId="0" xfId="0" applyFont="1" applyAlignment="1">
      <alignment horizontal="center"/>
    </xf>
    <xf numFmtId="0" fontId="14" fillId="9" borderId="1" xfId="0" applyFont="1" applyFill="1" applyBorder="1"/>
    <xf numFmtId="0" fontId="45" fillId="0" borderId="0" xfId="0" applyFont="1"/>
    <xf numFmtId="0" fontId="15" fillId="9" borderId="1" xfId="0" applyFont="1" applyFill="1" applyBorder="1"/>
    <xf numFmtId="0" fontId="15" fillId="0" borderId="0" xfId="0" applyFont="1"/>
    <xf numFmtId="39" fontId="46" fillId="10" borderId="47" xfId="0" applyNumberFormat="1" applyFont="1" applyFill="1" applyBorder="1" applyAlignment="1">
      <alignment horizontal="left" vertical="top"/>
    </xf>
    <xf numFmtId="0" fontId="47" fillId="10" borderId="47" xfId="0" applyFont="1" applyFill="1" applyBorder="1" applyAlignment="1">
      <alignment horizontal="left" vertical="top"/>
    </xf>
    <xf numFmtId="1" fontId="47" fillId="10" borderId="47" xfId="0" applyNumberFormat="1" applyFont="1" applyFill="1" applyBorder="1" applyAlignment="1">
      <alignment horizontal="left" vertical="top"/>
    </xf>
    <xf numFmtId="49" fontId="46" fillId="10" borderId="47" xfId="0" applyNumberFormat="1" applyFont="1" applyFill="1" applyBorder="1" applyAlignment="1">
      <alignment horizontal="left" vertical="top"/>
    </xf>
    <xf numFmtId="49" fontId="46" fillId="10" borderId="44" xfId="0" applyNumberFormat="1" applyFont="1" applyFill="1" applyBorder="1" applyAlignment="1">
      <alignment horizontal="left" vertical="top"/>
    </xf>
    <xf numFmtId="0" fontId="46" fillId="10" borderId="47" xfId="0" applyFont="1" applyFill="1" applyBorder="1" applyAlignment="1">
      <alignment horizontal="left" vertical="top"/>
    </xf>
    <xf numFmtId="0" fontId="46" fillId="8" borderId="47" xfId="0" applyFont="1" applyFill="1" applyBorder="1" applyAlignment="1">
      <alignment horizontal="left" vertical="top"/>
    </xf>
    <xf numFmtId="0" fontId="47" fillId="5" borderId="47" xfId="0" applyFont="1" applyFill="1" applyBorder="1" applyAlignment="1">
      <alignment horizontal="left" vertical="top"/>
    </xf>
    <xf numFmtId="0" fontId="46" fillId="5" borderId="47" xfId="0" applyFont="1" applyFill="1" applyBorder="1" applyAlignment="1">
      <alignment horizontal="left" vertical="top"/>
    </xf>
    <xf numFmtId="0" fontId="46" fillId="5" borderId="1" xfId="0" applyFont="1" applyFill="1" applyBorder="1" applyAlignment="1">
      <alignment horizontal="left" vertical="top"/>
    </xf>
    <xf numFmtId="0" fontId="47" fillId="10" borderId="1" xfId="0" applyFont="1" applyFill="1" applyBorder="1" applyAlignment="1">
      <alignment horizontal="left" vertical="top"/>
    </xf>
    <xf numFmtId="3" fontId="25" fillId="0" borderId="50" xfId="0" applyNumberFormat="1" applyFont="1" applyBorder="1"/>
    <xf numFmtId="0" fontId="25" fillId="0" borderId="1" xfId="0" applyFont="1" applyBorder="1"/>
    <xf numFmtId="3" fontId="25" fillId="0" borderId="1" xfId="0" applyNumberFormat="1" applyFont="1" applyBorder="1"/>
    <xf numFmtId="3" fontId="25" fillId="0" borderId="15" xfId="0" applyNumberFormat="1" applyFont="1" applyBorder="1"/>
    <xf numFmtId="3" fontId="25" fillId="0" borderId="51" xfId="0" applyNumberFormat="1" applyFont="1" applyBorder="1"/>
    <xf numFmtId="3" fontId="25" fillId="0" borderId="12" xfId="0" applyNumberFormat="1" applyFont="1" applyBorder="1"/>
    <xf numFmtId="3" fontId="25" fillId="0" borderId="52" xfId="0" applyNumberFormat="1" applyFont="1" applyBorder="1"/>
    <xf numFmtId="3" fontId="25" fillId="0" borderId="53" xfId="0" applyNumberFormat="1" applyFont="1" applyBorder="1"/>
    <xf numFmtId="2" fontId="25" fillId="0" borderId="1" xfId="0" applyNumberFormat="1" applyFont="1" applyBorder="1"/>
    <xf numFmtId="3" fontId="25" fillId="0" borderId="54" xfId="0" applyNumberFormat="1" applyFont="1" applyBorder="1"/>
    <xf numFmtId="0" fontId="0" fillId="0" borderId="0" xfId="0" applyFont="1" applyAlignment="1"/>
    <xf numFmtId="0" fontId="15" fillId="0" borderId="0" xfId="0" applyFont="1" applyAlignment="1">
      <alignment horizontal="center"/>
    </xf>
    <xf numFmtId="0" fontId="0" fillId="0" borderId="0" xfId="0" applyFont="1" applyAlignment="1"/>
    <xf numFmtId="37" fontId="25" fillId="0" borderId="53" xfId="0" applyNumberFormat="1" applyFont="1" applyBorder="1"/>
    <xf numFmtId="171" fontId="25" fillId="0" borderId="53" xfId="0" applyNumberFormat="1" applyFont="1" applyBorder="1"/>
    <xf numFmtId="170" fontId="25" fillId="0" borderId="50" xfId="0" applyNumberFormat="1" applyFont="1" applyBorder="1"/>
    <xf numFmtId="0" fontId="25" fillId="0" borderId="53" xfId="0" applyFont="1" applyBorder="1" applyAlignment="1">
      <alignment horizontal="center"/>
    </xf>
    <xf numFmtId="0" fontId="25" fillId="0" borderId="50" xfId="0" applyFont="1" applyBorder="1" applyAlignment="1">
      <alignment horizontal="center"/>
    </xf>
    <xf numFmtId="170" fontId="25" fillId="0" borderId="53" xfId="0" applyNumberFormat="1" applyFont="1" applyBorder="1"/>
    <xf numFmtId="37" fontId="25" fillId="0" borderId="50" xfId="0" applyNumberFormat="1" applyFont="1" applyBorder="1"/>
    <xf numFmtId="37" fontId="25" fillId="0" borderId="1" xfId="0" applyNumberFormat="1" applyFont="1" applyBorder="1"/>
    <xf numFmtId="37" fontId="26" fillId="0" borderId="24" xfId="0" applyNumberFormat="1" applyFont="1" applyBorder="1"/>
    <xf numFmtId="37" fontId="25" fillId="0" borderId="55" xfId="0" applyNumberFormat="1" applyFont="1" applyBorder="1"/>
    <xf numFmtId="37" fontId="26" fillId="0" borderId="56" xfId="0" applyNumberFormat="1" applyFont="1" applyBorder="1"/>
    <xf numFmtId="37" fontId="25" fillId="0" borderId="56" xfId="0" applyNumberFormat="1" applyFont="1" applyBorder="1"/>
    <xf numFmtId="37" fontId="25" fillId="0" borderId="58" xfId="0" applyNumberFormat="1" applyFont="1" applyBorder="1"/>
    <xf numFmtId="37" fontId="25" fillId="11" borderId="1" xfId="0" applyNumberFormat="1" applyFont="1" applyFill="1" applyBorder="1"/>
    <xf numFmtId="170" fontId="26" fillId="3" borderId="1" xfId="0" applyNumberFormat="1" applyFont="1" applyFill="1" applyBorder="1"/>
    <xf numFmtId="0" fontId="25" fillId="0" borderId="60" xfId="0" applyFont="1" applyBorder="1" applyAlignment="1">
      <alignment horizontal="center"/>
    </xf>
    <xf numFmtId="0" fontId="25" fillId="0" borderId="59" xfId="0" applyFont="1" applyBorder="1" applyAlignment="1">
      <alignment horizontal="center"/>
    </xf>
    <xf numFmtId="0" fontId="25" fillId="0" borderId="61" xfId="0" applyFont="1" applyBorder="1" applyAlignment="1">
      <alignment horizontal="center"/>
    </xf>
    <xf numFmtId="37" fontId="25" fillId="11" borderId="62" xfId="0" applyNumberFormat="1" applyFont="1" applyFill="1" applyBorder="1"/>
    <xf numFmtId="37" fontId="25" fillId="0" borderId="61" xfId="0" applyNumberFormat="1" applyFont="1" applyBorder="1"/>
    <xf numFmtId="170" fontId="25" fillId="0" borderId="1" xfId="0" applyNumberFormat="1" applyFont="1" applyBorder="1"/>
    <xf numFmtId="37" fontId="25" fillId="0" borderId="52" xfId="0" applyNumberFormat="1" applyFont="1" applyBorder="1"/>
    <xf numFmtId="0" fontId="25" fillId="0" borderId="52" xfId="0" applyFont="1" applyBorder="1" applyAlignment="1">
      <alignment horizontal="center"/>
    </xf>
    <xf numFmtId="170" fontId="28" fillId="0" borderId="56" xfId="0" applyNumberFormat="1" applyFont="1" applyBorder="1"/>
    <xf numFmtId="170" fontId="28" fillId="0" borderId="55" xfId="0" applyNumberFormat="1" applyFont="1" applyBorder="1"/>
    <xf numFmtId="170" fontId="28" fillId="0" borderId="63" xfId="0" applyNumberFormat="1" applyFont="1" applyBorder="1"/>
    <xf numFmtId="170" fontId="54" fillId="0" borderId="55" xfId="0" applyNumberFormat="1" applyFont="1" applyBorder="1"/>
    <xf numFmtId="37" fontId="34" fillId="3" borderId="64" xfId="0" applyNumberFormat="1" applyFont="1" applyFill="1" applyBorder="1"/>
    <xf numFmtId="37" fontId="34" fillId="3" borderId="65" xfId="0" applyNumberFormat="1" applyFont="1" applyFill="1" applyBorder="1"/>
    <xf numFmtId="0" fontId="33" fillId="0" borderId="1" xfId="0" applyFont="1" applyBorder="1"/>
    <xf numFmtId="3" fontId="25" fillId="11" borderId="67" xfId="0" applyNumberFormat="1" applyFont="1" applyFill="1" applyBorder="1"/>
    <xf numFmtId="3" fontId="25" fillId="11" borderId="68" xfId="0" applyNumberFormat="1" applyFont="1" applyFill="1" applyBorder="1"/>
    <xf numFmtId="0" fontId="25" fillId="0" borderId="0" xfId="0" applyFont="1" applyFill="1"/>
    <xf numFmtId="37" fontId="26" fillId="0" borderId="24" xfId="0" applyNumberFormat="1" applyFont="1" applyFill="1" applyBorder="1"/>
    <xf numFmtId="171" fontId="26" fillId="0" borderId="24" xfId="0" applyNumberFormat="1" applyFont="1" applyFill="1" applyBorder="1"/>
    <xf numFmtId="37" fontId="26" fillId="0" borderId="25" xfId="0" applyNumberFormat="1" applyFont="1" applyFill="1" applyBorder="1"/>
    <xf numFmtId="37" fontId="26" fillId="0" borderId="23" xfId="0" applyNumberFormat="1" applyFont="1" applyFill="1" applyBorder="1"/>
    <xf numFmtId="0" fontId="25" fillId="0" borderId="12" xfId="0" applyFont="1" applyFill="1" applyBorder="1"/>
    <xf numFmtId="37" fontId="25" fillId="0" borderId="1" xfId="0" applyNumberFormat="1" applyFont="1" applyFill="1" applyBorder="1"/>
    <xf numFmtId="37" fontId="25" fillId="0" borderId="0" xfId="0" applyNumberFormat="1" applyFont="1" applyFill="1"/>
    <xf numFmtId="37" fontId="25" fillId="0" borderId="12" xfId="0" applyNumberFormat="1" applyFont="1" applyFill="1" applyBorder="1"/>
    <xf numFmtId="3" fontId="25" fillId="0" borderId="1" xfId="0" applyNumberFormat="1" applyFont="1" applyFill="1" applyBorder="1"/>
    <xf numFmtId="37" fontId="25" fillId="0" borderId="15" xfId="0" applyNumberFormat="1" applyFont="1" applyFill="1" applyBorder="1"/>
    <xf numFmtId="0" fontId="25" fillId="0" borderId="1" xfId="0" applyFont="1" applyFill="1" applyBorder="1"/>
    <xf numFmtId="171" fontId="25" fillId="0" borderId="1" xfId="0" applyNumberFormat="1" applyFont="1" applyFill="1" applyBorder="1"/>
    <xf numFmtId="170" fontId="25" fillId="0" borderId="15" xfId="0" applyNumberFormat="1" applyFont="1" applyFill="1" applyBorder="1"/>
    <xf numFmtId="37" fontId="26" fillId="0" borderId="12" xfId="0" applyNumberFormat="1" applyFont="1" applyFill="1" applyBorder="1"/>
    <xf numFmtId="171" fontId="26" fillId="0" borderId="1" xfId="0" applyNumberFormat="1" applyFont="1" applyFill="1" applyBorder="1"/>
    <xf numFmtId="37" fontId="26" fillId="0" borderId="15" xfId="0" applyNumberFormat="1" applyFont="1" applyFill="1" applyBorder="1"/>
    <xf numFmtId="37" fontId="26" fillId="0" borderId="1" xfId="0" applyNumberFormat="1" applyFont="1" applyFill="1" applyBorder="1"/>
    <xf numFmtId="0" fontId="26" fillId="0" borderId="12" xfId="0" applyFont="1" applyFill="1" applyBorder="1"/>
    <xf numFmtId="0" fontId="26" fillId="0" borderId="1" xfId="0" applyFont="1" applyFill="1" applyBorder="1"/>
    <xf numFmtId="170" fontId="26" fillId="0" borderId="15" xfId="0" applyNumberFormat="1" applyFont="1" applyFill="1" applyBorder="1"/>
    <xf numFmtId="170" fontId="26" fillId="0" borderId="12" xfId="0" applyNumberFormat="1" applyFont="1" applyFill="1" applyBorder="1"/>
    <xf numFmtId="3" fontId="25" fillId="0" borderId="50" xfId="0" applyNumberFormat="1" applyFont="1" applyFill="1" applyBorder="1"/>
    <xf numFmtId="3" fontId="25" fillId="0" borderId="51" xfId="0" applyNumberFormat="1" applyFont="1" applyFill="1" applyBorder="1"/>
    <xf numFmtId="37" fontId="51" fillId="0" borderId="1" xfId="0" applyNumberFormat="1" applyFont="1" applyFill="1" applyBorder="1"/>
    <xf numFmtId="0" fontId="34" fillId="0" borderId="1" xfId="0" applyFont="1" applyFill="1" applyBorder="1"/>
    <xf numFmtId="37" fontId="28" fillId="0" borderId="37" xfId="0" applyNumberFormat="1" applyFont="1" applyFill="1" applyBorder="1"/>
    <xf numFmtId="170" fontId="34" fillId="0" borderId="24" xfId="0" applyNumberFormat="1" applyFont="1" applyFill="1" applyBorder="1"/>
    <xf numFmtId="0" fontId="34" fillId="0" borderId="24" xfId="0" applyFont="1" applyFill="1" applyBorder="1"/>
    <xf numFmtId="37" fontId="34" fillId="0" borderId="38" xfId="0" applyNumberFormat="1" applyFont="1" applyFill="1" applyBorder="1"/>
    <xf numFmtId="170" fontId="34" fillId="0" borderId="38" xfId="0" applyNumberFormat="1" applyFont="1" applyFill="1" applyBorder="1"/>
    <xf numFmtId="37" fontId="34" fillId="0" borderId="24" xfId="0" applyNumberFormat="1" applyFont="1" applyFill="1" applyBorder="1"/>
    <xf numFmtId="37" fontId="28" fillId="0" borderId="35" xfId="0" applyNumberFormat="1" applyFont="1" applyFill="1" applyBorder="1"/>
    <xf numFmtId="170" fontId="34" fillId="0" borderId="1" xfId="0" applyNumberFormat="1" applyFont="1" applyFill="1" applyBorder="1"/>
    <xf numFmtId="37" fontId="34" fillId="0" borderId="39" xfId="0" applyNumberFormat="1" applyFont="1" applyFill="1" applyBorder="1"/>
    <xf numFmtId="170" fontId="28" fillId="0" borderId="35" xfId="0" applyNumberFormat="1" applyFont="1" applyFill="1" applyBorder="1"/>
    <xf numFmtId="170" fontId="34" fillId="0" borderId="39" xfId="0" applyNumberFormat="1" applyFont="1" applyFill="1" applyBorder="1"/>
    <xf numFmtId="37" fontId="28" fillId="0" borderId="40" xfId="0" applyNumberFormat="1" applyFont="1" applyFill="1" applyBorder="1"/>
    <xf numFmtId="37" fontId="34" fillId="0" borderId="1" xfId="0" applyNumberFormat="1" applyFont="1" applyFill="1" applyBorder="1"/>
    <xf numFmtId="170" fontId="28" fillId="0" borderId="55" xfId="0" applyNumberFormat="1" applyFont="1" applyFill="1" applyBorder="1"/>
    <xf numFmtId="0" fontId="25" fillId="0" borderId="1" xfId="0" applyFont="1" applyFill="1" applyBorder="1" applyAlignment="1">
      <alignment horizontal="right"/>
    </xf>
    <xf numFmtId="0" fontId="25" fillId="0" borderId="68" xfId="0" applyFont="1" applyBorder="1"/>
    <xf numFmtId="0" fontId="25" fillId="0" borderId="70" xfId="0" applyFont="1" applyBorder="1"/>
    <xf numFmtId="0" fontId="25" fillId="0" borderId="12" xfId="0" applyFont="1" applyBorder="1" applyAlignment="1">
      <alignment horizontal="center"/>
    </xf>
    <xf numFmtId="0" fontId="25" fillId="0" borderId="1" xfId="0" applyFont="1" applyBorder="1" applyAlignment="1">
      <alignment horizontal="center"/>
    </xf>
    <xf numFmtId="0" fontId="25" fillId="0" borderId="15" xfId="0" applyFont="1" applyBorder="1" applyAlignment="1">
      <alignment horizontal="center"/>
    </xf>
    <xf numFmtId="0" fontId="25" fillId="0" borderId="55" xfId="0" applyFont="1" applyBorder="1" applyAlignment="1">
      <alignment horizontal="center"/>
    </xf>
    <xf numFmtId="0" fontId="26" fillId="3" borderId="71" xfId="0" applyFont="1" applyFill="1" applyBorder="1"/>
    <xf numFmtId="37" fontId="26" fillId="3" borderId="72" xfId="0" applyNumberFormat="1" applyFont="1" applyFill="1" applyBorder="1"/>
    <xf numFmtId="0" fontId="26" fillId="3" borderId="73" xfId="0" applyFont="1" applyFill="1" applyBorder="1"/>
    <xf numFmtId="170" fontId="26" fillId="3" borderId="74" xfId="0" applyNumberFormat="1" applyFont="1" applyFill="1" applyBorder="1"/>
    <xf numFmtId="0" fontId="26" fillId="0" borderId="70" xfId="0" applyFont="1" applyFill="1" applyBorder="1"/>
    <xf numFmtId="170" fontId="25" fillId="0" borderId="15" xfId="1" applyNumberFormat="1" applyFont="1" applyFill="1" applyBorder="1"/>
    <xf numFmtId="170" fontId="26" fillId="0" borderId="55" xfId="0" applyNumberFormat="1" applyFont="1" applyFill="1" applyBorder="1"/>
    <xf numFmtId="0" fontId="26" fillId="0" borderId="70" xfId="0" applyFont="1" applyFill="1" applyBorder="1" applyAlignment="1">
      <alignment horizontal="left"/>
    </xf>
    <xf numFmtId="0" fontId="50" fillId="0" borderId="1" xfId="0" applyFont="1" applyFill="1" applyBorder="1"/>
    <xf numFmtId="0" fontId="25" fillId="0" borderId="15" xfId="0" applyFont="1" applyFill="1" applyBorder="1"/>
    <xf numFmtId="0" fontId="25" fillId="0" borderId="55" xfId="0" applyFont="1" applyFill="1" applyBorder="1"/>
    <xf numFmtId="0" fontId="28" fillId="0" borderId="70" xfId="0" applyFont="1" applyFill="1" applyBorder="1"/>
    <xf numFmtId="3" fontId="25" fillId="0" borderId="15" xfId="0" applyNumberFormat="1" applyFont="1" applyFill="1" applyBorder="1"/>
    <xf numFmtId="0" fontId="28" fillId="0" borderId="75" xfId="0" applyFont="1" applyFill="1" applyBorder="1"/>
    <xf numFmtId="0" fontId="25" fillId="0" borderId="12" xfId="0" applyFont="1" applyFill="1" applyBorder="1" applyAlignment="1">
      <alignment horizontal="right"/>
    </xf>
    <xf numFmtId="37" fontId="25" fillId="0" borderId="55" xfId="0" applyNumberFormat="1" applyFont="1" applyFill="1" applyBorder="1"/>
    <xf numFmtId="0" fontId="25" fillId="0" borderId="24" xfId="0" applyFont="1" applyFill="1" applyBorder="1" applyAlignment="1">
      <alignment horizontal="right"/>
    </xf>
    <xf numFmtId="0" fontId="25" fillId="0" borderId="24" xfId="0" applyFont="1" applyFill="1" applyBorder="1"/>
    <xf numFmtId="0" fontId="25" fillId="0" borderId="23" xfId="0" applyFont="1" applyFill="1" applyBorder="1" applyAlignment="1">
      <alignment horizontal="right"/>
    </xf>
    <xf numFmtId="0" fontId="25" fillId="0" borderId="23" xfId="0" applyFont="1" applyFill="1" applyBorder="1"/>
    <xf numFmtId="37" fontId="25" fillId="0" borderId="25" xfId="0" applyNumberFormat="1" applyFont="1" applyFill="1" applyBorder="1"/>
    <xf numFmtId="37" fontId="25" fillId="0" borderId="56" xfId="0" applyNumberFormat="1" applyFont="1" applyFill="1" applyBorder="1"/>
    <xf numFmtId="0" fontId="25" fillId="0" borderId="70" xfId="0" applyFont="1" applyFill="1" applyBorder="1"/>
    <xf numFmtId="0" fontId="25" fillId="0" borderId="22" xfId="0" applyFont="1" applyFill="1" applyBorder="1" applyAlignment="1">
      <alignment horizontal="right"/>
    </xf>
    <xf numFmtId="0" fontId="25" fillId="0" borderId="22" xfId="0" applyFont="1" applyFill="1" applyBorder="1"/>
    <xf numFmtId="0" fontId="25" fillId="0" borderId="13" xfId="0" applyFont="1" applyFill="1" applyBorder="1" applyAlignment="1">
      <alignment horizontal="right"/>
    </xf>
    <xf numFmtId="0" fontId="25" fillId="0" borderId="13" xfId="0" applyFont="1" applyFill="1" applyBorder="1"/>
    <xf numFmtId="37" fontId="25" fillId="0" borderId="19" xfId="0" applyNumberFormat="1" applyFont="1" applyFill="1" applyBorder="1"/>
    <xf numFmtId="37" fontId="25" fillId="0" borderId="58" xfId="0" applyNumberFormat="1" applyFont="1" applyFill="1" applyBorder="1"/>
    <xf numFmtId="0" fontId="26" fillId="3" borderId="76" xfId="0" applyFont="1" applyFill="1" applyBorder="1"/>
    <xf numFmtId="37" fontId="26" fillId="3" borderId="58" xfId="0" applyNumberFormat="1" applyFont="1" applyFill="1" applyBorder="1"/>
    <xf numFmtId="0" fontId="28" fillId="0" borderId="77" xfId="0" applyFont="1" applyBorder="1"/>
    <xf numFmtId="0" fontId="25" fillId="0" borderId="1" xfId="0" applyFont="1" applyBorder="1" applyAlignment="1">
      <alignment horizontal="right"/>
    </xf>
    <xf numFmtId="0" fontId="25" fillId="0" borderId="12" xfId="0" applyFont="1" applyBorder="1" applyAlignment="1">
      <alignment horizontal="right"/>
    </xf>
    <xf numFmtId="0" fontId="25" fillId="0" borderId="12" xfId="0" applyFont="1" applyBorder="1"/>
    <xf numFmtId="37" fontId="25" fillId="0" borderId="15" xfId="0" applyNumberFormat="1" applyFont="1" applyBorder="1"/>
    <xf numFmtId="0" fontId="28" fillId="0" borderId="70" xfId="0" applyFont="1" applyBorder="1"/>
    <xf numFmtId="0" fontId="28" fillId="0" borderId="75" xfId="0" applyFont="1" applyBorder="1"/>
    <xf numFmtId="0" fontId="25" fillId="0" borderId="22" xfId="0" applyFont="1" applyBorder="1" applyAlignment="1">
      <alignment horizontal="right"/>
    </xf>
    <xf numFmtId="0" fontId="25" fillId="0" borderId="22" xfId="0" applyFont="1" applyBorder="1"/>
    <xf numFmtId="0" fontId="25" fillId="0" borderId="13" xfId="0" applyFont="1" applyBorder="1" applyAlignment="1">
      <alignment horizontal="right"/>
    </xf>
    <xf numFmtId="0" fontId="25" fillId="0" borderId="13" xfId="0" applyFont="1" applyBorder="1"/>
    <xf numFmtId="37" fontId="25" fillId="0" borderId="19" xfId="0" applyNumberFormat="1" applyFont="1" applyBorder="1"/>
    <xf numFmtId="0" fontId="25" fillId="0" borderId="15" xfId="0" applyFont="1" applyBorder="1"/>
    <xf numFmtId="0" fontId="26" fillId="0" borderId="12" xfId="0" applyFont="1" applyBorder="1"/>
    <xf numFmtId="0" fontId="26" fillId="0" borderId="15" xfId="0" applyFont="1" applyBorder="1"/>
    <xf numFmtId="0" fontId="26" fillId="0" borderId="55" xfId="0" applyFont="1" applyBorder="1"/>
    <xf numFmtId="37" fontId="26" fillId="3" borderId="57" xfId="0" applyNumberFormat="1" applyFont="1" applyFill="1" applyBorder="1"/>
    <xf numFmtId="0" fontId="26" fillId="3" borderId="78" xfId="0" applyFont="1" applyFill="1" applyBorder="1"/>
    <xf numFmtId="0" fontId="26" fillId="3" borderId="64" xfId="0" applyFont="1" applyFill="1" applyBorder="1"/>
    <xf numFmtId="37" fontId="26" fillId="3" borderId="79" xfId="0" applyNumberFormat="1" applyFont="1" applyFill="1" applyBorder="1"/>
    <xf numFmtId="0" fontId="26" fillId="3" borderId="80" xfId="0" applyFont="1" applyFill="1" applyBorder="1"/>
    <xf numFmtId="0" fontId="25" fillId="3" borderId="80" xfId="0" applyFont="1" applyFill="1" applyBorder="1"/>
    <xf numFmtId="0" fontId="25" fillId="3" borderId="64" xfId="0" applyFont="1" applyFill="1" applyBorder="1"/>
    <xf numFmtId="37" fontId="26" fillId="3" borderId="81" xfId="0" applyNumberFormat="1" applyFont="1" applyFill="1" applyBorder="1"/>
    <xf numFmtId="170" fontId="25" fillId="0" borderId="12" xfId="0" applyNumberFormat="1" applyFont="1" applyBorder="1"/>
    <xf numFmtId="37" fontId="25" fillId="0" borderId="12" xfId="0" applyNumberFormat="1" applyFont="1" applyBorder="1"/>
    <xf numFmtId="0" fontId="25" fillId="0" borderId="75" xfId="0" applyFont="1" applyBorder="1"/>
    <xf numFmtId="0" fontId="26" fillId="0" borderId="70" xfId="0" applyFont="1" applyBorder="1"/>
    <xf numFmtId="170" fontId="26" fillId="0" borderId="24" xfId="0" applyNumberFormat="1" applyFont="1" applyBorder="1"/>
    <xf numFmtId="37" fontId="26" fillId="0" borderId="25" xfId="0" applyNumberFormat="1" applyFont="1" applyBorder="1"/>
    <xf numFmtId="170" fontId="26" fillId="0" borderId="23" xfId="0" applyNumberFormat="1" applyFont="1" applyBorder="1"/>
    <xf numFmtId="37" fontId="26" fillId="0" borderId="23" xfId="0" applyNumberFormat="1" applyFont="1" applyBorder="1"/>
    <xf numFmtId="170" fontId="26" fillId="0" borderId="15" xfId="0" applyNumberFormat="1" applyFont="1" applyBorder="1"/>
    <xf numFmtId="170" fontId="26" fillId="0" borderId="55" xfId="0" applyNumberFormat="1" applyFont="1" applyBorder="1"/>
    <xf numFmtId="0" fontId="25" fillId="0" borderId="19" xfId="0" applyFont="1" applyBorder="1"/>
    <xf numFmtId="0" fontId="50" fillId="0" borderId="22" xfId="0" applyFont="1" applyBorder="1"/>
    <xf numFmtId="170" fontId="26" fillId="0" borderId="19" xfId="0" applyNumberFormat="1" applyFont="1" applyBorder="1"/>
    <xf numFmtId="170" fontId="26" fillId="0" borderId="58" xfId="0" applyNumberFormat="1" applyFont="1" applyBorder="1"/>
    <xf numFmtId="170" fontId="25" fillId="0" borderId="22" xfId="0" applyNumberFormat="1" applyFont="1" applyBorder="1"/>
    <xf numFmtId="37" fontId="25" fillId="0" borderId="13" xfId="0" applyNumberFormat="1" applyFont="1" applyBorder="1"/>
    <xf numFmtId="0" fontId="26" fillId="3" borderId="82" xfId="0" applyFont="1" applyFill="1" applyBorder="1"/>
    <xf numFmtId="0" fontId="25" fillId="3" borderId="60" xfId="0" applyFont="1" applyFill="1" applyBorder="1" applyAlignment="1">
      <alignment horizontal="right"/>
    </xf>
    <xf numFmtId="0" fontId="25" fillId="3" borderId="60" xfId="0" applyFont="1" applyFill="1" applyBorder="1"/>
    <xf numFmtId="37" fontId="26" fillId="3" borderId="59" xfId="0" applyNumberFormat="1" applyFont="1" applyFill="1" applyBorder="1"/>
    <xf numFmtId="0" fontId="25" fillId="3" borderId="61" xfId="0" applyFont="1" applyFill="1" applyBorder="1" applyAlignment="1">
      <alignment horizontal="right"/>
    </xf>
    <xf numFmtId="0" fontId="26" fillId="3" borderId="61" xfId="0" applyFont="1" applyFill="1" applyBorder="1"/>
    <xf numFmtId="0" fontId="26" fillId="3" borderId="60" xfId="0" applyFont="1" applyFill="1" applyBorder="1"/>
    <xf numFmtId="37" fontId="26" fillId="3" borderId="83" xfId="0" applyNumberFormat="1" applyFont="1" applyFill="1" applyBorder="1"/>
    <xf numFmtId="1" fontId="25" fillId="0" borderId="12" xfId="0" applyNumberFormat="1" applyFont="1" applyBorder="1"/>
    <xf numFmtId="171" fontId="25" fillId="0" borderId="1" xfId="0" applyNumberFormat="1" applyFont="1" applyBorder="1"/>
    <xf numFmtId="170" fontId="25" fillId="0" borderId="15" xfId="0" applyNumberFormat="1" applyFont="1" applyBorder="1"/>
    <xf numFmtId="0" fontId="25" fillId="0" borderId="77" xfId="0" applyFont="1" applyBorder="1"/>
    <xf numFmtId="0" fontId="25" fillId="0" borderId="24" xfId="0" applyFont="1" applyBorder="1"/>
    <xf numFmtId="1" fontId="25" fillId="0" borderId="23" xfId="0" applyNumberFormat="1" applyFont="1" applyBorder="1"/>
    <xf numFmtId="37" fontId="25" fillId="0" borderId="23" xfId="0" applyNumberFormat="1" applyFont="1" applyBorder="1"/>
    <xf numFmtId="170" fontId="25" fillId="0" borderId="23" xfId="0" applyNumberFormat="1" applyFont="1" applyBorder="1"/>
    <xf numFmtId="37" fontId="25" fillId="0" borderId="25" xfId="0" applyNumberFormat="1" applyFont="1" applyBorder="1"/>
    <xf numFmtId="37" fontId="25" fillId="0" borderId="24" xfId="0" applyNumberFormat="1" applyFont="1" applyBorder="1"/>
    <xf numFmtId="171" fontId="25" fillId="0" borderId="22" xfId="0" applyNumberFormat="1" applyFont="1" applyBorder="1"/>
    <xf numFmtId="170" fontId="25" fillId="0" borderId="19" xfId="0" applyNumberFormat="1" applyFont="1" applyBorder="1"/>
    <xf numFmtId="2" fontId="25" fillId="0" borderId="22" xfId="0" applyNumberFormat="1" applyFont="1" applyBorder="1"/>
    <xf numFmtId="170" fontId="25" fillId="0" borderId="13" xfId="0" applyNumberFormat="1" applyFont="1" applyBorder="1"/>
    <xf numFmtId="170" fontId="26" fillId="0" borderId="12" xfId="0" applyNumberFormat="1" applyFont="1" applyBorder="1"/>
    <xf numFmtId="37" fontId="26" fillId="3" borderId="84" xfId="0" applyNumberFormat="1" applyFont="1" applyFill="1" applyBorder="1"/>
    <xf numFmtId="0" fontId="26" fillId="3" borderId="85" xfId="0" applyFont="1" applyFill="1" applyBorder="1"/>
    <xf numFmtId="0" fontId="26" fillId="3" borderId="31" xfId="0" applyFont="1" applyFill="1" applyBorder="1"/>
    <xf numFmtId="170" fontId="26" fillId="0" borderId="13" xfId="0" applyNumberFormat="1" applyFont="1" applyBorder="1"/>
    <xf numFmtId="172" fontId="25" fillId="0" borderId="1" xfId="0" applyNumberFormat="1" applyFont="1" applyBorder="1"/>
    <xf numFmtId="0" fontId="25" fillId="0" borderId="23" xfId="0" applyFont="1" applyBorder="1"/>
    <xf numFmtId="0" fontId="26" fillId="0" borderId="1" xfId="0" applyFont="1" applyBorder="1"/>
    <xf numFmtId="171" fontId="26" fillId="0" borderId="1" xfId="0" applyNumberFormat="1" applyFont="1" applyBorder="1"/>
    <xf numFmtId="37" fontId="26" fillId="0" borderId="12" xfId="0" applyNumberFormat="1" applyFont="1" applyBorder="1"/>
    <xf numFmtId="37" fontId="26" fillId="0" borderId="15" xfId="0" applyNumberFormat="1" applyFont="1" applyBorder="1"/>
    <xf numFmtId="37" fontId="26" fillId="0" borderId="55" xfId="0" applyNumberFormat="1" applyFont="1" applyBorder="1"/>
    <xf numFmtId="0" fontId="26" fillId="0" borderId="22" xfId="0" applyFont="1" applyBorder="1"/>
    <xf numFmtId="171" fontId="26" fillId="0" borderId="22" xfId="0" applyNumberFormat="1" applyFont="1" applyBorder="1"/>
    <xf numFmtId="0" fontId="26" fillId="0" borderId="13" xfId="0" applyFont="1" applyBorder="1"/>
    <xf numFmtId="37" fontId="26" fillId="0" borderId="13" xfId="0" applyNumberFormat="1" applyFont="1" applyBorder="1"/>
    <xf numFmtId="37" fontId="26" fillId="0" borderId="19" xfId="0" applyNumberFormat="1" applyFont="1" applyBorder="1"/>
    <xf numFmtId="37" fontId="26" fillId="0" borderId="58" xfId="0" applyNumberFormat="1" applyFont="1" applyBorder="1"/>
    <xf numFmtId="0" fontId="26" fillId="4" borderId="71" xfId="0" applyFont="1" applyFill="1" applyBorder="1"/>
    <xf numFmtId="170" fontId="52" fillId="0" borderId="12" xfId="0" applyNumberFormat="1" applyFont="1" applyBorder="1"/>
    <xf numFmtId="37" fontId="26" fillId="4" borderId="84" xfId="0" applyNumberFormat="1" applyFont="1" applyFill="1" applyBorder="1"/>
    <xf numFmtId="0" fontId="26" fillId="4" borderId="75" xfId="0" applyFont="1" applyFill="1" applyBorder="1"/>
    <xf numFmtId="0" fontId="26" fillId="0" borderId="77" xfId="0" applyFont="1" applyFill="1" applyBorder="1"/>
    <xf numFmtId="37" fontId="26" fillId="0" borderId="56" xfId="0" applyNumberFormat="1" applyFont="1" applyFill="1" applyBorder="1"/>
    <xf numFmtId="170" fontId="25" fillId="0" borderId="12" xfId="0" applyNumberFormat="1" applyFont="1" applyFill="1" applyBorder="1"/>
    <xf numFmtId="37" fontId="26" fillId="0" borderId="55" xfId="0" applyNumberFormat="1" applyFont="1" applyFill="1" applyBorder="1"/>
    <xf numFmtId="0" fontId="26" fillId="4" borderId="77" xfId="0" applyFont="1" applyFill="1" applyBorder="1"/>
    <xf numFmtId="37" fontId="26" fillId="4" borderId="56" xfId="0" applyNumberFormat="1" applyFont="1" applyFill="1" applyBorder="1"/>
    <xf numFmtId="0" fontId="26" fillId="0" borderId="70" xfId="0" applyFont="1" applyBorder="1" applyAlignment="1">
      <alignment horizontal="left"/>
    </xf>
    <xf numFmtId="0" fontId="25" fillId="0" borderId="55" xfId="0" applyFont="1" applyBorder="1"/>
    <xf numFmtId="0" fontId="25" fillId="0" borderId="24" xfId="0" applyFont="1" applyBorder="1" applyAlignment="1">
      <alignment horizontal="right"/>
    </xf>
    <xf numFmtId="0" fontId="25" fillId="0" borderId="23" xfId="0" applyFont="1" applyBorder="1" applyAlignment="1">
      <alignment horizontal="right"/>
    </xf>
    <xf numFmtId="0" fontId="25" fillId="0" borderId="24" xfId="0" applyFont="1" applyBorder="1" applyAlignment="1">
      <alignment horizontal="center"/>
    </xf>
    <xf numFmtId="0" fontId="25" fillId="0" borderId="13" xfId="0" applyFont="1" applyBorder="1" applyAlignment="1">
      <alignment horizontal="center"/>
    </xf>
    <xf numFmtId="0" fontId="25" fillId="0" borderId="19" xfId="0" applyFont="1" applyBorder="1" applyAlignment="1">
      <alignment horizontal="center"/>
    </xf>
    <xf numFmtId="0" fontId="25" fillId="0" borderId="22" xfId="0" applyFont="1" applyBorder="1" applyAlignment="1">
      <alignment horizontal="center"/>
    </xf>
    <xf numFmtId="0" fontId="25" fillId="0" borderId="58" xfId="0" applyFont="1" applyBorder="1" applyAlignment="1">
      <alignment horizontal="center"/>
    </xf>
    <xf numFmtId="3" fontId="25" fillId="0" borderId="55" xfId="0" applyNumberFormat="1" applyFont="1" applyBorder="1"/>
    <xf numFmtId="0" fontId="26" fillId="0" borderId="77" xfId="0" applyFont="1" applyBorder="1"/>
    <xf numFmtId="3" fontId="26" fillId="0" borderId="24" xfId="0" applyNumberFormat="1" applyFont="1" applyBorder="1"/>
    <xf numFmtId="3" fontId="26" fillId="0" borderId="25" xfId="0" applyNumberFormat="1" applyFont="1" applyBorder="1"/>
    <xf numFmtId="3" fontId="26" fillId="0" borderId="23" xfId="0" applyNumberFormat="1" applyFont="1" applyBorder="1"/>
    <xf numFmtId="3" fontId="26" fillId="0" borderId="56" xfId="0" applyNumberFormat="1" applyFont="1" applyBorder="1"/>
    <xf numFmtId="3" fontId="25" fillId="0" borderId="19" xfId="0" applyNumberFormat="1" applyFont="1" applyBorder="1"/>
    <xf numFmtId="3" fontId="25" fillId="0" borderId="13" xfId="0" applyNumberFormat="1" applyFont="1" applyBorder="1"/>
    <xf numFmtId="3" fontId="25" fillId="0" borderId="22" xfId="0" applyNumberFormat="1" applyFont="1" applyBorder="1"/>
    <xf numFmtId="3" fontId="26" fillId="0" borderId="13" xfId="0" applyNumberFormat="1" applyFont="1" applyBorder="1"/>
    <xf numFmtId="3" fontId="26" fillId="0" borderId="19" xfId="0" applyNumberFormat="1" applyFont="1" applyBorder="1"/>
    <xf numFmtId="3" fontId="26" fillId="0" borderId="58" xfId="0" applyNumberFormat="1" applyFont="1" applyBorder="1"/>
    <xf numFmtId="3" fontId="25" fillId="0" borderId="23" xfId="0" applyNumberFormat="1" applyFont="1" applyBorder="1"/>
    <xf numFmtId="170" fontId="51" fillId="11" borderId="86" xfId="0" applyNumberFormat="1" applyFont="1" applyFill="1" applyBorder="1"/>
    <xf numFmtId="37" fontId="25" fillId="0" borderId="22" xfId="0" applyNumberFormat="1" applyFont="1" applyBorder="1"/>
    <xf numFmtId="0" fontId="26" fillId="0" borderId="1" xfId="0" applyFont="1" applyBorder="1" applyAlignment="1">
      <alignment horizontal="center"/>
    </xf>
    <xf numFmtId="170" fontId="26" fillId="0" borderId="1" xfId="0" applyNumberFormat="1" applyFont="1" applyBorder="1"/>
    <xf numFmtId="0" fontId="26" fillId="0" borderId="12" xfId="0" applyFont="1" applyBorder="1" applyAlignment="1">
      <alignment horizontal="center"/>
    </xf>
    <xf numFmtId="3" fontId="25" fillId="0" borderId="24" xfId="0" applyNumberFormat="1" applyFont="1" applyBorder="1" applyAlignment="1">
      <alignment horizontal="center"/>
    </xf>
    <xf numFmtId="3" fontId="25" fillId="0" borderId="1" xfId="0" applyNumberFormat="1" applyFont="1" applyBorder="1" applyAlignment="1">
      <alignment horizontal="center"/>
    </xf>
    <xf numFmtId="3" fontId="25" fillId="0" borderId="15" xfId="0" applyNumberFormat="1" applyFont="1" applyBorder="1" applyAlignment="1">
      <alignment horizontal="center"/>
    </xf>
    <xf numFmtId="3" fontId="25" fillId="0" borderId="12" xfId="0" applyNumberFormat="1" applyFont="1" applyBorder="1" applyAlignment="1">
      <alignment horizontal="center"/>
    </xf>
    <xf numFmtId="3" fontId="25" fillId="0" borderId="55" xfId="0" applyNumberFormat="1" applyFont="1" applyBorder="1" applyAlignment="1">
      <alignment horizontal="center"/>
    </xf>
    <xf numFmtId="3" fontId="25" fillId="0" borderId="22" xfId="0" applyNumberFormat="1" applyFont="1" applyBorder="1" applyAlignment="1">
      <alignment horizontal="center"/>
    </xf>
    <xf numFmtId="3" fontId="25" fillId="0" borderId="13" xfId="0" applyNumberFormat="1" applyFont="1" applyBorder="1" applyAlignment="1">
      <alignment horizontal="center"/>
    </xf>
    <xf numFmtId="3" fontId="25" fillId="0" borderId="19" xfId="0" applyNumberFormat="1" applyFont="1" applyBorder="1" applyAlignment="1">
      <alignment horizontal="center"/>
    </xf>
    <xf numFmtId="3" fontId="25" fillId="0" borderId="58" xfId="0" applyNumberFormat="1" applyFont="1" applyBorder="1" applyAlignment="1">
      <alignment horizontal="center"/>
    </xf>
    <xf numFmtId="0" fontId="26" fillId="0" borderId="75" xfId="0" applyFont="1" applyBorder="1"/>
    <xf numFmtId="3" fontId="25" fillId="0" borderId="58" xfId="0" applyNumberFormat="1" applyFont="1" applyBorder="1"/>
    <xf numFmtId="3" fontId="25" fillId="0" borderId="24" xfId="0" applyNumberFormat="1" applyFont="1" applyBorder="1"/>
    <xf numFmtId="3" fontId="25" fillId="0" borderId="25" xfId="0" applyNumberFormat="1" applyFont="1" applyBorder="1"/>
    <xf numFmtId="3" fontId="25" fillId="0" borderId="56" xfId="0" applyNumberFormat="1" applyFont="1" applyBorder="1"/>
    <xf numFmtId="3" fontId="26" fillId="0" borderId="12" xfId="0" applyNumberFormat="1" applyFont="1" applyBorder="1"/>
    <xf numFmtId="0" fontId="26" fillId="4" borderId="70" xfId="0" applyFont="1" applyFill="1" applyBorder="1"/>
    <xf numFmtId="37" fontId="25" fillId="0" borderId="15" xfId="0" applyNumberFormat="1" applyFont="1" applyBorder="1" applyAlignment="1"/>
    <xf numFmtId="37" fontId="25" fillId="0" borderId="19" xfId="0" applyNumberFormat="1" applyFont="1" applyBorder="1" applyAlignment="1"/>
    <xf numFmtId="37" fontId="26" fillId="4" borderId="58" xfId="0" applyNumberFormat="1" applyFont="1" applyFill="1" applyBorder="1"/>
    <xf numFmtId="0" fontId="25" fillId="3" borderId="61" xfId="0" applyFont="1" applyFill="1" applyBorder="1"/>
    <xf numFmtId="0" fontId="34" fillId="0" borderId="1" xfId="0" applyFont="1" applyBorder="1" applyAlignment="1">
      <alignment horizontal="center" vertical="center"/>
    </xf>
    <xf numFmtId="0" fontId="23" fillId="0" borderId="1" xfId="0" applyFont="1" applyBorder="1" applyAlignment="1">
      <alignment horizontal="center"/>
    </xf>
    <xf numFmtId="0" fontId="23" fillId="0" borderId="1" xfId="0" applyFont="1" applyBorder="1"/>
    <xf numFmtId="0" fontId="25" fillId="0" borderId="87" xfId="0" applyFont="1" applyBorder="1" applyAlignment="1">
      <alignment horizontal="left"/>
    </xf>
    <xf numFmtId="0" fontId="26" fillId="0" borderId="88" xfId="0" applyFont="1" applyBorder="1" applyAlignment="1">
      <alignment horizontal="center" vertical="center"/>
    </xf>
    <xf numFmtId="0" fontId="25" fillId="0" borderId="32" xfId="0" applyFont="1" applyBorder="1" applyAlignment="1">
      <alignment horizontal="center"/>
    </xf>
    <xf numFmtId="0" fontId="25" fillId="0" borderId="33" xfId="0" applyFont="1" applyBorder="1" applyAlignment="1">
      <alignment horizontal="center"/>
    </xf>
    <xf numFmtId="0" fontId="25" fillId="0" borderId="34" xfId="0" applyFont="1" applyBorder="1" applyAlignment="1">
      <alignment horizontal="center"/>
    </xf>
    <xf numFmtId="0" fontId="28" fillId="0" borderId="22" xfId="0" applyFont="1" applyBorder="1"/>
    <xf numFmtId="37" fontId="28" fillId="0" borderId="32" xfId="0" applyNumberFormat="1" applyFont="1" applyBorder="1"/>
    <xf numFmtId="37" fontId="28" fillId="0" borderId="33" xfId="0" applyNumberFormat="1" applyFont="1" applyBorder="1"/>
    <xf numFmtId="37" fontId="28" fillId="0" borderId="22" xfId="0" applyNumberFormat="1" applyFont="1" applyBorder="1"/>
    <xf numFmtId="170" fontId="28" fillId="0" borderId="22" xfId="0" applyNumberFormat="1" applyFont="1" applyBorder="1"/>
    <xf numFmtId="37" fontId="28" fillId="0" borderId="34" xfId="0" applyNumberFormat="1" applyFont="1" applyBorder="1"/>
    <xf numFmtId="170" fontId="28" fillId="0" borderId="58" xfId="0" applyNumberFormat="1" applyFont="1" applyBorder="1"/>
    <xf numFmtId="0" fontId="34" fillId="3" borderId="75" xfId="0" applyFont="1" applyFill="1" applyBorder="1"/>
    <xf numFmtId="170" fontId="34" fillId="3" borderId="58" xfId="0" applyNumberFormat="1" applyFont="1" applyFill="1" applyBorder="1"/>
    <xf numFmtId="0" fontId="34" fillId="0" borderId="70" xfId="0" applyFont="1" applyBorder="1"/>
    <xf numFmtId="0" fontId="28" fillId="0" borderId="1" xfId="0" applyFont="1" applyBorder="1"/>
    <xf numFmtId="37" fontId="28" fillId="0" borderId="39" xfId="0" applyNumberFormat="1" applyFont="1" applyBorder="1"/>
    <xf numFmtId="37" fontId="28" fillId="0" borderId="1" xfId="0" applyNumberFormat="1" applyFont="1" applyBorder="1"/>
    <xf numFmtId="170" fontId="28" fillId="0" borderId="1" xfId="0" applyNumberFormat="1" applyFont="1" applyBorder="1"/>
    <xf numFmtId="37" fontId="28" fillId="0" borderId="41" xfId="0" applyNumberFormat="1" applyFont="1" applyBorder="1"/>
    <xf numFmtId="0" fontId="28" fillId="0" borderId="1" xfId="0" applyFont="1" applyBorder="1" applyAlignment="1">
      <alignment horizontal="right"/>
    </xf>
    <xf numFmtId="171" fontId="28" fillId="0" borderId="1" xfId="0" applyNumberFormat="1" applyFont="1" applyBorder="1"/>
    <xf numFmtId="0" fontId="28" fillId="0" borderId="39" xfId="0" applyFont="1" applyBorder="1"/>
    <xf numFmtId="0" fontId="28" fillId="0" borderId="22" xfId="0" applyFont="1" applyBorder="1" applyAlignment="1">
      <alignment horizontal="right"/>
    </xf>
    <xf numFmtId="171" fontId="28" fillId="0" borderId="22" xfId="0" applyNumberFormat="1" applyFont="1" applyBorder="1"/>
    <xf numFmtId="0" fontId="28" fillId="0" borderId="33" xfId="0" applyFont="1" applyBorder="1"/>
    <xf numFmtId="170" fontId="28" fillId="0" borderId="32" xfId="0" applyNumberFormat="1" applyFont="1" applyBorder="1"/>
    <xf numFmtId="0" fontId="34" fillId="3" borderId="76" xfId="0" applyFont="1" applyFill="1" applyBorder="1"/>
    <xf numFmtId="0" fontId="28" fillId="0" borderId="24" xfId="0" applyFont="1" applyBorder="1" applyAlignment="1">
      <alignment horizontal="right"/>
    </xf>
    <xf numFmtId="0" fontId="28" fillId="0" borderId="24" xfId="0" applyFont="1" applyBorder="1"/>
    <xf numFmtId="37" fontId="28" fillId="0" borderId="37" xfId="0" applyNumberFormat="1" applyFont="1" applyBorder="1"/>
    <xf numFmtId="0" fontId="28" fillId="0" borderId="38" xfId="0" applyFont="1" applyBorder="1"/>
    <xf numFmtId="171" fontId="28" fillId="0" borderId="24" xfId="0" applyNumberFormat="1" applyFont="1" applyBorder="1"/>
    <xf numFmtId="37" fontId="28" fillId="0" borderId="24" xfId="0" applyNumberFormat="1" applyFont="1" applyBorder="1"/>
    <xf numFmtId="170" fontId="28" fillId="0" borderId="24" xfId="0" applyNumberFormat="1" applyFont="1" applyBorder="1"/>
    <xf numFmtId="37" fontId="28" fillId="0" borderId="42" xfId="0" applyNumberFormat="1" applyFont="1" applyBorder="1"/>
    <xf numFmtId="170" fontId="34" fillId="0" borderId="1" xfId="0" applyNumberFormat="1" applyFont="1" applyBorder="1"/>
    <xf numFmtId="0" fontId="34" fillId="0" borderId="1" xfId="0" applyFont="1" applyBorder="1"/>
    <xf numFmtId="170" fontId="28" fillId="0" borderId="37" xfId="0" applyNumberFormat="1" applyFont="1" applyBorder="1"/>
    <xf numFmtId="0" fontId="28" fillId="0" borderId="41" xfId="0" applyFont="1" applyBorder="1"/>
    <xf numFmtId="170" fontId="28" fillId="0" borderId="92" xfId="0" applyNumberFormat="1" applyFont="1" applyBorder="1"/>
    <xf numFmtId="0" fontId="28" fillId="0" borderId="1" xfId="0" applyFont="1" applyFill="1" applyBorder="1"/>
    <xf numFmtId="37" fontId="28" fillId="0" borderId="1" xfId="0" applyNumberFormat="1" applyFont="1" applyFill="1" applyBorder="1"/>
    <xf numFmtId="170" fontId="28" fillId="0" borderId="37" xfId="0" applyNumberFormat="1" applyFont="1" applyFill="1" applyBorder="1"/>
    <xf numFmtId="37" fontId="28" fillId="0" borderId="49" xfId="0" applyNumberFormat="1" applyFont="1" applyFill="1" applyBorder="1"/>
    <xf numFmtId="0" fontId="34" fillId="4" borderId="77" xfId="0" applyFont="1" applyFill="1" applyBorder="1"/>
    <xf numFmtId="170" fontId="28" fillId="0" borderId="83" xfId="0" applyNumberFormat="1" applyFont="1" applyBorder="1"/>
    <xf numFmtId="0" fontId="34" fillId="3" borderId="78" xfId="0" applyFont="1" applyFill="1" applyBorder="1"/>
    <xf numFmtId="0" fontId="34" fillId="3" borderId="64" xfId="0" applyFont="1" applyFill="1" applyBorder="1"/>
    <xf numFmtId="0" fontId="34" fillId="3" borderId="64" xfId="0" applyFont="1" applyFill="1" applyBorder="1" applyAlignment="1">
      <alignment horizontal="center"/>
    </xf>
    <xf numFmtId="170" fontId="34" fillId="3" borderId="64" xfId="0" applyNumberFormat="1" applyFont="1" applyFill="1" applyBorder="1"/>
    <xf numFmtId="37" fontId="34" fillId="3" borderId="93" xfId="0" applyNumberFormat="1" applyFont="1" applyFill="1" applyBorder="1"/>
    <xf numFmtId="37" fontId="34" fillId="3" borderId="94" xfId="0" applyNumberFormat="1" applyFont="1" applyFill="1" applyBorder="1"/>
    <xf numFmtId="0" fontId="34" fillId="3" borderId="94" xfId="0" applyFont="1" applyFill="1" applyBorder="1" applyAlignment="1">
      <alignment horizontal="center"/>
    </xf>
    <xf numFmtId="170" fontId="34" fillId="3" borderId="86" xfId="0" applyNumberFormat="1" applyFont="1" applyFill="1" applyBorder="1"/>
    <xf numFmtId="0" fontId="34" fillId="3" borderId="95" xfId="0" applyFont="1" applyFill="1" applyBorder="1"/>
    <xf numFmtId="0" fontId="34" fillId="3" borderId="96" xfId="0" applyFont="1" applyFill="1" applyBorder="1"/>
    <xf numFmtId="0" fontId="34" fillId="3" borderId="96" xfId="0" applyFont="1" applyFill="1" applyBorder="1" applyAlignment="1">
      <alignment horizontal="center"/>
    </xf>
    <xf numFmtId="170" fontId="34" fillId="3" borderId="96" xfId="0" applyNumberFormat="1" applyFont="1" applyFill="1" applyBorder="1"/>
    <xf numFmtId="37" fontId="34" fillId="3" borderId="97" xfId="0" applyNumberFormat="1" applyFont="1" applyFill="1" applyBorder="1"/>
    <xf numFmtId="37" fontId="34" fillId="3" borderId="96" xfId="0" applyNumberFormat="1" applyFont="1" applyFill="1" applyBorder="1"/>
    <xf numFmtId="37" fontId="34" fillId="3" borderId="98" xfId="0" applyNumberFormat="1" applyFont="1" applyFill="1" applyBorder="1"/>
    <xf numFmtId="37" fontId="34" fillId="3" borderId="99" xfId="0" applyNumberFormat="1" applyFont="1" applyFill="1" applyBorder="1"/>
    <xf numFmtId="37" fontId="34" fillId="3" borderId="88" xfId="0" applyNumberFormat="1" applyFont="1" applyFill="1" applyBorder="1"/>
    <xf numFmtId="170" fontId="34" fillId="3" borderId="91" xfId="0" applyNumberFormat="1" applyFont="1" applyFill="1" applyBorder="1"/>
    <xf numFmtId="0" fontId="33" fillId="0" borderId="70" xfId="0" applyFont="1" applyBorder="1"/>
    <xf numFmtId="0" fontId="33" fillId="0" borderId="41" xfId="0" applyFont="1" applyBorder="1"/>
    <xf numFmtId="0" fontId="33" fillId="0" borderId="55" xfId="0" applyFont="1" applyBorder="1"/>
    <xf numFmtId="0" fontId="23" fillId="0" borderId="41" xfId="0" applyFont="1" applyBorder="1"/>
    <xf numFmtId="170" fontId="34" fillId="3" borderId="81" xfId="0" applyNumberFormat="1" applyFont="1" applyFill="1" applyBorder="1"/>
    <xf numFmtId="0" fontId="26" fillId="0" borderId="15" xfId="0" applyFont="1" applyFill="1" applyBorder="1"/>
    <xf numFmtId="170" fontId="55" fillId="0" borderId="12" xfId="1" applyNumberFormat="1" applyFont="1" applyFill="1" applyBorder="1"/>
    <xf numFmtId="3" fontId="25" fillId="0" borderId="55" xfId="0" applyNumberFormat="1" applyFont="1" applyFill="1" applyBorder="1"/>
    <xf numFmtId="3" fontId="55" fillId="0" borderId="55" xfId="0" applyNumberFormat="1" applyFont="1" applyFill="1" applyBorder="1"/>
    <xf numFmtId="0" fontId="24" fillId="0" borderId="0" xfId="0" applyFont="1" applyFill="1"/>
    <xf numFmtId="0" fontId="0" fillId="0" borderId="0" xfId="0" applyFont="1" applyFill="1" applyAlignment="1"/>
    <xf numFmtId="0" fontId="29" fillId="0" borderId="0" xfId="0" applyFont="1" applyFill="1"/>
    <xf numFmtId="0" fontId="17" fillId="0" borderId="0" xfId="0" applyFont="1" applyFill="1"/>
    <xf numFmtId="0" fontId="31" fillId="0" borderId="0" xfId="0" applyFont="1" applyFill="1"/>
    <xf numFmtId="39" fontId="25" fillId="0" borderId="0" xfId="0" applyNumberFormat="1" applyFont="1" applyFill="1"/>
    <xf numFmtId="0" fontId="23" fillId="0" borderId="0" xfId="0" applyFont="1" applyFill="1"/>
    <xf numFmtId="0" fontId="22" fillId="0" borderId="0" xfId="0" applyFont="1" applyFill="1"/>
    <xf numFmtId="0" fontId="22" fillId="0" borderId="1" xfId="0" applyFont="1" applyFill="1" applyBorder="1"/>
    <xf numFmtId="0" fontId="23" fillId="0" borderId="1" xfId="0" applyFont="1" applyFill="1" applyBorder="1"/>
    <xf numFmtId="0" fontId="32" fillId="0" borderId="0" xfId="0" applyFont="1" applyFill="1"/>
    <xf numFmtId="37" fontId="26" fillId="0" borderId="0" xfId="0" applyNumberFormat="1" applyFont="1" applyFill="1"/>
    <xf numFmtId="0" fontId="30" fillId="0" borderId="0" xfId="0" applyFont="1" applyFill="1"/>
    <xf numFmtId="170" fontId="25" fillId="0" borderId="0" xfId="0" applyNumberFormat="1" applyFont="1" applyFill="1"/>
    <xf numFmtId="170" fontId="26" fillId="0" borderId="0" xfId="0" applyNumberFormat="1" applyFont="1" applyFill="1"/>
    <xf numFmtId="37" fontId="23" fillId="0" borderId="1" xfId="0" applyNumberFormat="1" applyFont="1" applyFill="1" applyBorder="1"/>
    <xf numFmtId="0" fontId="22" fillId="0" borderId="0" xfId="0" applyFont="1" applyFill="1" applyAlignment="1">
      <alignment horizontal="center" vertical="center"/>
    </xf>
    <xf numFmtId="0" fontId="26" fillId="0" borderId="0" xfId="0" applyFont="1" applyFill="1" applyAlignment="1">
      <alignment horizontal="center"/>
    </xf>
    <xf numFmtId="0" fontId="25" fillId="0" borderId="0" xfId="0" applyFont="1" applyFill="1" applyAlignment="1">
      <alignment horizontal="center"/>
    </xf>
    <xf numFmtId="0" fontId="22" fillId="0" borderId="1" xfId="0" applyFont="1" applyFill="1" applyBorder="1" applyAlignment="1">
      <alignment horizontal="center" vertical="center"/>
    </xf>
    <xf numFmtId="0" fontId="26" fillId="0" borderId="1" xfId="0" applyFont="1" applyFill="1" applyBorder="1" applyAlignment="1">
      <alignment horizontal="center"/>
    </xf>
    <xf numFmtId="0" fontId="25" fillId="0" borderId="1" xfId="0" applyFont="1" applyFill="1" applyBorder="1" applyAlignment="1">
      <alignment horizontal="center"/>
    </xf>
    <xf numFmtId="170" fontId="25" fillId="0" borderId="1" xfId="0" applyNumberFormat="1" applyFont="1" applyFill="1" applyBorder="1"/>
    <xf numFmtId="0" fontId="33" fillId="0" borderId="0" xfId="0" applyFont="1" applyFill="1"/>
    <xf numFmtId="0" fontId="53" fillId="0" borderId="0" xfId="0" applyFont="1"/>
    <xf numFmtId="167" fontId="19" fillId="0" borderId="1" xfId="0" applyNumberFormat="1" applyFont="1" applyBorder="1"/>
    <xf numFmtId="167" fontId="21" fillId="0" borderId="1" xfId="0" applyNumberFormat="1" applyFont="1" applyBorder="1"/>
    <xf numFmtId="167" fontId="20" fillId="0" borderId="1" xfId="0" applyNumberFormat="1" applyFont="1" applyFill="1" applyBorder="1"/>
    <xf numFmtId="0" fontId="20" fillId="0" borderId="1" xfId="0" applyFont="1" applyFill="1" applyBorder="1"/>
    <xf numFmtId="167" fontId="19" fillId="0" borderId="1" xfId="0" applyNumberFormat="1" applyFont="1" applyFill="1" applyBorder="1"/>
    <xf numFmtId="167" fontId="21" fillId="0" borderId="1" xfId="0" applyNumberFormat="1" applyFont="1" applyFill="1" applyBorder="1"/>
    <xf numFmtId="0" fontId="15" fillId="0" borderId="0" xfId="0" applyFont="1" applyFill="1"/>
    <xf numFmtId="170" fontId="34" fillId="3" borderId="100" xfId="0" applyNumberFormat="1" applyFont="1" applyFill="1" applyBorder="1"/>
    <xf numFmtId="0" fontId="25" fillId="0" borderId="101" xfId="0" applyFont="1" applyBorder="1"/>
    <xf numFmtId="3" fontId="52" fillId="0" borderId="13" xfId="0" applyNumberFormat="1" applyFont="1" applyBorder="1"/>
    <xf numFmtId="3" fontId="52" fillId="0" borderId="22" xfId="0" applyNumberFormat="1" applyFont="1" applyBorder="1"/>
    <xf numFmtId="0" fontId="55" fillId="0" borderId="70" xfId="0" applyFont="1" applyBorder="1"/>
    <xf numFmtId="0" fontId="53" fillId="9" borderId="1" xfId="0" applyFont="1" applyFill="1" applyBorder="1"/>
    <xf numFmtId="0" fontId="56" fillId="0" borderId="77" xfId="0" applyFont="1" applyBorder="1"/>
    <xf numFmtId="4" fontId="57" fillId="0" borderId="0" xfId="0" applyNumberFormat="1" applyFont="1" applyAlignment="1">
      <alignment horizontal="center" vertical="top"/>
    </xf>
    <xf numFmtId="3" fontId="50" fillId="0" borderId="15" xfId="0" applyNumberFormat="1" applyFont="1" applyBorder="1"/>
    <xf numFmtId="3" fontId="34" fillId="3" borderId="17" xfId="0" applyNumberFormat="1" applyFont="1" applyFill="1" applyBorder="1" applyAlignment="1">
      <alignment horizontal="center"/>
    </xf>
    <xf numFmtId="39" fontId="46" fillId="10" borderId="44" xfId="0" applyNumberFormat="1" applyFont="1" applyFill="1" applyBorder="1" applyAlignment="1">
      <alignment horizontal="left" vertical="top"/>
    </xf>
    <xf numFmtId="37" fontId="34" fillId="12" borderId="17" xfId="0" applyNumberFormat="1" applyFont="1" applyFill="1" applyBorder="1"/>
    <xf numFmtId="0" fontId="15" fillId="0" borderId="102" xfId="0" applyFont="1" applyBorder="1"/>
    <xf numFmtId="167" fontId="58" fillId="0" borderId="50" xfId="0" applyNumberFormat="1" applyFont="1" applyBorder="1"/>
    <xf numFmtId="164" fontId="19" fillId="0" borderId="7" xfId="0" applyNumberFormat="1" applyFont="1" applyBorder="1"/>
    <xf numFmtId="164" fontId="20" fillId="3" borderId="9" xfId="0" applyNumberFormat="1" applyFont="1" applyFill="1" applyBorder="1"/>
    <xf numFmtId="164" fontId="20" fillId="3" borderId="11" xfId="0" applyNumberFormat="1" applyFont="1" applyFill="1" applyBorder="1"/>
    <xf numFmtId="164" fontId="21" fillId="0" borderId="5" xfId="0" applyNumberFormat="1" applyFont="1" applyBorder="1"/>
    <xf numFmtId="164" fontId="15" fillId="0" borderId="7" xfId="0" applyNumberFormat="1" applyFont="1" applyBorder="1"/>
    <xf numFmtId="164" fontId="19" fillId="0" borderId="51" xfId="0" applyNumberFormat="1" applyFont="1" applyBorder="1"/>
    <xf numFmtId="164" fontId="21" fillId="0" borderId="51" xfId="0" applyNumberFormat="1" applyFont="1" applyBorder="1"/>
    <xf numFmtId="164" fontId="19" fillId="0" borderId="3" xfId="0" applyNumberFormat="1" applyFont="1" applyBorder="1"/>
    <xf numFmtId="0" fontId="25" fillId="0" borderId="13" xfId="0" applyFont="1" applyBorder="1" applyAlignment="1"/>
    <xf numFmtId="3" fontId="25" fillId="0" borderId="12" xfId="0" applyNumberFormat="1" applyFont="1" applyBorder="1" applyAlignment="1"/>
    <xf numFmtId="0" fontId="0" fillId="0" borderId="0" xfId="0" applyFont="1" applyAlignment="1"/>
    <xf numFmtId="39" fontId="46" fillId="10" borderId="1" xfId="0" applyNumberFormat="1" applyFont="1" applyFill="1" applyBorder="1" applyAlignment="1">
      <alignment horizontal="left" vertical="top"/>
    </xf>
    <xf numFmtId="4" fontId="15" fillId="13" borderId="0" xfId="0" applyNumberFormat="1" applyFont="1" applyFill="1" applyAlignment="1">
      <alignment horizontal="center" vertical="top"/>
    </xf>
    <xf numFmtId="39" fontId="50" fillId="0" borderId="103" xfId="0" applyNumberFormat="1" applyFont="1" applyBorder="1"/>
    <xf numFmtId="166" fontId="43" fillId="0" borderId="0" xfId="0" applyNumberFormat="1" applyFont="1" applyAlignment="1">
      <alignment horizontal="center" vertical="top"/>
    </xf>
    <xf numFmtId="166" fontId="15" fillId="0" borderId="0" xfId="0" applyNumberFormat="1" applyFont="1" applyAlignment="1">
      <alignment horizontal="center" vertical="top"/>
    </xf>
    <xf numFmtId="166" fontId="57" fillId="0" borderId="0" xfId="0" applyNumberFormat="1" applyFont="1" applyAlignment="1">
      <alignment horizontal="center" vertical="top"/>
    </xf>
    <xf numFmtId="166" fontId="15" fillId="13" borderId="0" xfId="0" applyNumberFormat="1" applyFont="1" applyFill="1" applyAlignment="1">
      <alignment horizontal="center" vertical="top"/>
    </xf>
    <xf numFmtId="166" fontId="0" fillId="0" borderId="0" xfId="0" applyNumberFormat="1" applyFont="1" applyAlignment="1"/>
    <xf numFmtId="49" fontId="15" fillId="15" borderId="0" xfId="0" applyNumberFormat="1" applyFont="1" applyFill="1" applyAlignment="1">
      <alignment horizontal="left" vertical="top"/>
    </xf>
    <xf numFmtId="166" fontId="15" fillId="15" borderId="0" xfId="0" applyNumberFormat="1" applyFont="1" applyFill="1" applyAlignment="1">
      <alignment horizontal="center" vertical="top"/>
    </xf>
    <xf numFmtId="4" fontId="15" fillId="15" borderId="0" xfId="0" applyNumberFormat="1" applyFont="1" applyFill="1" applyAlignment="1">
      <alignment horizontal="center" vertical="top"/>
    </xf>
    <xf numFmtId="37" fontId="26" fillId="3" borderId="17" xfId="0" applyNumberFormat="1" applyFont="1" applyFill="1" applyBorder="1"/>
    <xf numFmtId="0" fontId="25" fillId="3" borderId="20" xfId="0" applyFont="1" applyFill="1" applyBorder="1"/>
    <xf numFmtId="0" fontId="13" fillId="0" borderId="1" xfId="2"/>
    <xf numFmtId="0" fontId="59" fillId="0" borderId="1" xfId="2" applyFont="1"/>
    <xf numFmtId="0" fontId="59" fillId="0" borderId="1" xfId="2" applyFont="1" applyAlignment="1">
      <alignment horizontal="center"/>
    </xf>
    <xf numFmtId="0" fontId="60" fillId="0" borderId="1" xfId="2" applyFont="1"/>
    <xf numFmtId="169" fontId="61" fillId="0" borderId="1" xfId="2" applyNumberFormat="1" applyFont="1" applyAlignment="1">
      <alignment horizontal="left"/>
    </xf>
    <xf numFmtId="0" fontId="61" fillId="0" borderId="1" xfId="2" applyFont="1"/>
    <xf numFmtId="0" fontId="62" fillId="0" borderId="1" xfId="2" applyFont="1"/>
    <xf numFmtId="0" fontId="50" fillId="0" borderId="1" xfId="2" applyFont="1"/>
    <xf numFmtId="0" fontId="63" fillId="0" borderId="1" xfId="2" applyFont="1"/>
    <xf numFmtId="0" fontId="64" fillId="0" borderId="1" xfId="2" applyFont="1"/>
    <xf numFmtId="0" fontId="65" fillId="0" borderId="1" xfId="2" applyFont="1"/>
    <xf numFmtId="0" fontId="67" fillId="16" borderId="1" xfId="2" applyFont="1" applyFill="1"/>
    <xf numFmtId="0" fontId="65" fillId="16" borderId="1" xfId="2" applyFont="1" applyFill="1"/>
    <xf numFmtId="0" fontId="68" fillId="16" borderId="1" xfId="2" applyFont="1" applyFill="1"/>
    <xf numFmtId="0" fontId="69" fillId="16" borderId="1" xfId="2" applyFont="1" applyFill="1" applyAlignment="1">
      <alignment horizontal="centerContinuous" vertical="center"/>
    </xf>
    <xf numFmtId="0" fontId="65" fillId="16" borderId="1" xfId="2" applyFont="1" applyFill="1" applyAlignment="1">
      <alignment horizontal="centerContinuous" vertical="center"/>
    </xf>
    <xf numFmtId="0" fontId="67" fillId="16" borderId="1" xfId="2" applyFont="1" applyFill="1" applyAlignment="1">
      <alignment horizontal="centerContinuous"/>
    </xf>
    <xf numFmtId="0" fontId="65" fillId="16" borderId="1" xfId="2" applyFont="1" applyFill="1" applyAlignment="1">
      <alignment horizontal="centerContinuous"/>
    </xf>
    <xf numFmtId="0" fontId="70" fillId="16" borderId="1" xfId="2" applyFont="1" applyFill="1" applyAlignment="1">
      <alignment horizontal="center"/>
    </xf>
    <xf numFmtId="170" fontId="65" fillId="16" borderId="1" xfId="2" applyNumberFormat="1" applyFont="1" applyFill="1"/>
    <xf numFmtId="37" fontId="65" fillId="16" borderId="1" xfId="2" applyNumberFormat="1" applyFont="1" applyFill="1"/>
    <xf numFmtId="170" fontId="67" fillId="16" borderId="1" xfId="2" applyNumberFormat="1" applyFont="1" applyFill="1"/>
    <xf numFmtId="37" fontId="67" fillId="16" borderId="1" xfId="2" applyNumberFormat="1" applyFont="1" applyFill="1"/>
    <xf numFmtId="0" fontId="71" fillId="16" borderId="1" xfId="2" applyFont="1" applyFill="1"/>
    <xf numFmtId="0" fontId="70" fillId="16" borderId="1" xfId="2" applyFont="1" applyFill="1" applyAlignment="1">
      <alignment horizontal="centerContinuous"/>
    </xf>
    <xf numFmtId="0" fontId="70" fillId="16" borderId="1" xfId="2" applyFont="1" applyFill="1" applyAlignment="1">
      <alignment horizontal="left"/>
    </xf>
    <xf numFmtId="0" fontId="72" fillId="16" borderId="1" xfId="2" applyFont="1" applyFill="1" applyProtection="1">
      <protection locked="0"/>
    </xf>
    <xf numFmtId="0" fontId="65" fillId="16" borderId="1" xfId="2" applyFont="1" applyFill="1" applyAlignment="1">
      <alignment horizontal="center"/>
    </xf>
    <xf numFmtId="0" fontId="73" fillId="16" borderId="1" xfId="2" applyFont="1" applyFill="1" applyAlignment="1">
      <alignment horizontal="centerContinuous"/>
    </xf>
    <xf numFmtId="0" fontId="67" fillId="16" borderId="1" xfId="2" applyFont="1" applyFill="1" applyAlignment="1">
      <alignment horizontal="left"/>
    </xf>
    <xf numFmtId="0" fontId="13" fillId="0" borderId="1" xfId="2" applyAlignment="1">
      <alignment horizontal="center"/>
    </xf>
    <xf numFmtId="0" fontId="74" fillId="0" borderId="1" xfId="2" applyFont="1" applyBorder="1" applyAlignment="1">
      <alignment horizontal="center"/>
    </xf>
    <xf numFmtId="0" fontId="59" fillId="13" borderId="54" xfId="2" applyFont="1" applyFill="1" applyBorder="1" applyAlignment="1">
      <alignment horizontal="center"/>
    </xf>
    <xf numFmtId="0" fontId="62" fillId="0" borderId="1" xfId="2" applyFont="1" applyAlignment="1">
      <alignment horizontal="center"/>
    </xf>
    <xf numFmtId="0" fontId="24" fillId="0" borderId="0" xfId="0" applyFont="1" applyAlignment="1">
      <alignment horizontal="center"/>
    </xf>
    <xf numFmtId="0" fontId="13" fillId="0" borderId="1" xfId="2" applyFill="1" applyAlignment="1">
      <alignment horizontal="center"/>
    </xf>
    <xf numFmtId="0" fontId="74" fillId="0" borderId="1" xfId="2" applyFont="1" applyFill="1" applyBorder="1" applyAlignment="1">
      <alignment horizontal="center"/>
    </xf>
    <xf numFmtId="0" fontId="59" fillId="0" borderId="1" xfId="2" applyFont="1" applyFill="1" applyBorder="1" applyAlignment="1">
      <alignment horizontal="center"/>
    </xf>
    <xf numFmtId="0" fontId="13" fillId="0" borderId="1" xfId="2" applyFill="1"/>
    <xf numFmtId="0" fontId="24" fillId="17" borderId="0" xfId="0" applyFont="1" applyFill="1"/>
    <xf numFmtId="170" fontId="25" fillId="0" borderId="1" xfId="1" applyNumberFormat="1" applyFont="1" applyFill="1" applyBorder="1"/>
    <xf numFmtId="170" fontId="26" fillId="0" borderId="9" xfId="0" applyNumberFormat="1" applyFont="1" applyFill="1" applyBorder="1"/>
    <xf numFmtId="3" fontId="25" fillId="0" borderId="22" xfId="0" applyNumberFormat="1" applyFont="1" applyBorder="1" applyAlignment="1">
      <alignment horizontal="right"/>
    </xf>
    <xf numFmtId="0" fontId="75" fillId="0" borderId="0" xfId="0" applyFont="1" applyAlignment="1"/>
    <xf numFmtId="0" fontId="27" fillId="0" borderId="0" xfId="0" applyFont="1" applyAlignment="1"/>
    <xf numFmtId="3" fontId="25" fillId="0" borderId="167" xfId="0" applyNumberFormat="1" applyFont="1" applyBorder="1"/>
    <xf numFmtId="3" fontId="25" fillId="0" borderId="168" xfId="0" applyNumberFormat="1" applyFont="1" applyBorder="1"/>
    <xf numFmtId="3" fontId="25" fillId="0" borderId="169" xfId="0" applyNumberFormat="1" applyFont="1" applyBorder="1"/>
    <xf numFmtId="3" fontId="25" fillId="0" borderId="24" xfId="0" applyNumberFormat="1" applyFont="1" applyFill="1" applyBorder="1"/>
    <xf numFmtId="3" fontId="25" fillId="0" borderId="25" xfId="0" applyNumberFormat="1" applyFont="1" applyFill="1" applyBorder="1"/>
    <xf numFmtId="0" fontId="76" fillId="0" borderId="0" xfId="0" applyFont="1" applyAlignment="1"/>
    <xf numFmtId="0" fontId="50" fillId="0" borderId="108" xfId="0" applyFont="1" applyBorder="1"/>
    <xf numFmtId="170" fontId="34" fillId="3" borderId="57" xfId="0" applyNumberFormat="1" applyFont="1" applyFill="1" applyBorder="1"/>
    <xf numFmtId="0" fontId="12" fillId="0" borderId="1" xfId="3"/>
    <xf numFmtId="0" fontId="77" fillId="0" borderId="172" xfId="3" applyFont="1" applyBorder="1"/>
    <xf numFmtId="0" fontId="12" fillId="0" borderId="172" xfId="3" applyBorder="1"/>
    <xf numFmtId="0" fontId="12" fillId="0" borderId="172" xfId="3" applyBorder="1" applyAlignment="1">
      <alignment horizontal="left" indent="1"/>
    </xf>
    <xf numFmtId="0" fontId="77" fillId="0" borderId="189" xfId="3" applyFont="1" applyBorder="1"/>
    <xf numFmtId="0" fontId="77" fillId="18" borderId="170" xfId="3" applyFont="1" applyFill="1" applyBorder="1" applyAlignment="1">
      <alignment horizontal="center"/>
    </xf>
    <xf numFmtId="0" fontId="77" fillId="18" borderId="177" xfId="3" applyFont="1" applyFill="1" applyBorder="1" applyAlignment="1">
      <alignment horizontal="center"/>
    </xf>
    <xf numFmtId="0" fontId="77" fillId="18" borderId="178" xfId="3" applyFont="1" applyFill="1" applyBorder="1" applyAlignment="1">
      <alignment horizontal="center"/>
    </xf>
    <xf numFmtId="0" fontId="77" fillId="18" borderId="127" xfId="3" applyFont="1" applyFill="1" applyBorder="1" applyAlignment="1">
      <alignment horizontal="center"/>
    </xf>
    <xf numFmtId="0" fontId="77" fillId="18" borderId="171" xfId="3" applyFont="1" applyFill="1" applyBorder="1" applyAlignment="1">
      <alignment horizontal="center"/>
    </xf>
    <xf numFmtId="0" fontId="77" fillId="19" borderId="170" xfId="3" applyFont="1" applyFill="1" applyBorder="1" applyAlignment="1">
      <alignment horizontal="center"/>
    </xf>
    <xf numFmtId="0" fontId="77" fillId="19" borderId="177" xfId="3" applyFont="1" applyFill="1" applyBorder="1" applyAlignment="1">
      <alignment horizontal="center"/>
    </xf>
    <xf numFmtId="0" fontId="77" fillId="19" borderId="178" xfId="3" applyFont="1" applyFill="1" applyBorder="1" applyAlignment="1">
      <alignment horizontal="center"/>
    </xf>
    <xf numFmtId="0" fontId="77" fillId="19" borderId="179" xfId="3" applyFont="1" applyFill="1" applyBorder="1" applyAlignment="1">
      <alignment horizontal="center"/>
    </xf>
    <xf numFmtId="0" fontId="77" fillId="19" borderId="127" xfId="3" applyFont="1" applyFill="1" applyBorder="1" applyAlignment="1">
      <alignment horizontal="center"/>
    </xf>
    <xf numFmtId="0" fontId="77" fillId="19" borderId="171" xfId="3" applyFont="1" applyFill="1" applyBorder="1" applyAlignment="1">
      <alignment horizontal="center"/>
    </xf>
    <xf numFmtId="0" fontId="12" fillId="0" borderId="1" xfId="3" applyAlignment="1">
      <alignment horizontal="center"/>
    </xf>
    <xf numFmtId="0" fontId="77" fillId="11" borderId="170" xfId="3" applyFont="1" applyFill="1" applyBorder="1" applyAlignment="1">
      <alignment horizontal="center"/>
    </xf>
    <xf numFmtId="0" fontId="77" fillId="11" borderId="177" xfId="3" applyFont="1" applyFill="1" applyBorder="1" applyAlignment="1">
      <alignment horizontal="center"/>
    </xf>
    <xf numFmtId="0" fontId="77" fillId="11" borderId="178" xfId="3" applyFont="1" applyFill="1" applyBorder="1" applyAlignment="1">
      <alignment horizontal="center"/>
    </xf>
    <xf numFmtId="0" fontId="77" fillId="11" borderId="127" xfId="3" applyFont="1" applyFill="1" applyBorder="1" applyAlignment="1">
      <alignment horizontal="center"/>
    </xf>
    <xf numFmtId="0" fontId="77" fillId="11" borderId="171" xfId="3" applyFont="1" applyFill="1" applyBorder="1" applyAlignment="1">
      <alignment horizontal="center"/>
    </xf>
    <xf numFmtId="37" fontId="77" fillId="0" borderId="180" xfId="3" applyNumberFormat="1" applyFont="1" applyBorder="1" applyAlignment="1">
      <alignment horizontal="center"/>
    </xf>
    <xf numFmtId="1" fontId="77" fillId="0" borderId="181" xfId="3" applyNumberFormat="1" applyFont="1" applyBorder="1" applyAlignment="1">
      <alignment horizontal="center"/>
    </xf>
    <xf numFmtId="1" fontId="77" fillId="0" borderId="161" xfId="3" applyNumberFormat="1" applyFont="1" applyBorder="1" applyAlignment="1">
      <alignment horizontal="center"/>
    </xf>
    <xf numFmtId="1" fontId="77" fillId="0" borderId="173" xfId="3" applyNumberFormat="1" applyFont="1" applyBorder="1" applyAlignment="1">
      <alignment horizontal="center"/>
    </xf>
    <xf numFmtId="166" fontId="77" fillId="0" borderId="180" xfId="3" applyNumberFormat="1" applyFont="1" applyBorder="1" applyAlignment="1">
      <alignment horizontal="center"/>
    </xf>
    <xf numFmtId="166" fontId="77" fillId="0" borderId="181" xfId="3" applyNumberFormat="1" applyFont="1" applyBorder="1" applyAlignment="1">
      <alignment horizontal="center"/>
    </xf>
    <xf numFmtId="166" fontId="77" fillId="0" borderId="161" xfId="3" applyNumberFormat="1" applyFont="1" applyBorder="1" applyAlignment="1">
      <alignment horizontal="center"/>
    </xf>
    <xf numFmtId="166" fontId="77" fillId="0" borderId="173" xfId="3" applyNumberFormat="1" applyFont="1" applyBorder="1" applyAlignment="1">
      <alignment horizontal="center"/>
    </xf>
    <xf numFmtId="0" fontId="12" fillId="0" borderId="174" xfId="3" applyBorder="1"/>
    <xf numFmtId="0" fontId="77" fillId="20" borderId="170" xfId="3" applyFont="1" applyFill="1" applyBorder="1" applyAlignment="1">
      <alignment horizontal="center"/>
    </xf>
    <xf numFmtId="0" fontId="77" fillId="20" borderId="177" xfId="3" applyFont="1" applyFill="1" applyBorder="1" applyAlignment="1">
      <alignment horizontal="center"/>
    </xf>
    <xf numFmtId="0" fontId="77" fillId="20" borderId="178" xfId="3" applyFont="1" applyFill="1" applyBorder="1" applyAlignment="1">
      <alignment horizontal="center"/>
    </xf>
    <xf numFmtId="0" fontId="77" fillId="20" borderId="127" xfId="3" applyFont="1" applyFill="1" applyBorder="1" applyAlignment="1">
      <alignment horizontal="center"/>
    </xf>
    <xf numFmtId="0" fontId="77" fillId="20" borderId="171" xfId="3" applyFont="1" applyFill="1" applyBorder="1" applyAlignment="1">
      <alignment horizontal="center"/>
    </xf>
    <xf numFmtId="0" fontId="77" fillId="0" borderId="172" xfId="3" applyFont="1" applyBorder="1" applyAlignment="1">
      <alignment horizontal="left"/>
    </xf>
    <xf numFmtId="9" fontId="77" fillId="0" borderId="183" xfId="4" applyFont="1" applyBorder="1" applyAlignment="1">
      <alignment horizontal="center"/>
    </xf>
    <xf numFmtId="9" fontId="77" fillId="0" borderId="184" xfId="4" applyFont="1" applyBorder="1" applyAlignment="1">
      <alignment horizontal="center"/>
    </xf>
    <xf numFmtId="9" fontId="77" fillId="0" borderId="185" xfId="4" applyFont="1" applyBorder="1" applyAlignment="1">
      <alignment horizontal="center"/>
    </xf>
    <xf numFmtId="9" fontId="77" fillId="0" borderId="180" xfId="4" applyFont="1" applyBorder="1" applyAlignment="1">
      <alignment horizontal="center"/>
    </xf>
    <xf numFmtId="9" fontId="77" fillId="0" borderId="181" xfId="4" applyFont="1" applyBorder="1" applyAlignment="1">
      <alignment horizontal="center"/>
    </xf>
    <xf numFmtId="9" fontId="77" fillId="0" borderId="182" xfId="4" applyFont="1" applyBorder="1" applyAlignment="1">
      <alignment horizontal="center"/>
    </xf>
    <xf numFmtId="0" fontId="77" fillId="21" borderId="170" xfId="3" applyFont="1" applyFill="1" applyBorder="1" applyAlignment="1">
      <alignment horizontal="center"/>
    </xf>
    <xf numFmtId="0" fontId="77" fillId="21" borderId="177" xfId="3" applyFont="1" applyFill="1" applyBorder="1" applyAlignment="1">
      <alignment horizontal="center"/>
    </xf>
    <xf numFmtId="0" fontId="77" fillId="21" borderId="178" xfId="3" applyFont="1" applyFill="1" applyBorder="1" applyAlignment="1">
      <alignment horizontal="center"/>
    </xf>
    <xf numFmtId="0" fontId="77" fillId="21" borderId="127" xfId="3" applyFont="1" applyFill="1" applyBorder="1" applyAlignment="1">
      <alignment horizontal="center"/>
    </xf>
    <xf numFmtId="0" fontId="77" fillId="21" borderId="171" xfId="3" applyFont="1" applyFill="1" applyBorder="1" applyAlignment="1">
      <alignment horizontal="center"/>
    </xf>
    <xf numFmtId="0" fontId="12" fillId="13" borderId="172" xfId="3" applyFill="1" applyBorder="1" applyAlignment="1">
      <alignment horizontal="left" indent="1"/>
    </xf>
    <xf numFmtId="0" fontId="12" fillId="13" borderId="174" xfId="3" applyFill="1" applyBorder="1" applyAlignment="1">
      <alignment horizontal="left" indent="1"/>
    </xf>
    <xf numFmtId="0" fontId="28" fillId="0" borderId="101" xfId="0" applyFont="1" applyBorder="1"/>
    <xf numFmtId="0" fontId="28" fillId="0" borderId="195" xfId="0" applyFont="1" applyBorder="1"/>
    <xf numFmtId="0" fontId="28" fillId="0" borderId="54" xfId="0" applyFont="1" applyBorder="1" applyAlignment="1">
      <alignment horizontal="right"/>
    </xf>
    <xf numFmtId="0" fontId="28" fillId="0" borderId="54" xfId="0" applyFont="1" applyBorder="1"/>
    <xf numFmtId="37" fontId="28" fillId="0" borderId="196" xfId="0" applyNumberFormat="1" applyFont="1" applyBorder="1"/>
    <xf numFmtId="0" fontId="28" fillId="0" borderId="197" xfId="0" applyFont="1" applyBorder="1"/>
    <xf numFmtId="171" fontId="28" fillId="0" borderId="54" xfId="0" applyNumberFormat="1" applyFont="1" applyBorder="1"/>
    <xf numFmtId="37" fontId="28" fillId="0" borderId="197" xfId="0" applyNumberFormat="1" applyFont="1" applyBorder="1"/>
    <xf numFmtId="37" fontId="28" fillId="0" borderId="54" xfId="0" applyNumberFormat="1" applyFont="1" applyBorder="1"/>
    <xf numFmtId="170" fontId="28" fillId="0" borderId="54" xfId="0" applyNumberFormat="1" applyFont="1" applyBorder="1"/>
    <xf numFmtId="37" fontId="28" fillId="0" borderId="198" xfId="0" applyNumberFormat="1" applyFont="1" applyBorder="1"/>
    <xf numFmtId="170" fontId="28" fillId="0" borderId="199" xfId="0" applyNumberFormat="1" applyFont="1" applyBorder="1"/>
    <xf numFmtId="1" fontId="47" fillId="10" borderId="44" xfId="0" applyNumberFormat="1" applyFont="1" applyFill="1" applyBorder="1" applyAlignment="1">
      <alignment horizontal="left" vertical="top"/>
    </xf>
    <xf numFmtId="0" fontId="51" fillId="22" borderId="104" xfId="0" applyFont="1" applyFill="1" applyBorder="1" applyAlignment="1">
      <alignment horizontal="center"/>
    </xf>
    <xf numFmtId="0" fontId="50" fillId="22" borderId="107" xfId="0" applyFont="1" applyFill="1" applyBorder="1"/>
    <xf numFmtId="3" fontId="50" fillId="22" borderId="108" xfId="0" applyNumberFormat="1" applyFont="1" applyFill="1" applyBorder="1" applyAlignment="1">
      <alignment horizontal="center"/>
    </xf>
    <xf numFmtId="3" fontId="50" fillId="22" borderId="0" xfId="0" applyNumberFormat="1" applyFont="1" applyFill="1" applyAlignment="1">
      <alignment horizontal="center"/>
    </xf>
    <xf numFmtId="3" fontId="50" fillId="22" borderId="109" xfId="0" applyNumberFormat="1" applyFont="1" applyFill="1" applyBorder="1" applyAlignment="1">
      <alignment horizontal="center"/>
    </xf>
    <xf numFmtId="0" fontId="50" fillId="22" borderId="110" xfId="0" applyFont="1" applyFill="1" applyBorder="1"/>
    <xf numFmtId="3" fontId="50" fillId="22" borderId="110" xfId="0" applyNumberFormat="1" applyFont="1" applyFill="1" applyBorder="1" applyAlignment="1">
      <alignment horizontal="center"/>
    </xf>
    <xf numFmtId="3" fontId="50" fillId="22" borderId="103" xfId="0" applyNumberFormat="1" applyFont="1" applyFill="1" applyBorder="1" applyAlignment="1">
      <alignment horizontal="center"/>
    </xf>
    <xf numFmtId="3" fontId="50" fillId="22" borderId="111" xfId="0" applyNumberFormat="1" applyFont="1" applyFill="1" applyBorder="1" applyAlignment="1">
      <alignment horizontal="right"/>
    </xf>
    <xf numFmtId="3" fontId="50" fillId="22" borderId="111" xfId="0" applyNumberFormat="1" applyFont="1" applyFill="1" applyBorder="1" applyAlignment="1" applyProtection="1">
      <alignment horizontal="right"/>
      <protection locked="0"/>
    </xf>
    <xf numFmtId="0" fontId="50" fillId="22" borderId="108" xfId="0" applyFont="1" applyFill="1" applyBorder="1"/>
    <xf numFmtId="3" fontId="50" fillId="22" borderId="108" xfId="0" applyNumberFormat="1" applyFont="1" applyFill="1" applyBorder="1"/>
    <xf numFmtId="3" fontId="50" fillId="22" borderId="0" xfId="0" applyNumberFormat="1" applyFont="1" applyFill="1"/>
    <xf numFmtId="3" fontId="50" fillId="22" borderId="109" xfId="0" applyNumberFormat="1" applyFont="1" applyFill="1" applyBorder="1"/>
    <xf numFmtId="3" fontId="50" fillId="22" borderId="108" xfId="0" applyNumberFormat="1" applyFont="1" applyFill="1" applyBorder="1" applyProtection="1">
      <protection locked="0"/>
    </xf>
    <xf numFmtId="3" fontId="50" fillId="22" borderId="109" xfId="0" applyNumberFormat="1" applyFont="1" applyFill="1" applyBorder="1" applyProtection="1">
      <protection locked="0"/>
    </xf>
    <xf numFmtId="0" fontId="51" fillId="22" borderId="107" xfId="0" applyFont="1" applyFill="1" applyBorder="1"/>
    <xf numFmtId="3" fontId="51" fillId="22" borderId="107" xfId="0" applyNumberFormat="1" applyFont="1" applyFill="1" applyBorder="1"/>
    <xf numFmtId="3" fontId="51" fillId="22" borderId="112" xfId="0" applyNumberFormat="1" applyFont="1" applyFill="1" applyBorder="1"/>
    <xf numFmtId="3" fontId="51" fillId="22" borderId="113" xfId="0" applyNumberFormat="1" applyFont="1" applyFill="1" applyBorder="1"/>
    <xf numFmtId="0" fontId="50" fillId="22" borderId="109" xfId="0" applyFont="1" applyFill="1" applyBorder="1"/>
    <xf numFmtId="0" fontId="51" fillId="22" borderId="114" xfId="0" applyFont="1" applyFill="1" applyBorder="1"/>
    <xf numFmtId="3" fontId="50" fillId="22" borderId="114" xfId="0" applyNumberFormat="1" applyFont="1" applyFill="1" applyBorder="1"/>
    <xf numFmtId="3" fontId="50" fillId="22" borderId="53" xfId="0" applyNumberFormat="1" applyFont="1" applyFill="1" applyBorder="1"/>
    <xf numFmtId="3" fontId="50" fillId="22" borderId="115" xfId="0" applyNumberFormat="1" applyFont="1" applyFill="1" applyBorder="1"/>
    <xf numFmtId="3" fontId="50" fillId="22" borderId="114" xfId="0" applyNumberFormat="1" applyFont="1" applyFill="1" applyBorder="1" applyProtection="1">
      <protection locked="0"/>
    </xf>
    <xf numFmtId="3" fontId="50" fillId="22" borderId="115" xfId="0" applyNumberFormat="1" applyFont="1" applyFill="1" applyBorder="1" applyProtection="1">
      <protection locked="0"/>
    </xf>
    <xf numFmtId="0" fontId="51" fillId="22" borderId="108" xfId="0" applyFont="1" applyFill="1" applyBorder="1"/>
    <xf numFmtId="3" fontId="50" fillId="22" borderId="107" xfId="0" applyNumberFormat="1" applyFont="1" applyFill="1" applyBorder="1"/>
    <xf numFmtId="3" fontId="50" fillId="22" borderId="112" xfId="0" applyNumberFormat="1" applyFont="1" applyFill="1" applyBorder="1"/>
    <xf numFmtId="3" fontId="50" fillId="22" borderId="113" xfId="0" applyNumberFormat="1" applyFont="1" applyFill="1" applyBorder="1"/>
    <xf numFmtId="0" fontId="51" fillId="22" borderId="110" xfId="0" applyFont="1" applyFill="1" applyBorder="1"/>
    <xf numFmtId="0" fontId="50" fillId="22" borderId="0" xfId="0" applyFont="1" applyFill="1"/>
    <xf numFmtId="37" fontId="50" fillId="22" borderId="109" xfId="0" applyNumberFormat="1" applyFont="1" applyFill="1" applyBorder="1"/>
    <xf numFmtId="0" fontId="51" fillId="23" borderId="116" xfId="0" applyFont="1" applyFill="1" applyBorder="1"/>
    <xf numFmtId="37" fontId="51" fillId="23" borderId="116" xfId="0" applyNumberFormat="1" applyFont="1" applyFill="1" applyBorder="1"/>
    <xf numFmtId="171" fontId="51" fillId="23" borderId="117" xfId="0" applyNumberFormat="1" applyFont="1" applyFill="1" applyBorder="1"/>
    <xf numFmtId="37" fontId="51" fillId="23" borderId="118" xfId="0" applyNumberFormat="1" applyFont="1" applyFill="1" applyBorder="1"/>
    <xf numFmtId="0" fontId="51" fillId="23" borderId="119" xfId="0" applyFont="1" applyFill="1" applyBorder="1"/>
    <xf numFmtId="0" fontId="51" fillId="23" borderId="120" xfId="0" applyFont="1" applyFill="1" applyBorder="1"/>
    <xf numFmtId="0" fontId="51" fillId="23" borderId="121" xfId="0" applyFont="1" applyFill="1" applyBorder="1"/>
    <xf numFmtId="0" fontId="51" fillId="24" borderId="108" xfId="0" applyFont="1" applyFill="1" applyBorder="1"/>
    <xf numFmtId="0" fontId="51" fillId="24" borderId="0" xfId="0" applyFont="1" applyFill="1"/>
    <xf numFmtId="0" fontId="51" fillId="24" borderId="109" xfId="0" applyFont="1" applyFill="1" applyBorder="1"/>
    <xf numFmtId="0" fontId="51" fillId="22" borderId="108" xfId="0" applyFont="1" applyFill="1" applyBorder="1" applyAlignment="1">
      <alignment horizontal="left"/>
    </xf>
    <xf numFmtId="0" fontId="50" fillId="22" borderId="0" xfId="0" applyFont="1" applyFill="1" applyAlignment="1">
      <alignment horizontal="center"/>
    </xf>
    <xf numFmtId="9" fontId="50" fillId="22" borderId="108" xfId="1" applyFont="1" applyFill="1" applyBorder="1"/>
    <xf numFmtId="37" fontId="50" fillId="22" borderId="0" xfId="0" applyNumberFormat="1" applyFont="1" applyFill="1"/>
    <xf numFmtId="37" fontId="50" fillId="22" borderId="109" xfId="0" applyNumberFormat="1" applyFont="1" applyFill="1" applyBorder="1" applyProtection="1">
      <protection locked="0"/>
    </xf>
    <xf numFmtId="9" fontId="50" fillId="22" borderId="110" xfId="1" applyFont="1" applyFill="1" applyBorder="1"/>
    <xf numFmtId="37" fontId="50" fillId="22" borderId="103" xfId="0" applyNumberFormat="1" applyFont="1" applyFill="1" applyBorder="1"/>
    <xf numFmtId="37" fontId="50" fillId="22" borderId="111" xfId="0" applyNumberFormat="1" applyFont="1" applyFill="1" applyBorder="1"/>
    <xf numFmtId="37" fontId="50" fillId="22" borderId="111" xfId="0" applyNumberFormat="1" applyFont="1" applyFill="1" applyBorder="1" applyProtection="1">
      <protection locked="0"/>
    </xf>
    <xf numFmtId="0" fontId="51" fillId="23" borderId="122" xfId="0" applyFont="1" applyFill="1" applyBorder="1"/>
    <xf numFmtId="0" fontId="51" fillId="23" borderId="122" xfId="0" applyFont="1" applyFill="1" applyBorder="1" applyAlignment="1">
      <alignment horizontal="center"/>
    </xf>
    <xf numFmtId="170" fontId="51" fillId="23" borderId="123" xfId="0" applyNumberFormat="1" applyFont="1" applyFill="1" applyBorder="1"/>
    <xf numFmtId="37" fontId="51" fillId="23" borderId="124" xfId="0" applyNumberFormat="1" applyFont="1" applyFill="1" applyBorder="1"/>
    <xf numFmtId="0" fontId="54" fillId="22" borderId="108" xfId="0" applyFont="1" applyFill="1" applyBorder="1"/>
    <xf numFmtId="0" fontId="54" fillId="22" borderId="110" xfId="0" applyFont="1" applyFill="1" applyBorder="1"/>
    <xf numFmtId="0" fontId="50" fillId="22" borderId="112" xfId="0" applyFont="1" applyFill="1" applyBorder="1"/>
    <xf numFmtId="37" fontId="50" fillId="22" borderId="113" xfId="0" applyNumberFormat="1" applyFont="1" applyFill="1" applyBorder="1"/>
    <xf numFmtId="37" fontId="50" fillId="22" borderId="113" xfId="0" applyNumberFormat="1" applyFont="1" applyFill="1" applyBorder="1" applyProtection="1">
      <protection locked="0"/>
    </xf>
    <xf numFmtId="0" fontId="54" fillId="24" borderId="108" xfId="0" applyFont="1" applyFill="1" applyBorder="1"/>
    <xf numFmtId="0" fontId="50" fillId="22" borderId="103" xfId="0" applyFont="1" applyFill="1" applyBorder="1"/>
    <xf numFmtId="0" fontId="50" fillId="22" borderId="114" xfId="0" applyFont="1" applyFill="1" applyBorder="1"/>
    <xf numFmtId="0" fontId="50" fillId="22" borderId="53" xfId="0" applyFont="1" applyFill="1" applyBorder="1"/>
    <xf numFmtId="37" fontId="50" fillId="22" borderId="115" xfId="0" applyNumberFormat="1" applyFont="1" applyFill="1" applyBorder="1"/>
    <xf numFmtId="37" fontId="50" fillId="22" borderId="115" xfId="0" applyNumberFormat="1" applyFont="1" applyFill="1" applyBorder="1" applyProtection="1">
      <protection locked="0"/>
    </xf>
    <xf numFmtId="0" fontId="51" fillId="23" borderId="125" xfId="0" applyFont="1" applyFill="1" applyBorder="1"/>
    <xf numFmtId="37" fontId="51" fillId="23" borderId="126" xfId="0" applyNumberFormat="1" applyFont="1" applyFill="1" applyBorder="1"/>
    <xf numFmtId="0" fontId="51" fillId="23" borderId="127" xfId="0" applyFont="1" applyFill="1" applyBorder="1"/>
    <xf numFmtId="0" fontId="51" fillId="23" borderId="128" xfId="0" applyFont="1" applyFill="1" applyBorder="1" applyAlignment="1">
      <alignment horizontal="center"/>
    </xf>
    <xf numFmtId="170" fontId="51" fillId="23" borderId="129" xfId="0" applyNumberFormat="1" applyFont="1" applyFill="1" applyBorder="1"/>
    <xf numFmtId="37" fontId="51" fillId="23" borderId="130" xfId="0" applyNumberFormat="1" applyFont="1" applyFill="1" applyBorder="1"/>
    <xf numFmtId="0" fontId="50" fillId="24" borderId="110" xfId="0" applyFont="1" applyFill="1" applyBorder="1"/>
    <xf numFmtId="0" fontId="50" fillId="24" borderId="103" xfId="0" applyFont="1" applyFill="1" applyBorder="1"/>
    <xf numFmtId="37" fontId="51" fillId="24" borderId="109" xfId="0" applyNumberFormat="1" applyFont="1" applyFill="1" applyBorder="1"/>
    <xf numFmtId="0" fontId="51" fillId="23" borderId="131" xfId="0" applyFont="1" applyFill="1" applyBorder="1"/>
    <xf numFmtId="0" fontId="50" fillId="23" borderId="131" xfId="0" applyFont="1" applyFill="1" applyBorder="1"/>
    <xf numFmtId="0" fontId="50" fillId="23" borderId="132" xfId="0" applyFont="1" applyFill="1" applyBorder="1"/>
    <xf numFmtId="37" fontId="51" fillId="23" borderId="133" xfId="0" applyNumberFormat="1" applyFont="1" applyFill="1" applyBorder="1"/>
    <xf numFmtId="0" fontId="63" fillId="22" borderId="0" xfId="0" applyFont="1" applyFill="1"/>
    <xf numFmtId="37" fontId="63" fillId="22" borderId="0" xfId="0" applyNumberFormat="1" applyFont="1" applyFill="1"/>
    <xf numFmtId="0" fontId="61" fillId="22" borderId="0" xfId="0" applyFont="1" applyFill="1"/>
    <xf numFmtId="0" fontId="60" fillId="22" borderId="0" xfId="0" applyFont="1" applyFill="1"/>
    <xf numFmtId="0" fontId="59" fillId="22" borderId="0" xfId="0" applyFont="1" applyFill="1"/>
    <xf numFmtId="169" fontId="61" fillId="22" borderId="0" xfId="0" applyNumberFormat="1" applyFont="1" applyFill="1" applyAlignment="1">
      <alignment horizontal="left"/>
    </xf>
    <xf numFmtId="0" fontId="50" fillId="22" borderId="108" xfId="0" applyFont="1" applyFill="1" applyBorder="1" applyAlignment="1">
      <alignment horizontal="center"/>
    </xf>
    <xf numFmtId="0" fontId="50" fillId="22" borderId="109" xfId="0" applyFont="1" applyFill="1" applyBorder="1" applyAlignment="1">
      <alignment horizontal="center"/>
    </xf>
    <xf numFmtId="3" fontId="50" fillId="22" borderId="111" xfId="0" applyNumberFormat="1" applyFont="1" applyFill="1" applyBorder="1" applyAlignment="1" applyProtection="1">
      <alignment horizontal="center"/>
      <protection locked="0"/>
    </xf>
    <xf numFmtId="3" fontId="50" fillId="22" borderId="110" xfId="0" applyNumberFormat="1" applyFont="1" applyFill="1" applyBorder="1"/>
    <xf numFmtId="3" fontId="50" fillId="22" borderId="103" xfId="0" applyNumberFormat="1" applyFont="1" applyFill="1" applyBorder="1"/>
    <xf numFmtId="3" fontId="50" fillId="22" borderId="111" xfId="0" applyNumberFormat="1" applyFont="1" applyFill="1" applyBorder="1"/>
    <xf numFmtId="0" fontId="51" fillId="22" borderId="0" xfId="0" applyFont="1" applyFill="1"/>
    <xf numFmtId="0" fontId="51" fillId="22" borderId="109" xfId="0" applyFont="1" applyFill="1" applyBorder="1"/>
    <xf numFmtId="0" fontId="50" fillId="22" borderId="108" xfId="0" applyFont="1" applyFill="1" applyBorder="1" applyAlignment="1">
      <alignment horizontal="right"/>
    </xf>
    <xf numFmtId="170" fontId="50" fillId="22" borderId="0" xfId="0" applyNumberFormat="1" applyFont="1" applyFill="1"/>
    <xf numFmtId="0" fontId="51" fillId="23" borderId="125" xfId="0" applyFont="1" applyFill="1" applyBorder="1" applyAlignment="1">
      <alignment horizontal="center"/>
    </xf>
    <xf numFmtId="170" fontId="51" fillId="23" borderId="134" xfId="0" applyNumberFormat="1" applyFont="1" applyFill="1" applyBorder="1"/>
    <xf numFmtId="0" fontId="51" fillId="23" borderId="132" xfId="0" applyFont="1" applyFill="1" applyBorder="1"/>
    <xf numFmtId="37" fontId="61" fillId="22" borderId="0" xfId="0" applyNumberFormat="1" applyFont="1" applyFill="1"/>
    <xf numFmtId="37" fontId="50" fillId="22" borderId="108" xfId="0" applyNumberFormat="1" applyFont="1" applyFill="1" applyBorder="1"/>
    <xf numFmtId="37" fontId="50" fillId="22" borderId="108" xfId="0" applyNumberFormat="1" applyFont="1" applyFill="1" applyBorder="1" applyProtection="1">
      <protection locked="0"/>
    </xf>
    <xf numFmtId="37" fontId="50" fillId="22" borderId="0" xfId="0" applyNumberFormat="1" applyFont="1" applyFill="1" applyProtection="1">
      <protection locked="0"/>
    </xf>
    <xf numFmtId="170" fontId="50" fillId="22" borderId="109" xfId="0" applyNumberFormat="1" applyFont="1" applyFill="1" applyBorder="1"/>
    <xf numFmtId="37" fontId="50" fillId="22" borderId="110" xfId="0" applyNumberFormat="1" applyFont="1" applyFill="1" applyBorder="1"/>
    <xf numFmtId="2" fontId="50" fillId="22" borderId="103" xfId="0" applyNumberFormat="1" applyFont="1" applyFill="1" applyBorder="1"/>
    <xf numFmtId="170" fontId="50" fillId="22" borderId="111" xfId="0" applyNumberFormat="1" applyFont="1" applyFill="1" applyBorder="1"/>
    <xf numFmtId="37" fontId="50" fillId="22" borderId="107" xfId="0" applyNumberFormat="1" applyFont="1" applyFill="1" applyBorder="1"/>
    <xf numFmtId="37" fontId="50" fillId="22" borderId="112" xfId="0" applyNumberFormat="1" applyFont="1" applyFill="1" applyBorder="1"/>
    <xf numFmtId="37" fontId="50" fillId="22" borderId="107" xfId="0" applyNumberFormat="1" applyFont="1" applyFill="1" applyBorder="1" applyProtection="1">
      <protection locked="0"/>
    </xf>
    <xf numFmtId="37" fontId="50" fillId="22" borderId="112" xfId="0" applyNumberFormat="1" applyFont="1" applyFill="1" applyBorder="1" applyProtection="1">
      <protection locked="0"/>
    </xf>
    <xf numFmtId="171" fontId="50" fillId="22" borderId="0" xfId="0" applyNumberFormat="1" applyFont="1" applyFill="1"/>
    <xf numFmtId="172" fontId="50" fillId="22" borderId="0" xfId="0" applyNumberFormat="1" applyFont="1" applyFill="1"/>
    <xf numFmtId="37" fontId="51" fillId="22" borderId="108" xfId="0" applyNumberFormat="1" applyFont="1" applyFill="1" applyBorder="1"/>
    <xf numFmtId="171" fontId="51" fillId="22" borderId="0" xfId="0" applyNumberFormat="1" applyFont="1" applyFill="1"/>
    <xf numFmtId="37" fontId="51" fillId="22" borderId="110" xfId="0" applyNumberFormat="1" applyFont="1" applyFill="1" applyBorder="1"/>
    <xf numFmtId="172" fontId="50" fillId="22" borderId="103" xfId="0" applyNumberFormat="1" applyFont="1" applyFill="1" applyBorder="1"/>
    <xf numFmtId="0" fontId="51" fillId="24" borderId="116" xfId="0" applyFont="1" applyFill="1" applyBorder="1"/>
    <xf numFmtId="37" fontId="51" fillId="24" borderId="116" xfId="0" applyNumberFormat="1" applyFont="1" applyFill="1" applyBorder="1"/>
    <xf numFmtId="37" fontId="51" fillId="24" borderId="117" xfId="0" applyNumberFormat="1" applyFont="1" applyFill="1" applyBorder="1"/>
    <xf numFmtId="37" fontId="51" fillId="24" borderId="118" xfId="0" applyNumberFormat="1" applyFont="1" applyFill="1" applyBorder="1"/>
    <xf numFmtId="0" fontId="51" fillId="24" borderId="110" xfId="0" applyFont="1" applyFill="1" applyBorder="1"/>
    <xf numFmtId="37" fontId="51" fillId="24" borderId="110" xfId="0" applyNumberFormat="1" applyFont="1" applyFill="1" applyBorder="1"/>
    <xf numFmtId="39" fontId="51" fillId="24" borderId="103" xfId="0" applyNumberFormat="1" applyFont="1" applyFill="1" applyBorder="1"/>
    <xf numFmtId="170" fontId="51" fillId="22" borderId="109" xfId="0" applyNumberFormat="1" applyFont="1" applyFill="1" applyBorder="1"/>
    <xf numFmtId="0" fontId="51" fillId="24" borderId="107" xfId="0" applyFont="1" applyFill="1" applyBorder="1"/>
    <xf numFmtId="37" fontId="50" fillId="22" borderId="135" xfId="0" applyNumberFormat="1" applyFont="1" applyFill="1" applyBorder="1"/>
    <xf numFmtId="0" fontId="50" fillId="24" borderId="108" xfId="0" applyFont="1" applyFill="1" applyBorder="1"/>
    <xf numFmtId="171" fontId="50" fillId="22" borderId="0" xfId="0" applyNumberFormat="1" applyFont="1" applyFill="1" applyProtection="1">
      <protection locked="0"/>
    </xf>
    <xf numFmtId="0" fontId="50" fillId="24" borderId="136" xfId="0" applyFont="1" applyFill="1" applyBorder="1"/>
    <xf numFmtId="171" fontId="50" fillId="22" borderId="112" xfId="0" applyNumberFormat="1" applyFont="1" applyFill="1" applyBorder="1"/>
    <xf numFmtId="171" fontId="50" fillId="22" borderId="112" xfId="0" applyNumberFormat="1" applyFont="1" applyFill="1" applyBorder="1" applyProtection="1">
      <protection locked="0"/>
    </xf>
    <xf numFmtId="171" fontId="50" fillId="22" borderId="103" xfId="0" applyNumberFormat="1" applyFont="1" applyFill="1" applyBorder="1"/>
    <xf numFmtId="37" fontId="51" fillId="24" borderId="107" xfId="0" applyNumberFormat="1" applyFont="1" applyFill="1" applyBorder="1"/>
    <xf numFmtId="171" fontId="51" fillId="24" borderId="112" xfId="0" applyNumberFormat="1" applyFont="1" applyFill="1" applyBorder="1"/>
    <xf numFmtId="37" fontId="51" fillId="24" borderId="113" xfId="0" applyNumberFormat="1" applyFont="1" applyFill="1" applyBorder="1"/>
    <xf numFmtId="37" fontId="51" fillId="23" borderId="117" xfId="0" applyNumberFormat="1" applyFont="1" applyFill="1" applyBorder="1"/>
    <xf numFmtId="170" fontId="51" fillId="23" borderId="121" xfId="0" applyNumberFormat="1" applyFont="1" applyFill="1" applyBorder="1"/>
    <xf numFmtId="170" fontId="51" fillId="24" borderId="109" xfId="0" applyNumberFormat="1" applyFont="1" applyFill="1" applyBorder="1"/>
    <xf numFmtId="0" fontId="54" fillId="22" borderId="107" xfId="0" applyFont="1" applyFill="1" applyBorder="1"/>
    <xf numFmtId="0" fontId="54" fillId="22" borderId="136" xfId="0" applyFont="1" applyFill="1" applyBorder="1"/>
    <xf numFmtId="0" fontId="51" fillId="23" borderId="137" xfId="0" applyFont="1" applyFill="1" applyBorder="1"/>
    <xf numFmtId="37" fontId="51" fillId="22" borderId="107" xfId="0" applyNumberFormat="1" applyFont="1" applyFill="1" applyBorder="1"/>
    <xf numFmtId="170" fontId="51" fillId="22" borderId="112" xfId="0" applyNumberFormat="1" applyFont="1" applyFill="1" applyBorder="1"/>
    <xf numFmtId="37" fontId="51" fillId="22" borderId="113" xfId="0" applyNumberFormat="1" applyFont="1" applyFill="1" applyBorder="1"/>
    <xf numFmtId="0" fontId="50" fillId="22" borderId="111" xfId="0" applyFont="1" applyFill="1" applyBorder="1"/>
    <xf numFmtId="37" fontId="50" fillId="22" borderId="114" xfId="0" applyNumberFormat="1" applyFont="1" applyFill="1" applyBorder="1"/>
    <xf numFmtId="170" fontId="50" fillId="22" borderId="53" xfId="0" applyNumberFormat="1" applyFont="1" applyFill="1" applyBorder="1"/>
    <xf numFmtId="37" fontId="50" fillId="22" borderId="114" xfId="0" applyNumberFormat="1" applyFont="1" applyFill="1" applyBorder="1" applyProtection="1">
      <protection locked="0"/>
    </xf>
    <xf numFmtId="170" fontId="51" fillId="23" borderId="117" xfId="0" applyNumberFormat="1" applyFont="1" applyFill="1" applyBorder="1"/>
    <xf numFmtId="0" fontId="51" fillId="23" borderId="138" xfId="0" applyFont="1" applyFill="1" applyBorder="1"/>
    <xf numFmtId="37" fontId="51" fillId="23" borderId="138" xfId="0" applyNumberFormat="1" applyFont="1" applyFill="1" applyBorder="1"/>
    <xf numFmtId="171" fontId="51" fillId="23" borderId="139" xfId="0" applyNumberFormat="1" applyFont="1" applyFill="1" applyBorder="1"/>
    <xf numFmtId="37" fontId="51" fillId="23" borderId="140" xfId="0" applyNumberFormat="1" applyFont="1" applyFill="1" applyBorder="1"/>
    <xf numFmtId="37" fontId="51" fillId="24" borderId="108" xfId="0" applyNumberFormat="1" applyFont="1" applyFill="1" applyBorder="1"/>
    <xf numFmtId="171" fontId="51" fillId="24" borderId="0" xfId="0" applyNumberFormat="1" applyFont="1" applyFill="1"/>
    <xf numFmtId="37" fontId="51" fillId="22" borderId="0" xfId="0" applyNumberFormat="1" applyFont="1" applyFill="1"/>
    <xf numFmtId="0" fontId="51" fillId="23" borderId="141" xfId="0" applyFont="1" applyFill="1" applyBorder="1"/>
    <xf numFmtId="0" fontId="50" fillId="23" borderId="141" xfId="0" applyFont="1" applyFill="1" applyBorder="1"/>
    <xf numFmtId="0" fontId="50" fillId="23" borderId="142" xfId="0" applyFont="1" applyFill="1" applyBorder="1"/>
    <xf numFmtId="37" fontId="51" fillId="23" borderId="143" xfId="0" applyNumberFormat="1" applyFont="1" applyFill="1" applyBorder="1"/>
    <xf numFmtId="0" fontId="66" fillId="22" borderId="1" xfId="0" applyFont="1" applyFill="1" applyBorder="1" applyAlignment="1">
      <alignment horizontal="center" vertical="center"/>
    </xf>
    <xf numFmtId="0" fontId="61" fillId="22" borderId="120" xfId="0" applyFont="1" applyFill="1" applyBorder="1" applyAlignment="1">
      <alignment horizontal="center"/>
    </xf>
    <xf numFmtId="0" fontId="51" fillId="22" borderId="144" xfId="0" applyFont="1" applyFill="1" applyBorder="1" applyAlignment="1">
      <alignment horizontal="center"/>
    </xf>
    <xf numFmtId="0" fontId="50" fillId="22" borderId="145" xfId="0" applyFont="1" applyFill="1" applyBorder="1"/>
    <xf numFmtId="0" fontId="50" fillId="22" borderId="145" xfId="0" applyFont="1" applyFill="1" applyBorder="1" applyAlignment="1">
      <alignment horizontal="center"/>
    </xf>
    <xf numFmtId="0" fontId="50" fillId="22" borderId="103" xfId="0" applyFont="1" applyFill="1" applyBorder="1" applyAlignment="1">
      <alignment horizontal="center"/>
    </xf>
    <xf numFmtId="0" fontId="50" fillId="22" borderId="146" xfId="0" applyFont="1" applyFill="1" applyBorder="1" applyAlignment="1">
      <alignment horizontal="center"/>
    </xf>
    <xf numFmtId="0" fontId="54" fillId="22" borderId="145" xfId="0" applyFont="1" applyFill="1" applyBorder="1"/>
    <xf numFmtId="37" fontId="54" fillId="22" borderId="145" xfId="0" applyNumberFormat="1" applyFont="1" applyFill="1" applyBorder="1"/>
    <xf numFmtId="37" fontId="54" fillId="22" borderId="103" xfId="0" applyNumberFormat="1" applyFont="1" applyFill="1" applyBorder="1"/>
    <xf numFmtId="37" fontId="54" fillId="22" borderId="146" xfId="0" applyNumberFormat="1" applyFont="1" applyFill="1" applyBorder="1"/>
    <xf numFmtId="0" fontId="66" fillId="23" borderId="145" xfId="0" applyFont="1" applyFill="1" applyBorder="1"/>
    <xf numFmtId="37" fontId="66" fillId="23" borderId="145" xfId="0" applyNumberFormat="1" applyFont="1" applyFill="1" applyBorder="1"/>
    <xf numFmtId="37" fontId="66" fillId="23" borderId="103" xfId="0" applyNumberFormat="1" applyFont="1" applyFill="1" applyBorder="1"/>
    <xf numFmtId="37" fontId="66" fillId="23" borderId="146" xfId="0" applyNumberFormat="1" applyFont="1" applyFill="1" applyBorder="1"/>
    <xf numFmtId="0" fontId="66" fillId="22" borderId="70" xfId="0" applyFont="1" applyFill="1" applyBorder="1"/>
    <xf numFmtId="37" fontId="54" fillId="22" borderId="70" xfId="0" applyNumberFormat="1" applyFont="1" applyFill="1" applyBorder="1"/>
    <xf numFmtId="37" fontId="54" fillId="22" borderId="55" xfId="0" applyNumberFormat="1" applyFont="1" applyFill="1" applyBorder="1"/>
    <xf numFmtId="0" fontId="54" fillId="22" borderId="70" xfId="0" applyFont="1" applyFill="1" applyBorder="1"/>
    <xf numFmtId="170" fontId="54" fillId="22" borderId="70" xfId="1" applyNumberFormat="1" applyFont="1" applyFill="1" applyBorder="1"/>
    <xf numFmtId="171" fontId="54" fillId="22" borderId="1" xfId="0" applyNumberFormat="1" applyFont="1" applyFill="1" applyBorder="1"/>
    <xf numFmtId="170" fontId="54" fillId="22" borderId="145" xfId="1" applyNumberFormat="1" applyFont="1" applyFill="1" applyBorder="1"/>
    <xf numFmtId="171" fontId="54" fillId="22" borderId="103" xfId="0" applyNumberFormat="1" applyFont="1" applyFill="1" applyBorder="1"/>
    <xf numFmtId="0" fontId="50" fillId="22" borderId="70" xfId="0" applyFont="1" applyFill="1" applyBorder="1"/>
    <xf numFmtId="0" fontId="66" fillId="23" borderId="147" xfId="0" applyFont="1" applyFill="1" applyBorder="1"/>
    <xf numFmtId="170" fontId="66" fillId="23" borderId="147" xfId="0" applyNumberFormat="1" applyFont="1" applyFill="1" applyBorder="1"/>
    <xf numFmtId="0" fontId="66" fillId="23" borderId="123" xfId="0" applyFont="1" applyFill="1" applyBorder="1"/>
    <xf numFmtId="37" fontId="66" fillId="23" borderId="148" xfId="0" applyNumberFormat="1" applyFont="1" applyFill="1" applyBorder="1"/>
    <xf numFmtId="37" fontId="54" fillId="22" borderId="55" xfId="0" applyNumberFormat="1" applyFont="1" applyFill="1" applyBorder="1" applyProtection="1">
      <protection locked="0"/>
    </xf>
    <xf numFmtId="0" fontId="54" fillId="24" borderId="70" xfId="0" applyFont="1" applyFill="1" applyBorder="1"/>
    <xf numFmtId="171" fontId="66" fillId="23" borderId="123" xfId="0" applyNumberFormat="1" applyFont="1" applyFill="1" applyBorder="1"/>
    <xf numFmtId="0" fontId="54" fillId="22" borderId="149" xfId="0" applyFont="1" applyFill="1" applyBorder="1"/>
    <xf numFmtId="171" fontId="54" fillId="22" borderId="112" xfId="0" applyNumberFormat="1" applyFont="1" applyFill="1" applyBorder="1"/>
    <xf numFmtId="37" fontId="54" fillId="22" borderId="150" xfId="0" applyNumberFormat="1" applyFont="1" applyFill="1" applyBorder="1"/>
    <xf numFmtId="37" fontId="54" fillId="22" borderId="146" xfId="0" applyNumberFormat="1" applyFont="1" applyFill="1" applyBorder="1" applyProtection="1">
      <protection locked="0"/>
    </xf>
    <xf numFmtId="170" fontId="66" fillId="22" borderId="149" xfId="0" applyNumberFormat="1" applyFont="1" applyFill="1" applyBorder="1"/>
    <xf numFmtId="0" fontId="66" fillId="22" borderId="112" xfId="0" applyFont="1" applyFill="1" applyBorder="1"/>
    <xf numFmtId="37" fontId="54" fillId="24" borderId="150" xfId="0" applyNumberFormat="1" applyFont="1" applyFill="1" applyBorder="1"/>
    <xf numFmtId="170" fontId="66" fillId="22" borderId="70" xfId="0" applyNumberFormat="1" applyFont="1" applyFill="1" applyBorder="1"/>
    <xf numFmtId="170" fontId="66" fillId="22" borderId="145" xfId="0" applyNumberFormat="1" applyFont="1" applyFill="1" applyBorder="1"/>
    <xf numFmtId="0" fontId="54" fillId="23" borderId="123" xfId="0" applyFont="1" applyFill="1" applyBorder="1"/>
    <xf numFmtId="0" fontId="66" fillId="24" borderId="149" xfId="0" applyFont="1" applyFill="1" applyBorder="1"/>
    <xf numFmtId="0" fontId="66" fillId="23" borderId="151" xfId="0" applyFont="1" applyFill="1" applyBorder="1"/>
    <xf numFmtId="0" fontId="66" fillId="23" borderId="151" xfId="0" applyFont="1" applyFill="1" applyBorder="1" applyAlignment="1">
      <alignment horizontal="center"/>
    </xf>
    <xf numFmtId="170" fontId="66" fillId="23" borderId="152" xfId="0" applyNumberFormat="1" applyFont="1" applyFill="1" applyBorder="1"/>
    <xf numFmtId="37" fontId="66" fillId="23" borderId="153" xfId="0" applyNumberFormat="1" applyFont="1" applyFill="1" applyBorder="1"/>
    <xf numFmtId="0" fontId="66" fillId="23" borderId="154" xfId="0" applyFont="1" applyFill="1" applyBorder="1" applyAlignment="1">
      <alignment horizontal="center"/>
    </xf>
    <xf numFmtId="170" fontId="66" fillId="23" borderId="142" xfId="0" applyNumberFormat="1" applyFont="1" applyFill="1" applyBorder="1"/>
    <xf numFmtId="37" fontId="66" fillId="23" borderId="155" xfId="0" applyNumberFormat="1" applyFont="1" applyFill="1" applyBorder="1"/>
    <xf numFmtId="39" fontId="54" fillId="22" borderId="0" xfId="0" applyNumberFormat="1" applyFont="1" applyFill="1"/>
    <xf numFmtId="0" fontId="66" fillId="23" borderId="156" xfId="0" applyFont="1" applyFill="1" applyBorder="1"/>
    <xf numFmtId="0" fontId="66" fillId="23" borderId="158" xfId="0" applyFont="1" applyFill="1" applyBorder="1" applyAlignment="1">
      <alignment horizontal="center"/>
    </xf>
    <xf numFmtId="170" fontId="66" fillId="23" borderId="157" xfId="0" applyNumberFormat="1" applyFont="1" applyFill="1" applyBorder="1"/>
    <xf numFmtId="37" fontId="66" fillId="23" borderId="159" xfId="0" applyNumberFormat="1" applyFont="1" applyFill="1" applyBorder="1"/>
    <xf numFmtId="0" fontId="65" fillId="22" borderId="160" xfId="0" applyFont="1" applyFill="1" applyBorder="1"/>
    <xf numFmtId="0" fontId="65" fillId="22" borderId="70" xfId="0" applyFont="1" applyFill="1" applyBorder="1"/>
    <xf numFmtId="0" fontId="65" fillId="22" borderId="55" xfId="0" applyFont="1" applyFill="1" applyBorder="1"/>
    <xf numFmtId="0" fontId="54" fillId="22" borderId="160" xfId="0" applyFont="1" applyFill="1" applyBorder="1"/>
    <xf numFmtId="0" fontId="61" fillId="22" borderId="70" xfId="0" applyFont="1" applyFill="1" applyBorder="1"/>
    <xf numFmtId="0" fontId="50" fillId="22" borderId="1" xfId="0" applyFont="1" applyFill="1" applyBorder="1"/>
    <xf numFmtId="0" fontId="51" fillId="22" borderId="70" xfId="0" applyFont="1" applyFill="1" applyBorder="1"/>
    <xf numFmtId="0" fontId="50" fillId="22" borderId="160" xfId="0" applyFont="1" applyFill="1" applyBorder="1"/>
    <xf numFmtId="0" fontId="50" fillId="22" borderId="162" xfId="0" applyFont="1" applyFill="1" applyBorder="1"/>
    <xf numFmtId="0" fontId="66" fillId="23" borderId="163" xfId="0" applyFont="1" applyFill="1" applyBorder="1"/>
    <xf numFmtId="0" fontId="66" fillId="23" borderId="165" xfId="0" applyFont="1" applyFill="1" applyBorder="1" applyAlignment="1">
      <alignment horizontal="center"/>
    </xf>
    <xf numFmtId="170" fontId="66" fillId="23" borderId="164" xfId="0" applyNumberFormat="1" applyFont="1" applyFill="1" applyBorder="1"/>
    <xf numFmtId="37" fontId="66" fillId="23" borderId="166" xfId="0" applyNumberFormat="1" applyFont="1" applyFill="1" applyBorder="1"/>
    <xf numFmtId="168" fontId="66" fillId="23" borderId="123" xfId="5" applyNumberFormat="1" applyFont="1" applyFill="1" applyBorder="1"/>
    <xf numFmtId="0" fontId="66" fillId="23" borderId="157" xfId="0" applyFont="1" applyFill="1" applyBorder="1" applyAlignment="1">
      <alignment horizontal="center"/>
    </xf>
    <xf numFmtId="37" fontId="66" fillId="23" borderId="157" xfId="0" applyNumberFormat="1" applyFont="1" applyFill="1" applyBorder="1"/>
    <xf numFmtId="0" fontId="66" fillId="23" borderId="164" xfId="0" applyFont="1" applyFill="1" applyBorder="1" applyAlignment="1">
      <alignment horizontal="center"/>
    </xf>
    <xf numFmtId="37" fontId="66" fillId="23" borderId="164" xfId="0" applyNumberFormat="1" applyFont="1" applyFill="1" applyBorder="1"/>
    <xf numFmtId="49" fontId="80" fillId="13" borderId="1" xfId="6" applyNumberFormat="1" applyFont="1" applyFill="1" applyAlignment="1">
      <alignment horizontal="left" vertical="center"/>
    </xf>
    <xf numFmtId="175" fontId="80" fillId="13" borderId="1" xfId="6" applyNumberFormat="1" applyFont="1" applyFill="1" applyAlignment="1">
      <alignment horizontal="right" vertical="center"/>
    </xf>
    <xf numFmtId="49" fontId="11" fillId="13" borderId="1" xfId="6" applyNumberFormat="1" applyFill="1" applyAlignment="1">
      <alignment horizontal="left" vertical="center"/>
    </xf>
    <xf numFmtId="175" fontId="11" fillId="13" borderId="1" xfId="6" applyNumberFormat="1" applyFill="1" applyAlignment="1">
      <alignment horizontal="right" vertical="center"/>
    </xf>
    <xf numFmtId="0" fontId="11" fillId="13" borderId="1" xfId="6" applyFill="1"/>
    <xf numFmtId="0" fontId="0" fillId="13" borderId="0" xfId="0" applyFont="1" applyFill="1" applyAlignment="1"/>
    <xf numFmtId="49" fontId="47" fillId="10" borderId="47" xfId="0" applyNumberFormat="1" applyFont="1" applyFill="1" applyBorder="1" applyAlignment="1">
      <alignment horizontal="left" vertical="top"/>
    </xf>
    <xf numFmtId="49" fontId="47" fillId="10" borderId="44" xfId="0" applyNumberFormat="1" applyFont="1" applyFill="1" applyBorder="1" applyAlignment="1">
      <alignment horizontal="left" vertical="top"/>
    </xf>
    <xf numFmtId="1" fontId="47" fillId="14" borderId="47" xfId="0" applyNumberFormat="1" applyFont="1" applyFill="1" applyBorder="1" applyAlignment="1">
      <alignment horizontal="left" vertical="top"/>
    </xf>
    <xf numFmtId="49" fontId="47" fillId="10" borderId="1" xfId="0" applyNumberFormat="1" applyFont="1" applyFill="1" applyBorder="1" applyAlignment="1">
      <alignment horizontal="left" vertical="top"/>
    </xf>
    <xf numFmtId="0" fontId="47" fillId="10" borderId="45" xfId="0" applyFont="1" applyFill="1" applyBorder="1" applyAlignment="1">
      <alignment horizontal="left" vertical="top"/>
    </xf>
    <xf numFmtId="0" fontId="46" fillId="10" borderId="0" xfId="0" applyFont="1" applyFill="1" applyAlignment="1">
      <alignment horizontal="left" vertical="top"/>
    </xf>
    <xf numFmtId="0" fontId="44" fillId="25" borderId="0" xfId="0" applyFont="1" applyFill="1" applyAlignment="1">
      <alignment horizontal="left" vertical="top"/>
    </xf>
    <xf numFmtId="0" fontId="46" fillId="10" borderId="44" xfId="0" applyFont="1" applyFill="1" applyBorder="1" applyAlignment="1">
      <alignment horizontal="left" vertical="top"/>
    </xf>
    <xf numFmtId="0" fontId="46" fillId="10" borderId="1" xfId="0" applyFont="1" applyFill="1" applyBorder="1" applyAlignment="1">
      <alignment horizontal="left" vertical="top"/>
    </xf>
    <xf numFmtId="0" fontId="46" fillId="10" borderId="48" xfId="0" applyFont="1" applyFill="1" applyBorder="1" applyAlignment="1">
      <alignment horizontal="left" vertical="top"/>
    </xf>
    <xf numFmtId="0" fontId="46" fillId="10" borderId="46" xfId="0" applyFont="1" applyFill="1" applyBorder="1" applyAlignment="1">
      <alignment horizontal="left" vertical="top"/>
    </xf>
    <xf numFmtId="39" fontId="46" fillId="10" borderId="46" xfId="0" applyNumberFormat="1" applyFont="1" applyFill="1" applyBorder="1" applyAlignment="1">
      <alignment horizontal="left" vertical="top"/>
    </xf>
    <xf numFmtId="0" fontId="47" fillId="10" borderId="44" xfId="0" applyFont="1" applyFill="1" applyBorder="1" applyAlignment="1">
      <alignment horizontal="left" vertical="top"/>
    </xf>
    <xf numFmtId="0" fontId="48" fillId="10" borderId="47" xfId="0" applyFont="1" applyFill="1" applyBorder="1" applyAlignment="1">
      <alignment horizontal="left" vertical="top"/>
    </xf>
    <xf numFmtId="0" fontId="47" fillId="10" borderId="0" xfId="0" applyFont="1" applyFill="1" applyAlignment="1">
      <alignment horizontal="left" vertical="top"/>
    </xf>
    <xf numFmtId="0" fontId="14" fillId="0" borderId="0" xfId="0" applyFont="1" applyFill="1"/>
    <xf numFmtId="0" fontId="14" fillId="0" borderId="0" xfId="0" applyFont="1" applyFill="1" applyAlignment="1">
      <alignment horizontal="center"/>
    </xf>
    <xf numFmtId="166" fontId="15" fillId="0" borderId="1" xfId="0" applyNumberFormat="1" applyFont="1" applyFill="1" applyBorder="1" applyAlignment="1">
      <alignment horizontal="center"/>
    </xf>
    <xf numFmtId="0" fontId="0" fillId="0" borderId="0" xfId="0"/>
    <xf numFmtId="0" fontId="10" fillId="13" borderId="1" xfId="7" applyFill="1"/>
    <xf numFmtId="175" fontId="10" fillId="13" borderId="1" xfId="7" applyNumberFormat="1" applyFill="1" applyAlignment="1">
      <alignment horizontal="right" vertical="center"/>
    </xf>
    <xf numFmtId="49" fontId="15" fillId="13" borderId="1" xfId="0" applyNumberFormat="1" applyFont="1" applyFill="1" applyBorder="1" applyAlignment="1">
      <alignment horizontal="left" vertical="center"/>
    </xf>
    <xf numFmtId="0" fontId="15" fillId="13" borderId="1" xfId="0" applyFont="1" applyFill="1" applyBorder="1" applyAlignment="1">
      <alignment horizontal="left" vertical="top"/>
    </xf>
    <xf numFmtId="0" fontId="15" fillId="13" borderId="1" xfId="0" applyFont="1" applyFill="1" applyBorder="1"/>
    <xf numFmtId="173" fontId="15" fillId="13" borderId="1" xfId="0" applyNumberFormat="1" applyFont="1" applyFill="1" applyBorder="1" applyAlignment="1">
      <alignment horizontal="right" vertical="center"/>
    </xf>
    <xf numFmtId="170" fontId="25" fillId="0" borderId="12" xfId="1" applyNumberFormat="1" applyFont="1" applyBorder="1"/>
    <xf numFmtId="170" fontId="25" fillId="0" borderId="13" xfId="1" applyNumberFormat="1" applyFont="1" applyBorder="1"/>
    <xf numFmtId="3" fontId="24" fillId="0" borderId="0" xfId="0" applyNumberFormat="1" applyFont="1" applyFill="1"/>
    <xf numFmtId="3" fontId="25" fillId="0" borderId="0" xfId="0" applyNumberFormat="1" applyFont="1" applyFill="1"/>
    <xf numFmtId="168" fontId="25" fillId="0" borderId="15" xfId="5" applyNumberFormat="1" applyFont="1" applyBorder="1"/>
    <xf numFmtId="6" fontId="25" fillId="0" borderId="0" xfId="0" applyNumberFormat="1" applyFont="1" applyFill="1"/>
    <xf numFmtId="10" fontId="0" fillId="0" borderId="0" xfId="0" applyNumberFormat="1"/>
    <xf numFmtId="0" fontId="81" fillId="0" borderId="0" xfId="0" applyFont="1"/>
    <xf numFmtId="10" fontId="81" fillId="0" borderId="0" xfId="0" applyNumberFormat="1" applyFont="1"/>
    <xf numFmtId="3" fontId="50" fillId="0" borderId="15" xfId="0" applyNumberFormat="1" applyFont="1" applyFill="1" applyBorder="1"/>
    <xf numFmtId="170" fontId="26" fillId="0" borderId="1" xfId="0" applyNumberFormat="1" applyFont="1" applyFill="1" applyBorder="1"/>
    <xf numFmtId="0" fontId="26" fillId="0" borderId="88" xfId="0" applyFont="1" applyBorder="1" applyAlignment="1">
      <alignment horizontal="center" vertical="center"/>
    </xf>
    <xf numFmtId="0" fontId="77" fillId="27" borderId="170" xfId="3" applyFont="1" applyFill="1" applyBorder="1" applyAlignment="1">
      <alignment horizontal="center"/>
    </xf>
    <xf numFmtId="0" fontId="77" fillId="27" borderId="177" xfId="3" applyFont="1" applyFill="1" applyBorder="1" applyAlignment="1">
      <alignment horizontal="center"/>
    </xf>
    <xf numFmtId="0" fontId="77" fillId="27" borderId="127" xfId="3" applyFont="1" applyFill="1" applyBorder="1" applyAlignment="1">
      <alignment horizontal="center"/>
    </xf>
    <xf numFmtId="0" fontId="77" fillId="27" borderId="178" xfId="3" applyFont="1" applyFill="1" applyBorder="1" applyAlignment="1">
      <alignment horizontal="center"/>
    </xf>
    <xf numFmtId="0" fontId="77" fillId="27" borderId="171" xfId="3" applyFont="1" applyFill="1" applyBorder="1" applyAlignment="1">
      <alignment horizontal="center"/>
    </xf>
    <xf numFmtId="0" fontId="12" fillId="0" borderId="172" xfId="3" applyBorder="1" applyAlignment="1">
      <alignment horizontal="left"/>
    </xf>
    <xf numFmtId="166" fontId="12" fillId="0" borderId="200" xfId="3" applyNumberFormat="1" applyBorder="1" applyAlignment="1">
      <alignment horizontal="center"/>
    </xf>
    <xf numFmtId="166" fontId="12" fillId="0" borderId="184" xfId="3" applyNumberFormat="1" applyBorder="1" applyAlignment="1">
      <alignment horizontal="center"/>
    </xf>
    <xf numFmtId="166" fontId="12" fillId="0" borderId="201" xfId="3" applyNumberFormat="1" applyBorder="1" applyAlignment="1">
      <alignment horizontal="center"/>
    </xf>
    <xf numFmtId="2" fontId="12" fillId="0" borderId="161" xfId="3" applyNumberFormat="1" applyBorder="1" applyAlignment="1">
      <alignment horizontal="center"/>
    </xf>
    <xf numFmtId="2" fontId="12" fillId="0" borderId="181" xfId="3" applyNumberFormat="1" applyBorder="1" applyAlignment="1">
      <alignment horizontal="center"/>
    </xf>
    <xf numFmtId="2" fontId="12" fillId="0" borderId="173" xfId="3" applyNumberFormat="1" applyBorder="1" applyAlignment="1">
      <alignment horizontal="center"/>
    </xf>
    <xf numFmtId="166" fontId="12" fillId="0" borderId="161" xfId="3" applyNumberFormat="1" applyBorder="1" applyAlignment="1">
      <alignment horizontal="center"/>
    </xf>
    <xf numFmtId="166" fontId="12" fillId="0" borderId="181" xfId="3" applyNumberFormat="1" applyBorder="1" applyAlignment="1">
      <alignment horizontal="center"/>
    </xf>
    <xf numFmtId="166" fontId="12" fillId="0" borderId="173" xfId="3" applyNumberFormat="1" applyBorder="1" applyAlignment="1">
      <alignment horizontal="center"/>
    </xf>
    <xf numFmtId="0" fontId="12" fillId="0" borderId="174" xfId="3" applyBorder="1" applyAlignment="1">
      <alignment horizontal="left"/>
    </xf>
    <xf numFmtId="2" fontId="12" fillId="0" borderId="175" xfId="3" applyNumberFormat="1" applyBorder="1" applyAlignment="1">
      <alignment horizontal="center"/>
    </xf>
    <xf numFmtId="2" fontId="12" fillId="0" borderId="187" xfId="3" applyNumberFormat="1" applyBorder="1" applyAlignment="1">
      <alignment horizontal="center"/>
    </xf>
    <xf numFmtId="2" fontId="12" fillId="0" borderId="176" xfId="3" applyNumberFormat="1" applyBorder="1" applyAlignment="1">
      <alignment horizontal="center"/>
    </xf>
    <xf numFmtId="0" fontId="77" fillId="0" borderId="1" xfId="3" applyFont="1"/>
    <xf numFmtId="0" fontId="15" fillId="10" borderId="0" xfId="0" applyFont="1" applyFill="1" applyAlignment="1">
      <alignment horizontal="center"/>
    </xf>
    <xf numFmtId="0" fontId="15" fillId="10" borderId="0" xfId="0" applyFont="1" applyFill="1"/>
    <xf numFmtId="0" fontId="15" fillId="10" borderId="0" xfId="0" applyNumberFormat="1" applyFont="1" applyFill="1" applyAlignment="1">
      <alignment horizontal="center"/>
    </xf>
    <xf numFmtId="0" fontId="49" fillId="10" borderId="0" xfId="0" applyFont="1" applyFill="1" applyAlignment="1">
      <alignment horizontal="center"/>
    </xf>
    <xf numFmtId="0" fontId="49" fillId="25" borderId="0" xfId="0" applyFont="1" applyFill="1" applyAlignment="1">
      <alignment horizontal="center"/>
    </xf>
    <xf numFmtId="49" fontId="9" fillId="13" borderId="1" xfId="8" applyNumberFormat="1" applyFill="1" applyAlignment="1">
      <alignment horizontal="left" vertical="center"/>
    </xf>
    <xf numFmtId="0" fontId="9" fillId="13" borderId="1" xfId="8" applyFill="1"/>
    <xf numFmtId="175" fontId="9" fillId="13" borderId="1" xfId="8" applyNumberFormat="1" applyFill="1" applyAlignment="1">
      <alignment horizontal="right" vertical="center"/>
    </xf>
    <xf numFmtId="49" fontId="15" fillId="5" borderId="47" xfId="0" applyNumberFormat="1" applyFont="1" applyFill="1" applyBorder="1" applyAlignment="1">
      <alignment horizontal="left" vertical="center"/>
    </xf>
    <xf numFmtId="1" fontId="47" fillId="10" borderId="1" xfId="0" applyNumberFormat="1" applyFont="1" applyFill="1" applyBorder="1" applyAlignment="1">
      <alignment horizontal="left" vertical="top"/>
    </xf>
    <xf numFmtId="49" fontId="46" fillId="10" borderId="1" xfId="0" applyNumberFormat="1" applyFont="1" applyFill="1" applyBorder="1" applyAlignment="1">
      <alignment horizontal="left" vertical="top"/>
    </xf>
    <xf numFmtId="49" fontId="47" fillId="13" borderId="47" xfId="0" applyNumberFormat="1" applyFont="1" applyFill="1" applyBorder="1" applyAlignment="1">
      <alignment horizontal="left" vertical="top"/>
    </xf>
    <xf numFmtId="0" fontId="46" fillId="10" borderId="202" xfId="0" applyFont="1" applyFill="1" applyBorder="1" applyAlignment="1">
      <alignment horizontal="left" vertical="top"/>
    </xf>
    <xf numFmtId="0" fontId="46" fillId="10" borderId="43" xfId="0" applyFont="1" applyFill="1" applyBorder="1" applyAlignment="1">
      <alignment horizontal="left" vertical="top"/>
    </xf>
    <xf numFmtId="1" fontId="47" fillId="10" borderId="202" xfId="0" applyNumberFormat="1" applyFont="1" applyFill="1" applyBorder="1" applyAlignment="1">
      <alignment horizontal="left" vertical="top"/>
    </xf>
    <xf numFmtId="49" fontId="46" fillId="10" borderId="203" xfId="0" applyNumberFormat="1" applyFont="1" applyFill="1" applyBorder="1" applyAlignment="1">
      <alignment horizontal="left" vertical="top"/>
    </xf>
    <xf numFmtId="0" fontId="46" fillId="10" borderId="203" xfId="0" applyFont="1" applyFill="1" applyBorder="1" applyAlignment="1">
      <alignment horizontal="left" vertical="top"/>
    </xf>
    <xf numFmtId="49" fontId="46" fillId="10" borderId="202" xfId="0" applyNumberFormat="1" applyFont="1" applyFill="1" applyBorder="1" applyAlignment="1">
      <alignment horizontal="left" vertical="top"/>
    </xf>
    <xf numFmtId="49" fontId="46" fillId="10" borderId="204" xfId="0" applyNumberFormat="1" applyFont="1" applyFill="1" applyBorder="1" applyAlignment="1">
      <alignment horizontal="left" vertical="top"/>
    </xf>
    <xf numFmtId="0" fontId="47" fillId="10" borderId="202" xfId="0" applyFont="1" applyFill="1" applyBorder="1" applyAlignment="1">
      <alignment horizontal="left" vertical="top"/>
    </xf>
    <xf numFmtId="39" fontId="46" fillId="10" borderId="204" xfId="0" applyNumberFormat="1" applyFont="1" applyFill="1" applyBorder="1" applyAlignment="1">
      <alignment horizontal="left" vertical="top"/>
    </xf>
    <xf numFmtId="39" fontId="46" fillId="10" borderId="202" xfId="0" applyNumberFormat="1" applyFont="1" applyFill="1" applyBorder="1" applyAlignment="1">
      <alignment horizontal="left" vertical="top"/>
    </xf>
    <xf numFmtId="0" fontId="46" fillId="10" borderId="204" xfId="0" applyFont="1" applyFill="1" applyBorder="1" applyAlignment="1">
      <alignment horizontal="left" vertical="top"/>
    </xf>
    <xf numFmtId="0" fontId="48" fillId="8" borderId="47" xfId="0" applyFont="1" applyFill="1" applyBorder="1" applyAlignment="1">
      <alignment horizontal="left" vertical="top"/>
    </xf>
    <xf numFmtId="37" fontId="82" fillId="0" borderId="0" xfId="0" applyNumberFormat="1" applyFont="1"/>
    <xf numFmtId="37" fontId="28" fillId="0" borderId="32" xfId="0" applyNumberFormat="1" applyFont="1" applyFill="1" applyBorder="1"/>
    <xf numFmtId="4" fontId="9" fillId="13" borderId="1" xfId="8" applyNumberFormat="1" applyFill="1"/>
    <xf numFmtId="0" fontId="51" fillId="22" borderId="104" xfId="0" applyFont="1" applyFill="1" applyBorder="1"/>
    <xf numFmtId="0" fontId="51" fillId="22" borderId="105" xfId="0" applyFont="1" applyFill="1" applyBorder="1"/>
    <xf numFmtId="0" fontId="51" fillId="22" borderId="106" xfId="0" applyFont="1" applyFill="1" applyBorder="1"/>
    <xf numFmtId="3" fontId="25" fillId="0" borderId="12" xfId="0" applyNumberFormat="1" applyFont="1" applyFill="1" applyBorder="1"/>
    <xf numFmtId="3" fontId="52" fillId="0" borderId="13" xfId="0" applyNumberFormat="1" applyFont="1" applyFill="1" applyBorder="1"/>
    <xf numFmtId="166" fontId="8" fillId="0" borderId="180" xfId="3" applyNumberFormat="1" applyFont="1" applyBorder="1" applyAlignment="1">
      <alignment horizontal="center"/>
    </xf>
    <xf numFmtId="166" fontId="8" fillId="0" borderId="161" xfId="3" applyNumberFormat="1" applyFont="1" applyBorder="1" applyAlignment="1">
      <alignment horizontal="center"/>
    </xf>
    <xf numFmtId="166" fontId="8" fillId="0" borderId="181" xfId="3" applyNumberFormat="1" applyFont="1" applyBorder="1" applyAlignment="1">
      <alignment horizontal="center"/>
    </xf>
    <xf numFmtId="166" fontId="8" fillId="0" borderId="173" xfId="3" applyNumberFormat="1" applyFont="1" applyBorder="1" applyAlignment="1">
      <alignment horizontal="center"/>
    </xf>
    <xf numFmtId="9" fontId="8" fillId="0" borderId="180" xfId="4" applyFont="1" applyBorder="1" applyAlignment="1">
      <alignment horizontal="center"/>
    </xf>
    <xf numFmtId="9" fontId="8" fillId="0" borderId="181" xfId="4" applyFont="1" applyBorder="1" applyAlignment="1">
      <alignment horizontal="center"/>
    </xf>
    <xf numFmtId="9" fontId="8" fillId="0" borderId="182" xfId="4" applyFont="1" applyBorder="1" applyAlignment="1">
      <alignment horizontal="center"/>
    </xf>
    <xf numFmtId="9" fontId="8" fillId="0" borderId="180" xfId="4" applyFont="1" applyFill="1" applyBorder="1" applyAlignment="1">
      <alignment horizontal="center"/>
    </xf>
    <xf numFmtId="2" fontId="8" fillId="0" borderId="161" xfId="4" applyNumberFormat="1" applyFont="1" applyBorder="1" applyAlignment="1">
      <alignment horizontal="center"/>
    </xf>
    <xf numFmtId="2" fontId="8" fillId="0" borderId="181" xfId="4" applyNumberFormat="1" applyFont="1" applyBorder="1" applyAlignment="1">
      <alignment horizontal="center"/>
    </xf>
    <xf numFmtId="2" fontId="8" fillId="0" borderId="173" xfId="4" applyNumberFormat="1" applyFont="1" applyBorder="1" applyAlignment="1">
      <alignment horizontal="center"/>
    </xf>
    <xf numFmtId="9" fontId="8" fillId="0" borderId="161" xfId="4" applyFont="1" applyBorder="1" applyAlignment="1">
      <alignment horizontal="center"/>
    </xf>
    <xf numFmtId="9" fontId="8" fillId="0" borderId="173" xfId="4" applyFont="1" applyBorder="1" applyAlignment="1">
      <alignment horizontal="center"/>
    </xf>
    <xf numFmtId="0" fontId="8" fillId="0" borderId="190" xfId="3" applyFont="1" applyBorder="1"/>
    <xf numFmtId="166" fontId="8" fillId="0" borderId="193" xfId="3" applyNumberFormat="1" applyFont="1" applyBorder="1" applyAlignment="1">
      <alignment horizontal="center"/>
    </xf>
    <xf numFmtId="166" fontId="8" fillId="0" borderId="191" xfId="3" applyNumberFormat="1" applyFont="1" applyBorder="1" applyAlignment="1">
      <alignment horizontal="center"/>
    </xf>
    <xf numFmtId="166" fontId="8" fillId="0" borderId="194" xfId="3" applyNumberFormat="1" applyFont="1" applyBorder="1" applyAlignment="1">
      <alignment horizontal="center"/>
    </xf>
    <xf numFmtId="9" fontId="8" fillId="0" borderId="190" xfId="4" applyFont="1" applyBorder="1" applyAlignment="1">
      <alignment horizontal="center"/>
    </xf>
    <xf numFmtId="9" fontId="8" fillId="0" borderId="191" xfId="4" applyFont="1" applyBorder="1" applyAlignment="1">
      <alignment horizontal="center"/>
    </xf>
    <xf numFmtId="9" fontId="8" fillId="0" borderId="192" xfId="4" applyFont="1" applyBorder="1" applyAlignment="1">
      <alignment horizontal="center"/>
    </xf>
    <xf numFmtId="0" fontId="8" fillId="13" borderId="180" xfId="3" applyFont="1" applyFill="1" applyBorder="1" applyAlignment="1">
      <alignment horizontal="center"/>
    </xf>
    <xf numFmtId="166" fontId="8" fillId="13" borderId="186" xfId="3" applyNumberFormat="1" applyFont="1" applyFill="1" applyBorder="1" applyAlignment="1">
      <alignment horizontal="center"/>
    </xf>
    <xf numFmtId="166" fontId="8" fillId="0" borderId="175" xfId="3" applyNumberFormat="1" applyFont="1" applyBorder="1" applyAlignment="1">
      <alignment horizontal="center"/>
    </xf>
    <xf numFmtId="166" fontId="8" fillId="0" borderId="187" xfId="3" applyNumberFormat="1" applyFont="1" applyBorder="1" applyAlignment="1">
      <alignment horizontal="center"/>
    </xf>
    <xf numFmtId="166" fontId="8" fillId="0" borderId="176" xfId="3" applyNumberFormat="1" applyFont="1" applyBorder="1" applyAlignment="1">
      <alignment horizontal="center"/>
    </xf>
    <xf numFmtId="9" fontId="8" fillId="0" borderId="186" xfId="4" applyFont="1" applyBorder="1" applyAlignment="1">
      <alignment horizontal="center"/>
    </xf>
    <xf numFmtId="9" fontId="8" fillId="0" borderId="187" xfId="4" applyFont="1" applyBorder="1" applyAlignment="1">
      <alignment horizontal="center"/>
    </xf>
    <xf numFmtId="9" fontId="8" fillId="0" borderId="188" xfId="4" applyFont="1" applyBorder="1" applyAlignment="1">
      <alignment horizontal="center"/>
    </xf>
    <xf numFmtId="0" fontId="8" fillId="0" borderId="1" xfId="3" applyFont="1"/>
    <xf numFmtId="166" fontId="8" fillId="0" borderId="180" xfId="4" applyNumberFormat="1" applyFont="1" applyFill="1" applyBorder="1" applyAlignment="1">
      <alignment horizontal="center"/>
    </xf>
    <xf numFmtId="9" fontId="8" fillId="0" borderId="180" xfId="1" applyFont="1" applyBorder="1" applyAlignment="1">
      <alignment horizontal="center"/>
    </xf>
    <xf numFmtId="2" fontId="8" fillId="0" borderId="161" xfId="3" applyNumberFormat="1" applyFont="1" applyBorder="1" applyAlignment="1">
      <alignment horizontal="center"/>
    </xf>
    <xf numFmtId="2" fontId="8" fillId="0" borderId="181" xfId="3" applyNumberFormat="1" applyFont="1" applyBorder="1" applyAlignment="1">
      <alignment horizontal="center"/>
    </xf>
    <xf numFmtId="2" fontId="8" fillId="0" borderId="173" xfId="3" applyNumberFormat="1" applyFont="1" applyBorder="1" applyAlignment="1">
      <alignment horizontal="center"/>
    </xf>
    <xf numFmtId="166" fontId="8" fillId="0" borderId="186" xfId="3" applyNumberFormat="1" applyFont="1" applyBorder="1" applyAlignment="1">
      <alignment horizontal="center"/>
    </xf>
    <xf numFmtId="0" fontId="8" fillId="0" borderId="172" xfId="3" applyFont="1" applyBorder="1" applyAlignment="1">
      <alignment horizontal="left" indent="1"/>
    </xf>
    <xf numFmtId="0" fontId="8" fillId="0" borderId="172" xfId="3" applyFont="1" applyBorder="1" applyAlignment="1">
      <alignment horizontal="left"/>
    </xf>
    <xf numFmtId="0" fontId="8" fillId="13" borderId="172" xfId="3" applyFont="1" applyFill="1" applyBorder="1" applyAlignment="1">
      <alignment horizontal="left"/>
    </xf>
    <xf numFmtId="1" fontId="8" fillId="13" borderId="180" xfId="3" applyNumberFormat="1" applyFont="1" applyFill="1" applyBorder="1" applyAlignment="1">
      <alignment horizontal="center"/>
    </xf>
    <xf numFmtId="1" fontId="8" fillId="0" borderId="161" xfId="3" applyNumberFormat="1" applyFont="1" applyBorder="1" applyAlignment="1">
      <alignment horizontal="center"/>
    </xf>
    <xf numFmtId="1" fontId="8" fillId="0" borderId="181" xfId="3" applyNumberFormat="1" applyFont="1" applyBorder="1" applyAlignment="1">
      <alignment horizontal="center"/>
    </xf>
    <xf numFmtId="1" fontId="8" fillId="0" borderId="173" xfId="3" applyNumberFormat="1" applyFont="1" applyBorder="1" applyAlignment="1">
      <alignment horizontal="center"/>
    </xf>
    <xf numFmtId="0" fontId="8" fillId="0" borderId="174" xfId="3" applyFont="1" applyBorder="1" applyAlignment="1">
      <alignment horizontal="left"/>
    </xf>
    <xf numFmtId="166" fontId="8" fillId="0" borderId="180" xfId="1" applyNumberFormat="1" applyFont="1" applyBorder="1" applyAlignment="1">
      <alignment horizontal="center"/>
    </xf>
    <xf numFmtId="170" fontId="8" fillId="0" borderId="180" xfId="1" applyNumberFormat="1" applyFont="1" applyBorder="1" applyAlignment="1">
      <alignment horizontal="center"/>
    </xf>
    <xf numFmtId="170" fontId="8" fillId="0" borderId="186" xfId="1" applyNumberFormat="1" applyFont="1" applyBorder="1" applyAlignment="1">
      <alignment horizontal="center"/>
    </xf>
    <xf numFmtId="3" fontId="24" fillId="0" borderId="0" xfId="0" applyNumberFormat="1" applyFont="1"/>
    <xf numFmtId="43" fontId="24" fillId="0" borderId="0" xfId="5" applyFont="1" applyFill="1"/>
    <xf numFmtId="0" fontId="25" fillId="26" borderId="1" xfId="0" applyFont="1" applyFill="1" applyBorder="1"/>
    <xf numFmtId="0" fontId="14" fillId="29" borderId="208" xfId="0" applyFont="1" applyFill="1" applyBorder="1" applyAlignment="1">
      <alignment horizontal="center"/>
    </xf>
    <xf numFmtId="0" fontId="14" fillId="30" borderId="208" xfId="0" applyFont="1" applyFill="1" applyBorder="1" applyAlignment="1">
      <alignment horizontal="center"/>
    </xf>
    <xf numFmtId="0" fontId="14" fillId="31" borderId="208" xfId="0" applyFont="1" applyFill="1" applyBorder="1" applyAlignment="1">
      <alignment horizontal="center"/>
    </xf>
    <xf numFmtId="0" fontId="14" fillId="32" borderId="208" xfId="0" applyFont="1" applyFill="1" applyBorder="1" applyAlignment="1">
      <alignment horizontal="center"/>
    </xf>
    <xf numFmtId="0" fontId="14" fillId="33" borderId="208" xfId="0" applyFont="1" applyFill="1" applyBorder="1" applyAlignment="1">
      <alignment horizontal="center"/>
    </xf>
    <xf numFmtId="39" fontId="26" fillId="0" borderId="0" xfId="0" applyNumberFormat="1" applyFont="1"/>
    <xf numFmtId="170" fontId="26" fillId="0" borderId="9" xfId="0" applyNumberFormat="1" applyFont="1" applyBorder="1"/>
    <xf numFmtId="0" fontId="50" fillId="0" borderId="1" xfId="0" applyFont="1" applyBorder="1"/>
    <xf numFmtId="37" fontId="26" fillId="0" borderId="1" xfId="0" applyNumberFormat="1" applyFont="1" applyBorder="1"/>
    <xf numFmtId="0" fontId="49" fillId="0" borderId="0" xfId="0" applyFont="1"/>
    <xf numFmtId="3" fontId="23" fillId="0" borderId="0" xfId="0" applyNumberFormat="1" applyFont="1"/>
    <xf numFmtId="43" fontId="23" fillId="0" borderId="0" xfId="5" applyFont="1"/>
    <xf numFmtId="2" fontId="0" fillId="0" borderId="0" xfId="0" applyNumberFormat="1"/>
    <xf numFmtId="3" fontId="0" fillId="0" borderId="0" xfId="0" applyNumberFormat="1"/>
    <xf numFmtId="4" fontId="23" fillId="0" borderId="0" xfId="0" applyNumberFormat="1" applyFont="1"/>
    <xf numFmtId="170" fontId="23" fillId="0" borderId="0" xfId="1" applyNumberFormat="1" applyFont="1"/>
    <xf numFmtId="43" fontId="33" fillId="0" borderId="0" xfId="5" applyFont="1"/>
    <xf numFmtId="170" fontId="33" fillId="0" borderId="0" xfId="1" applyNumberFormat="1" applyFont="1"/>
    <xf numFmtId="43" fontId="0" fillId="0" borderId="0" xfId="0" applyNumberFormat="1"/>
    <xf numFmtId="170" fontId="0" fillId="0" borderId="0" xfId="1" applyNumberFormat="1" applyFont="1" applyAlignment="1"/>
    <xf numFmtId="43" fontId="0" fillId="0" borderId="0" xfId="5" applyFont="1" applyAlignment="1"/>
    <xf numFmtId="4" fontId="33" fillId="0" borderId="0" xfId="0" applyNumberFormat="1" applyFont="1"/>
    <xf numFmtId="4" fontId="0" fillId="0" borderId="0" xfId="0" applyNumberFormat="1"/>
    <xf numFmtId="9" fontId="23" fillId="0" borderId="0" xfId="1" applyFont="1"/>
    <xf numFmtId="168" fontId="28" fillId="0" borderId="35" xfId="5" applyNumberFormat="1" applyFont="1" applyFill="1" applyBorder="1"/>
    <xf numFmtId="176" fontId="25" fillId="0" borderId="1" xfId="0" applyNumberFormat="1" applyFont="1" applyBorder="1"/>
    <xf numFmtId="176" fontId="25" fillId="0" borderId="0" xfId="0" applyNumberFormat="1" applyFont="1" applyFill="1"/>
    <xf numFmtId="9" fontId="25" fillId="0" borderId="0" xfId="1" applyNumberFormat="1" applyFont="1" applyFill="1"/>
    <xf numFmtId="166" fontId="15" fillId="0" borderId="0" xfId="0" applyNumberFormat="1" applyFont="1" applyFill="1" applyAlignment="1">
      <alignment horizontal="center" vertical="top"/>
    </xf>
    <xf numFmtId="166" fontId="43" fillId="0" borderId="0" xfId="0" applyNumberFormat="1" applyFont="1" applyFill="1" applyAlignment="1">
      <alignment horizontal="center" vertical="top"/>
    </xf>
    <xf numFmtId="4" fontId="15" fillId="0" borderId="0" xfId="0" applyNumberFormat="1" applyFont="1" applyFill="1" applyAlignment="1">
      <alignment horizontal="center" vertical="top"/>
    </xf>
    <xf numFmtId="166" fontId="57" fillId="0" borderId="0" xfId="0" applyNumberFormat="1" applyFont="1" applyFill="1" applyAlignment="1">
      <alignment horizontal="center" vertical="top"/>
    </xf>
    <xf numFmtId="4" fontId="57" fillId="0" borderId="0" xfId="0" applyNumberFormat="1" applyFont="1" applyFill="1" applyAlignment="1">
      <alignment horizontal="center" vertical="top"/>
    </xf>
    <xf numFmtId="166" fontId="0" fillId="0" borderId="0" xfId="0" applyNumberFormat="1" applyFont="1" applyFill="1" applyAlignment="1"/>
    <xf numFmtId="37" fontId="28" fillId="0" borderId="24" xfId="0" applyNumberFormat="1" applyFont="1" applyFill="1" applyBorder="1"/>
    <xf numFmtId="170" fontId="25" fillId="0" borderId="13" xfId="1" applyNumberFormat="1" applyFont="1" applyFill="1" applyBorder="1"/>
    <xf numFmtId="10" fontId="23" fillId="0" borderId="0" xfId="1" applyNumberFormat="1" applyFont="1"/>
    <xf numFmtId="0" fontId="6" fillId="13" borderId="180" xfId="3" applyFont="1" applyFill="1" applyBorder="1" applyAlignment="1">
      <alignment horizontal="center"/>
    </xf>
    <xf numFmtId="166" fontId="6" fillId="13" borderId="186" xfId="3" applyNumberFormat="1" applyFont="1" applyFill="1" applyBorder="1" applyAlignment="1">
      <alignment horizontal="center"/>
    </xf>
    <xf numFmtId="1" fontId="83" fillId="10" borderId="47" xfId="10" applyNumberFormat="1" applyFill="1" applyBorder="1" applyAlignment="1">
      <alignment horizontal="left" vertical="top"/>
    </xf>
    <xf numFmtId="4" fontId="11" fillId="13" borderId="1" xfId="6" applyNumberFormat="1" applyFill="1"/>
    <xf numFmtId="166" fontId="8" fillId="0" borderId="1" xfId="3" applyNumberFormat="1" applyFont="1"/>
    <xf numFmtId="49" fontId="46" fillId="34" borderId="47" xfId="0" applyNumberFormat="1" applyFont="1" applyFill="1" applyBorder="1" applyAlignment="1">
      <alignment horizontal="left" vertical="top"/>
    </xf>
    <xf numFmtId="0" fontId="46" fillId="34" borderId="0" xfId="0" applyFont="1" applyFill="1" applyAlignment="1">
      <alignment horizontal="left" vertical="top"/>
    </xf>
    <xf numFmtId="0" fontId="15" fillId="34" borderId="0" xfId="0" applyFont="1" applyFill="1" applyAlignment="1">
      <alignment horizontal="center"/>
    </xf>
    <xf numFmtId="0" fontId="15" fillId="34" borderId="0" xfId="0" applyFont="1" applyFill="1"/>
    <xf numFmtId="0" fontId="59" fillId="0" borderId="1" xfId="2" applyFont="1" applyAlignment="1">
      <alignment horizontal="center"/>
    </xf>
    <xf numFmtId="0" fontId="51" fillId="22" borderId="104" xfId="0" applyFont="1" applyFill="1" applyBorder="1" applyAlignment="1">
      <alignment horizontal="center"/>
    </xf>
    <xf numFmtId="170" fontId="25" fillId="0" borderId="1" xfId="1" applyNumberFormat="1" applyFont="1" applyBorder="1" applyAlignment="1">
      <alignment horizontal="right"/>
    </xf>
    <xf numFmtId="170" fontId="25" fillId="0" borderId="22" xfId="1" applyNumberFormat="1" applyFont="1" applyBorder="1" applyAlignment="1">
      <alignment horizontal="right"/>
    </xf>
    <xf numFmtId="4" fontId="0" fillId="0" borderId="0" xfId="0" applyNumberFormat="1" applyFont="1" applyAlignment="1"/>
    <xf numFmtId="43" fontId="24" fillId="0" borderId="0" xfId="0" applyNumberFormat="1" applyFont="1" applyFill="1"/>
    <xf numFmtId="166" fontId="4" fillId="13" borderId="186" xfId="3" applyNumberFormat="1" applyFont="1" applyFill="1" applyBorder="1" applyAlignment="1">
      <alignment horizontal="center"/>
    </xf>
    <xf numFmtId="0" fontId="49" fillId="0" borderId="1" xfId="12"/>
    <xf numFmtId="49" fontId="80" fillId="0" borderId="1" xfId="13" applyNumberFormat="1" applyFont="1" applyAlignment="1">
      <alignment horizontal="center" vertical="center"/>
    </xf>
    <xf numFmtId="177" fontId="80" fillId="0" borderId="1" xfId="13" applyNumberFormat="1" applyFont="1" applyAlignment="1">
      <alignment horizontal="center" vertical="center"/>
    </xf>
    <xf numFmtId="0" fontId="0" fillId="0" borderId="1" xfId="13" applyFont="1"/>
    <xf numFmtId="0" fontId="84" fillId="0" borderId="1" xfId="13" applyFont="1" applyAlignment="1">
      <alignment horizontal="center"/>
    </xf>
    <xf numFmtId="49" fontId="85" fillId="0" borderId="1" xfId="13" applyNumberFormat="1" applyAlignment="1">
      <alignment horizontal="center" vertical="center"/>
    </xf>
    <xf numFmtId="177" fontId="85" fillId="0" borderId="1" xfId="13" applyNumberFormat="1" applyAlignment="1">
      <alignment horizontal="center" vertical="center"/>
    </xf>
    <xf numFmtId="3" fontId="85" fillId="26" borderId="1" xfId="13" applyNumberFormat="1" applyFill="1" applyAlignment="1">
      <alignment horizontal="center" vertical="center"/>
    </xf>
    <xf numFmtId="3" fontId="0" fillId="26" borderId="1" xfId="13" applyNumberFormat="1" applyFont="1" applyFill="1" applyAlignment="1">
      <alignment horizontal="center"/>
    </xf>
    <xf numFmtId="0" fontId="0" fillId="0" borderId="1" xfId="13" applyFont="1" applyAlignment="1">
      <alignment horizontal="center"/>
    </xf>
    <xf numFmtId="170" fontId="34" fillId="0" borderId="1" xfId="1" applyNumberFormat="1" applyFont="1" applyFill="1" applyBorder="1"/>
    <xf numFmtId="49" fontId="0" fillId="0" borderId="1" xfId="13" applyNumberFormat="1" applyFont="1" applyAlignment="1">
      <alignment horizontal="center" vertical="center"/>
    </xf>
    <xf numFmtId="0" fontId="47" fillId="10" borderId="47" xfId="0" applyNumberFormat="1" applyFont="1" applyFill="1" applyBorder="1" applyAlignment="1">
      <alignment horizontal="left" vertical="top"/>
    </xf>
    <xf numFmtId="39" fontId="36" fillId="0" borderId="0" xfId="0" applyNumberFormat="1" applyFont="1"/>
    <xf numFmtId="0" fontId="9" fillId="13" borderId="1" xfId="8" applyNumberFormat="1" applyFill="1" applyAlignment="1">
      <alignment horizontal="left" vertical="center"/>
    </xf>
    <xf numFmtId="37" fontId="65" fillId="0" borderId="1" xfId="2" applyNumberFormat="1" applyFont="1"/>
    <xf numFmtId="0" fontId="3" fillId="0" borderId="1" xfId="3" applyFont="1"/>
    <xf numFmtId="44" fontId="12" fillId="0" borderId="1" xfId="14" applyFont="1" applyBorder="1"/>
    <xf numFmtId="44" fontId="3" fillId="0" borderId="1" xfId="14" applyFont="1" applyBorder="1"/>
    <xf numFmtId="49" fontId="0" fillId="0" borderId="0" xfId="0" applyNumberFormat="1" applyAlignment="1">
      <alignment horizontal="left" vertical="center"/>
    </xf>
    <xf numFmtId="177" fontId="0" fillId="0" borderId="0" xfId="0" applyNumberFormat="1" applyAlignment="1">
      <alignment horizontal="center" vertical="center"/>
    </xf>
    <xf numFmtId="49" fontId="0" fillId="0" borderId="0" xfId="0" applyNumberFormat="1" applyAlignment="1">
      <alignment horizontal="center" vertical="center"/>
    </xf>
    <xf numFmtId="0" fontId="46" fillId="10" borderId="47" xfId="0" applyNumberFormat="1" applyFont="1" applyFill="1" applyBorder="1" applyAlignment="1">
      <alignment horizontal="left" vertical="top"/>
    </xf>
    <xf numFmtId="0" fontId="15" fillId="5" borderId="47" xfId="0" applyNumberFormat="1" applyFont="1" applyFill="1" applyBorder="1" applyAlignment="1">
      <alignment horizontal="left" vertical="center"/>
    </xf>
    <xf numFmtId="0" fontId="47" fillId="34" borderId="47" xfId="0" applyNumberFormat="1" applyFont="1" applyFill="1" applyBorder="1" applyAlignment="1">
      <alignment horizontal="left" vertical="top"/>
    </xf>
    <xf numFmtId="0" fontId="47" fillId="10" borderId="47" xfId="0" quotePrefix="1" applyNumberFormat="1" applyFont="1" applyFill="1" applyBorder="1" applyAlignment="1">
      <alignment horizontal="left" vertical="top"/>
    </xf>
    <xf numFmtId="0" fontId="47" fillId="14" borderId="47" xfId="0" applyNumberFormat="1" applyFont="1" applyFill="1" applyBorder="1" applyAlignment="1">
      <alignment horizontal="left" vertical="top"/>
    </xf>
    <xf numFmtId="0" fontId="47" fillId="10" borderId="202" xfId="0" applyNumberFormat="1" applyFont="1" applyFill="1" applyBorder="1" applyAlignment="1">
      <alignment horizontal="left" vertical="top"/>
    </xf>
    <xf numFmtId="0" fontId="47" fillId="13" borderId="47" xfId="0" applyNumberFormat="1" applyFont="1" applyFill="1" applyBorder="1" applyAlignment="1">
      <alignment horizontal="left" vertical="top"/>
    </xf>
    <xf numFmtId="0" fontId="11" fillId="13" borderId="1" xfId="6" applyNumberFormat="1" applyFill="1" applyAlignment="1">
      <alignment horizontal="left" vertical="center"/>
    </xf>
    <xf numFmtId="49" fontId="80" fillId="0" borderId="1" xfId="11" applyNumberFormat="1" applyFont="1" applyFill="1" applyAlignment="1">
      <alignment horizontal="left" vertical="center"/>
    </xf>
    <xf numFmtId="175" fontId="80" fillId="0" borderId="1" xfId="11" applyNumberFormat="1" applyFont="1" applyFill="1" applyAlignment="1">
      <alignment horizontal="right" vertical="center"/>
    </xf>
    <xf numFmtId="49" fontId="5" fillId="0" borderId="1" xfId="11" applyNumberFormat="1" applyFill="1" applyAlignment="1">
      <alignment horizontal="left" vertical="center"/>
    </xf>
    <xf numFmtId="0" fontId="5" fillId="0" borderId="1" xfId="11" applyNumberFormat="1" applyFill="1" applyAlignment="1">
      <alignment horizontal="left" vertical="center"/>
    </xf>
    <xf numFmtId="175" fontId="5" fillId="0" borderId="1" xfId="11" applyNumberFormat="1" applyFill="1" applyAlignment="1">
      <alignment horizontal="right" vertical="center"/>
    </xf>
    <xf numFmtId="0" fontId="5" fillId="0" borderId="1" xfId="11" applyFill="1"/>
    <xf numFmtId="4" fontId="5" fillId="0" borderId="1" xfId="11" applyNumberFormat="1" applyFill="1"/>
    <xf numFmtId="49" fontId="15" fillId="0" borderId="1" xfId="0" applyNumberFormat="1" applyFont="1" applyFill="1" applyBorder="1" applyAlignment="1">
      <alignment horizontal="left" vertical="center"/>
    </xf>
    <xf numFmtId="4" fontId="15" fillId="0" borderId="1" xfId="0" applyNumberFormat="1" applyFont="1" applyFill="1" applyBorder="1" applyAlignment="1">
      <alignment horizontal="left" vertical="top"/>
    </xf>
    <xf numFmtId="0" fontId="15" fillId="0" borderId="1" xfId="0" applyFont="1" applyFill="1" applyBorder="1" applyAlignment="1">
      <alignment horizontal="left" vertical="top"/>
    </xf>
    <xf numFmtId="0" fontId="7" fillId="0" borderId="1" xfId="9" applyFill="1"/>
    <xf numFmtId="4" fontId="7" fillId="0" borderId="1" xfId="9" applyNumberFormat="1" applyFill="1"/>
    <xf numFmtId="175" fontId="7" fillId="0" borderId="1" xfId="9" applyNumberFormat="1" applyFill="1" applyAlignment="1">
      <alignment horizontal="right" vertical="center"/>
    </xf>
    <xf numFmtId="173" fontId="15" fillId="0" borderId="1" xfId="0" applyNumberFormat="1" applyFont="1" applyFill="1" applyBorder="1" applyAlignment="1">
      <alignment horizontal="right" vertical="center"/>
    </xf>
    <xf numFmtId="0" fontId="11" fillId="0" borderId="1" xfId="6" applyFill="1"/>
    <xf numFmtId="10" fontId="0" fillId="0" borderId="0" xfId="1" applyNumberFormat="1" applyFont="1" applyFill="1" applyAlignment="1"/>
    <xf numFmtId="0" fontId="9" fillId="0" borderId="1" xfId="8" applyFill="1"/>
    <xf numFmtId="175" fontId="11" fillId="0" borderId="1" xfId="6" applyNumberFormat="1" applyFill="1" applyAlignment="1">
      <alignment horizontal="right" vertical="center"/>
    </xf>
    <xf numFmtId="175" fontId="9" fillId="0" borderId="1" xfId="8" applyNumberFormat="1" applyFill="1" applyAlignment="1">
      <alignment horizontal="right" vertical="center"/>
    </xf>
    <xf numFmtId="0" fontId="15" fillId="0" borderId="1" xfId="0" applyFont="1" applyFill="1" applyBorder="1"/>
    <xf numFmtId="49" fontId="11" fillId="0" borderId="1" xfId="6" applyNumberFormat="1" applyFill="1" applyAlignment="1">
      <alignment horizontal="left" vertical="center"/>
    </xf>
    <xf numFmtId="0" fontId="11" fillId="0" borderId="1" xfId="6" applyNumberFormat="1" applyFill="1" applyAlignment="1">
      <alignment horizontal="left" vertical="center"/>
    </xf>
    <xf numFmtId="4" fontId="11" fillId="0" borderId="1" xfId="6" applyNumberFormat="1" applyFill="1"/>
    <xf numFmtId="49" fontId="15" fillId="0" borderId="1" xfId="0" applyNumberFormat="1" applyFont="1" applyFill="1" applyBorder="1" applyAlignment="1">
      <alignment horizontal="left" vertical="top"/>
    </xf>
    <xf numFmtId="174" fontId="15" fillId="0" borderId="1" xfId="0" applyNumberFormat="1" applyFont="1" applyFill="1" applyBorder="1" applyAlignment="1">
      <alignment horizontal="right" vertical="top"/>
    </xf>
    <xf numFmtId="37" fontId="25" fillId="0" borderId="22" xfId="0" applyNumberFormat="1" applyFont="1" applyFill="1" applyBorder="1"/>
    <xf numFmtId="49" fontId="2" fillId="0" borderId="1" xfId="11" applyNumberFormat="1" applyFont="1" applyFill="1" applyAlignment="1">
      <alignment horizontal="left" vertical="center"/>
    </xf>
    <xf numFmtId="0" fontId="25" fillId="19" borderId="0" xfId="0" applyFont="1" applyFill="1"/>
    <xf numFmtId="0" fontId="0" fillId="19" borderId="0" xfId="0" applyFont="1" applyFill="1" applyAlignment="1"/>
    <xf numFmtId="3" fontId="25" fillId="0" borderId="167" xfId="0" applyNumberFormat="1" applyFont="1" applyFill="1" applyBorder="1"/>
    <xf numFmtId="3" fontId="25" fillId="0" borderId="19" xfId="0" applyNumberFormat="1" applyFont="1" applyFill="1" applyBorder="1"/>
    <xf numFmtId="43" fontId="0" fillId="0" borderId="0" xfId="5" applyFont="1"/>
    <xf numFmtId="0" fontId="49" fillId="0" borderId="1" xfId="13" applyFont="1"/>
    <xf numFmtId="170" fontId="50" fillId="22" borderId="1" xfId="0" applyNumberFormat="1" applyFont="1" applyFill="1" applyBorder="1"/>
    <xf numFmtId="170" fontId="50" fillId="22" borderId="0" xfId="1" applyNumberFormat="1" applyFont="1" applyFill="1"/>
    <xf numFmtId="37" fontId="59" fillId="22" borderId="0" xfId="0" applyNumberFormat="1" applyFont="1" applyFill="1"/>
    <xf numFmtId="0" fontId="61" fillId="22" borderId="0" xfId="0" applyFont="1" applyFill="1" applyAlignment="1">
      <alignment horizontal="center"/>
    </xf>
    <xf numFmtId="37" fontId="61" fillId="22" borderId="120" xfId="0" applyNumberFormat="1" applyFont="1" applyFill="1" applyBorder="1" applyAlignment="1">
      <alignment horizontal="center"/>
    </xf>
    <xf numFmtId="0" fontId="54" fillId="22" borderId="0" xfId="0" applyFont="1" applyFill="1"/>
    <xf numFmtId="171" fontId="54" fillId="22" borderId="0" xfId="0" applyNumberFormat="1" applyFont="1" applyFill="1"/>
    <xf numFmtId="170" fontId="54" fillId="22" borderId="103" xfId="1" applyNumberFormat="1" applyFont="1" applyFill="1" applyBorder="1"/>
    <xf numFmtId="170" fontId="54" fillId="22" borderId="0" xfId="1" applyNumberFormat="1" applyFont="1" applyFill="1"/>
    <xf numFmtId="0" fontId="54" fillId="22" borderId="101" xfId="0" applyFont="1" applyFill="1" applyBorder="1"/>
    <xf numFmtId="171" fontId="54" fillId="22" borderId="53" xfId="0" applyNumberFormat="1" applyFont="1" applyFill="1" applyBorder="1"/>
    <xf numFmtId="37" fontId="54" fillId="22" borderId="63" xfId="0" applyNumberFormat="1" applyFont="1" applyFill="1" applyBorder="1"/>
    <xf numFmtId="0" fontId="54" fillId="22" borderId="195" xfId="0" applyFont="1" applyFill="1" applyBorder="1"/>
    <xf numFmtId="171" fontId="54" fillId="22" borderId="54" xfId="0" applyNumberFormat="1" applyFont="1" applyFill="1" applyBorder="1"/>
    <xf numFmtId="0" fontId="87" fillId="22" borderId="70" xfId="0" applyFont="1" applyFill="1" applyBorder="1"/>
    <xf numFmtId="0" fontId="87" fillId="22" borderId="0" xfId="0" applyFont="1" applyFill="1"/>
    <xf numFmtId="37" fontId="87" fillId="22" borderId="55" xfId="0" applyNumberFormat="1" applyFont="1" applyFill="1" applyBorder="1"/>
    <xf numFmtId="0" fontId="66" fillId="22" borderId="0" xfId="0" applyFont="1" applyFill="1"/>
    <xf numFmtId="0" fontId="88" fillId="24" borderId="149" xfId="0" applyFont="1" applyFill="1" applyBorder="1"/>
    <xf numFmtId="0" fontId="87" fillId="24" borderId="112" xfId="0" applyFont="1" applyFill="1" applyBorder="1"/>
    <xf numFmtId="37" fontId="87" fillId="24" borderId="150" xfId="0" applyNumberFormat="1" applyFont="1" applyFill="1" applyBorder="1"/>
    <xf numFmtId="0" fontId="65" fillId="22" borderId="0" xfId="0" applyFont="1" applyFill="1"/>
    <xf numFmtId="37" fontId="54" fillId="22" borderId="0" xfId="0" applyNumberFormat="1" applyFont="1" applyFill="1"/>
    <xf numFmtId="0" fontId="89" fillId="0" borderId="1" xfId="16" applyFont="1"/>
    <xf numFmtId="0" fontId="1" fillId="0" borderId="1" xfId="16"/>
    <xf numFmtId="0" fontId="90" fillId="0" borderId="1" xfId="16" applyFont="1"/>
    <xf numFmtId="0" fontId="91" fillId="0" borderId="1" xfId="16" applyFont="1" applyAlignment="1">
      <alignment horizontal="center"/>
    </xf>
    <xf numFmtId="0" fontId="1" fillId="0" borderId="1" xfId="16" applyAlignment="1">
      <alignment horizontal="center"/>
    </xf>
    <xf numFmtId="0" fontId="77" fillId="0" borderId="1" xfId="16" applyFont="1" applyAlignment="1">
      <alignment horizontal="center"/>
    </xf>
    <xf numFmtId="0" fontId="77" fillId="20" borderId="210" xfId="16" applyFont="1" applyFill="1" applyBorder="1" applyAlignment="1">
      <alignment horizontal="center" vertical="center" wrapText="1"/>
    </xf>
    <xf numFmtId="0" fontId="77" fillId="20" borderId="211" xfId="16" applyFont="1" applyFill="1" applyBorder="1" applyAlignment="1">
      <alignment horizontal="center" vertical="center" wrapText="1"/>
    </xf>
    <xf numFmtId="0" fontId="77" fillId="20" borderId="212" xfId="16" applyFont="1" applyFill="1" applyBorder="1" applyAlignment="1">
      <alignment horizontal="center" vertical="center" wrapText="1"/>
    </xf>
    <xf numFmtId="0" fontId="77" fillId="20" borderId="209" xfId="16" applyFont="1" applyFill="1" applyBorder="1" applyAlignment="1">
      <alignment horizontal="center" vertical="center" wrapText="1"/>
    </xf>
    <xf numFmtId="0" fontId="77" fillId="0" borderId="1" xfId="16" applyFont="1"/>
    <xf numFmtId="166" fontId="78" fillId="11" borderId="214" xfId="16" applyNumberFormat="1" applyFont="1" applyFill="1" applyBorder="1" applyAlignment="1">
      <alignment horizontal="center" vertical="center"/>
    </xf>
    <xf numFmtId="166" fontId="78" fillId="11" borderId="216" xfId="16" applyNumberFormat="1" applyFont="1" applyFill="1" applyBorder="1" applyAlignment="1">
      <alignment horizontal="center" vertical="center"/>
    </xf>
    <xf numFmtId="0" fontId="78" fillId="11" borderId="215" xfId="16" applyFont="1" applyFill="1" applyBorder="1" applyAlignment="1">
      <alignment horizontal="center" vertical="center"/>
    </xf>
    <xf numFmtId="3" fontId="77" fillId="11" borderId="214" xfId="16" applyNumberFormat="1" applyFont="1" applyFill="1" applyBorder="1" applyAlignment="1">
      <alignment horizontal="center" vertical="center"/>
    </xf>
    <xf numFmtId="3" fontId="77" fillId="11" borderId="216" xfId="16" applyNumberFormat="1" applyFont="1" applyFill="1" applyBorder="1" applyAlignment="1">
      <alignment horizontal="center" vertical="center"/>
    </xf>
    <xf numFmtId="0" fontId="1" fillId="11" borderId="217" xfId="16" applyFill="1" applyBorder="1" applyAlignment="1">
      <alignment wrapText="1"/>
    </xf>
    <xf numFmtId="0" fontId="1" fillId="0" borderId="209" xfId="16" applyBorder="1" applyAlignment="1" applyProtection="1">
      <alignment horizontal="center" vertical="center" wrapText="1"/>
      <protection locked="0"/>
    </xf>
    <xf numFmtId="0" fontId="1" fillId="0" borderId="209" xfId="16" applyBorder="1" applyAlignment="1">
      <alignment horizontal="center" vertical="center"/>
    </xf>
    <xf numFmtId="0" fontId="1" fillId="0" borderId="212" xfId="16" applyBorder="1" applyAlignment="1" applyProtection="1">
      <alignment horizontal="center" vertical="center" wrapText="1"/>
      <protection locked="0"/>
    </xf>
    <xf numFmtId="0" fontId="1" fillId="0" borderId="168" xfId="16" applyBorder="1" applyAlignment="1" applyProtection="1">
      <alignment horizontal="center" vertical="center" wrapText="1"/>
      <protection locked="0"/>
    </xf>
    <xf numFmtId="37" fontId="1" fillId="0" borderId="1" xfId="16" applyNumberFormat="1" applyAlignment="1" applyProtection="1">
      <alignment horizontal="center" vertical="center"/>
      <protection locked="0"/>
    </xf>
    <xf numFmtId="37" fontId="1" fillId="0" borderId="218" xfId="16" applyNumberFormat="1" applyBorder="1" applyAlignment="1" applyProtection="1">
      <alignment horizontal="center" vertical="center"/>
      <protection locked="0"/>
    </xf>
    <xf numFmtId="0" fontId="1" fillId="0" borderId="219" xfId="16" applyBorder="1" applyAlignment="1" applyProtection="1">
      <alignment horizontal="center" vertical="center" wrapText="1"/>
      <protection locked="0"/>
    </xf>
    <xf numFmtId="0" fontId="1" fillId="0" borderId="219" xfId="16" applyBorder="1" applyAlignment="1">
      <alignment horizontal="center" vertical="center"/>
    </xf>
    <xf numFmtId="0" fontId="1" fillId="0" borderId="218" xfId="16" applyBorder="1" applyAlignment="1" applyProtection="1">
      <alignment horizontal="center" vertical="center" wrapText="1"/>
      <protection locked="0"/>
    </xf>
    <xf numFmtId="0" fontId="1" fillId="0" borderId="213" xfId="16" applyBorder="1" applyAlignment="1" applyProtection="1">
      <alignment horizontal="center" vertical="center" wrapText="1"/>
      <protection locked="0"/>
    </xf>
    <xf numFmtId="0" fontId="1" fillId="0" borderId="213" xfId="16" applyBorder="1" applyAlignment="1">
      <alignment horizontal="center" vertical="center"/>
    </xf>
    <xf numFmtId="0" fontId="1" fillId="0" borderId="220" xfId="16" applyBorder="1" applyAlignment="1" applyProtection="1">
      <alignment horizontal="center" vertical="center" wrapText="1"/>
      <protection locked="0"/>
    </xf>
    <xf numFmtId="0" fontId="1" fillId="0" borderId="221" xfId="16" applyBorder="1" applyAlignment="1" applyProtection="1">
      <alignment horizontal="center" vertical="center" wrapText="1"/>
      <protection locked="0"/>
    </xf>
    <xf numFmtId="37" fontId="1" fillId="0" borderId="220" xfId="16" applyNumberFormat="1" applyBorder="1" applyAlignment="1" applyProtection="1">
      <alignment horizontal="center" vertical="center"/>
      <protection locked="0"/>
    </xf>
    <xf numFmtId="37" fontId="1" fillId="0" borderId="222" xfId="16" applyNumberFormat="1" applyBorder="1" applyAlignment="1" applyProtection="1">
      <alignment horizontal="center" vertical="center"/>
      <protection locked="0"/>
    </xf>
    <xf numFmtId="0" fontId="1" fillId="0" borderId="1" xfId="16" applyAlignment="1">
      <alignment horizontal="center" wrapText="1"/>
    </xf>
    <xf numFmtId="0" fontId="1" fillId="0" borderId="1" xfId="16" applyAlignment="1">
      <alignment wrapText="1"/>
    </xf>
    <xf numFmtId="43" fontId="80" fillId="0" borderId="1" xfId="5" applyFont="1" applyBorder="1" applyAlignment="1">
      <alignment horizontal="center" vertical="center"/>
    </xf>
    <xf numFmtId="43" fontId="0" fillId="0" borderId="0" xfId="5" applyFont="1" applyBorder="1" applyAlignment="1">
      <alignment horizontal="center" vertical="center"/>
    </xf>
    <xf numFmtId="43" fontId="0" fillId="0" borderId="1" xfId="5" applyFont="1" applyBorder="1"/>
    <xf numFmtId="43" fontId="0" fillId="0" borderId="1" xfId="5" applyFont="1" applyBorder="1" applyAlignment="1">
      <alignment horizontal="center" vertical="center"/>
    </xf>
    <xf numFmtId="43" fontId="0" fillId="0" borderId="0" xfId="5" applyFont="1" applyBorder="1"/>
    <xf numFmtId="43" fontId="0" fillId="0" borderId="1" xfId="5" applyFont="1" applyBorder="1" applyAlignment="1">
      <alignment horizontal="center"/>
    </xf>
    <xf numFmtId="43" fontId="85" fillId="0" borderId="1" xfId="5" applyFont="1" applyBorder="1" applyAlignment="1">
      <alignment horizontal="center" vertical="center"/>
    </xf>
    <xf numFmtId="1" fontId="34" fillId="0" borderId="1" xfId="0" applyNumberFormat="1" applyFont="1" applyFill="1" applyBorder="1"/>
    <xf numFmtId="0" fontId="25" fillId="26" borderId="0" xfId="0" applyFont="1" applyFill="1"/>
    <xf numFmtId="0" fontId="24" fillId="26" borderId="0" xfId="0" applyFont="1" applyFill="1"/>
    <xf numFmtId="0" fontId="24" fillId="35" borderId="0" xfId="0" applyFont="1" applyFill="1"/>
    <xf numFmtId="37" fontId="34" fillId="36" borderId="17" xfId="0" applyNumberFormat="1" applyFont="1" applyFill="1" applyBorder="1"/>
    <xf numFmtId="170" fontId="34" fillId="36" borderId="17" xfId="0" applyNumberFormat="1" applyFont="1" applyFill="1" applyBorder="1"/>
    <xf numFmtId="3" fontId="33" fillId="0" borderId="0" xfId="0" applyNumberFormat="1" applyFont="1"/>
    <xf numFmtId="43" fontId="0" fillId="0" borderId="0" xfId="0" applyNumberFormat="1" applyFont="1" applyAlignment="1"/>
    <xf numFmtId="0" fontId="23" fillId="0" borderId="0" xfId="0" applyFont="1" applyAlignment="1"/>
    <xf numFmtId="3" fontId="0" fillId="0" borderId="0" xfId="0" applyNumberFormat="1" applyFont="1" applyAlignment="1"/>
    <xf numFmtId="9" fontId="0" fillId="0" borderId="0" xfId="1" applyFont="1" applyAlignment="1"/>
    <xf numFmtId="168" fontId="0" fillId="0" borderId="0" xfId="5" applyNumberFormat="1" applyFont="1"/>
    <xf numFmtId="178" fontId="12" fillId="0" borderId="1" xfId="14" applyNumberFormat="1" applyFont="1" applyBorder="1"/>
    <xf numFmtId="0" fontId="51" fillId="22" borderId="104" xfId="0" applyFont="1" applyFill="1" applyBorder="1" applyAlignment="1">
      <alignment horizontal="center"/>
    </xf>
    <xf numFmtId="0" fontId="51" fillId="22" borderId="105" xfId="0" applyFont="1" applyFill="1" applyBorder="1" applyAlignment="1">
      <alignment horizontal="center"/>
    </xf>
    <xf numFmtId="0" fontId="51" fillId="22" borderId="106" xfId="0" applyFont="1" applyFill="1" applyBorder="1" applyAlignment="1">
      <alignment horizontal="center"/>
    </xf>
    <xf numFmtId="0" fontId="59" fillId="0" borderId="53" xfId="2" applyFont="1" applyBorder="1" applyAlignment="1">
      <alignment horizontal="center"/>
    </xf>
    <xf numFmtId="0" fontId="59" fillId="0" borderId="1" xfId="2" applyFont="1" applyAlignment="1">
      <alignment horizontal="center"/>
    </xf>
    <xf numFmtId="0" fontId="15" fillId="28" borderId="205" xfId="0" applyFont="1" applyFill="1" applyBorder="1" applyAlignment="1">
      <alignment horizontal="left" vertical="top" wrapText="1"/>
    </xf>
    <xf numFmtId="0" fontId="27" fillId="0" borderId="206" xfId="0" applyFont="1" applyBorder="1"/>
    <xf numFmtId="0" fontId="27" fillId="0" borderId="207" xfId="0" applyFont="1" applyBorder="1"/>
    <xf numFmtId="0" fontId="78" fillId="0" borderId="53" xfId="3" applyFont="1" applyBorder="1" applyAlignment="1">
      <alignment horizontal="center"/>
    </xf>
    <xf numFmtId="0" fontId="92" fillId="28" borderId="205" xfId="0" applyFont="1" applyFill="1" applyBorder="1" applyAlignment="1">
      <alignment horizontal="left" vertical="top" wrapText="1"/>
    </xf>
    <xf numFmtId="0" fontId="93" fillId="0" borderId="206" xfId="0" applyFont="1" applyBorder="1"/>
    <xf numFmtId="0" fontId="93" fillId="0" borderId="207" xfId="0" applyFont="1" applyBorder="1"/>
    <xf numFmtId="0" fontId="77" fillId="20" borderId="209" xfId="16" applyFont="1" applyFill="1" applyBorder="1" applyAlignment="1">
      <alignment horizontal="center" vertical="center" wrapText="1"/>
    </xf>
    <xf numFmtId="0" fontId="77" fillId="20" borderId="213" xfId="16" applyFont="1" applyFill="1" applyBorder="1" applyAlignment="1">
      <alignment horizontal="center" vertical="center" wrapText="1"/>
    </xf>
    <xf numFmtId="0" fontId="78" fillId="11" borderId="214" xfId="16" applyFont="1" applyFill="1" applyBorder="1" applyAlignment="1">
      <alignment horizontal="center" vertical="center" wrapText="1"/>
    </xf>
    <xf numFmtId="0" fontId="78" fillId="11" borderId="215" xfId="16" applyFont="1" applyFill="1" applyBorder="1" applyAlignment="1">
      <alignment horizontal="center" vertical="center" wrapText="1"/>
    </xf>
    <xf numFmtId="0" fontId="26" fillId="0" borderId="66" xfId="0" applyFont="1" applyBorder="1" applyAlignment="1">
      <alignment horizontal="center"/>
    </xf>
    <xf numFmtId="0" fontId="27" fillId="0" borderId="66" xfId="0" applyFont="1" applyBorder="1"/>
    <xf numFmtId="0" fontId="27" fillId="0" borderId="67" xfId="0" applyFont="1" applyBorder="1"/>
    <xf numFmtId="0" fontId="26" fillId="0" borderId="69" xfId="0" applyFont="1" applyBorder="1" applyAlignment="1">
      <alignment horizontal="center"/>
    </xf>
    <xf numFmtId="0" fontId="27" fillId="0" borderId="62" xfId="0" applyFont="1" applyBorder="1"/>
    <xf numFmtId="0" fontId="26" fillId="0" borderId="90" xfId="0" applyFont="1" applyBorder="1" applyAlignment="1">
      <alignment horizontal="center" vertical="center"/>
    </xf>
    <xf numFmtId="0" fontId="27" fillId="0" borderId="88" xfId="0" applyFont="1" applyBorder="1"/>
    <xf numFmtId="0" fontId="27" fillId="0" borderId="91" xfId="0" applyFont="1" applyBorder="1"/>
    <xf numFmtId="0" fontId="26" fillId="0" borderId="88" xfId="0" applyFont="1" applyBorder="1" applyAlignment="1">
      <alignment horizontal="center" vertical="center"/>
    </xf>
    <xf numFmtId="0" fontId="27" fillId="0" borderId="89" xfId="0" applyFont="1" applyBorder="1"/>
    <xf numFmtId="0" fontId="26" fillId="0" borderId="67" xfId="0" applyFont="1" applyBorder="1" applyAlignment="1">
      <alignment horizontal="center"/>
    </xf>
    <xf numFmtId="0" fontId="26" fillId="0" borderId="62" xfId="0" applyFont="1" applyBorder="1" applyAlignment="1">
      <alignment horizontal="center"/>
    </xf>
    <xf numFmtId="43" fontId="34" fillId="0" borderId="39" xfId="5" applyFont="1" applyFill="1" applyBorder="1"/>
    <xf numFmtId="170" fontId="25" fillId="0" borderId="1" xfId="1" applyNumberFormat="1" applyFont="1" applyBorder="1"/>
    <xf numFmtId="1" fontId="30" fillId="0" borderId="0" xfId="0" applyNumberFormat="1" applyFont="1"/>
  </cellXfs>
  <cellStyles count="17">
    <cellStyle name="Lien hypertexte" xfId="10" builtinId="8"/>
    <cellStyle name="Milliers" xfId="5" builtinId="3"/>
    <cellStyle name="Milliers 2" xfId="15" xr:uid="{00000000-0005-0000-0000-000002000000}"/>
    <cellStyle name="Monétaire" xfId="14" builtinId="4"/>
    <cellStyle name="Normal" xfId="0" builtinId="0"/>
    <cellStyle name="Normal 16 2" xfId="16"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1" xr:uid="{00000000-0005-0000-0000-00000C000000}"/>
    <cellStyle name="Normal 9" xfId="12" xr:uid="{00000000-0005-0000-0000-00000D000000}"/>
    <cellStyle name="Normal 9 2" xfId="13" xr:uid="{00000000-0005-0000-0000-00000E000000}"/>
    <cellStyle name="Pourcentage" xfId="1" builtinId="5"/>
    <cellStyle name="Pourcentage 2" xfId="4" xr:uid="{00000000-0005-0000-0000-000010000000}"/>
  </cellStyles>
  <dxfs count="711">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0"/>
      <tableStyleElement type="firstRowStripe" dxfId="709"/>
      <tableStyleElement type="secondRowStripe" dxfId="708"/>
    </tableStyle>
    <tableStyle name="Data_Validation ex-style" pivot="0" count="3" xr9:uid="{00000000-0011-0000-FFFF-FFFF01000000}">
      <tableStyleElement type="headerRow" dxfId="707"/>
      <tableStyleElement type="firstRowStripe" dxfId="706"/>
      <tableStyleElement type="secondRowStripe" dxfId="705"/>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5" Type="http://schemas.openxmlformats.org/officeDocument/2006/relationships/printerSettings" Target="../printerSettings/printerSettings9.bin"/><Relationship Id="rId4" Type="http://schemas.openxmlformats.org/officeDocument/2006/relationships/hyperlink" Target="mailto:4715@"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4" sqref="B4"/>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1994</v>
      </c>
    </row>
    <row r="2" spans="1:14">
      <c r="A2" s="1"/>
      <c r="G2" s="2" t="s">
        <v>1</v>
      </c>
      <c r="M2" s="161" t="s">
        <v>1932</v>
      </c>
      <c r="N2" s="161" t="s">
        <v>1943</v>
      </c>
    </row>
    <row r="3" spans="1:14">
      <c r="A3" s="1" t="s">
        <v>2</v>
      </c>
      <c r="B3" s="3" t="s">
        <v>1933</v>
      </c>
      <c r="C3" s="161">
        <f>+VLOOKUP(B3,$K$3:$L$14,2,0)</f>
        <v>1</v>
      </c>
      <c r="G3" s="2" t="s">
        <v>4</v>
      </c>
      <c r="K3" t="s">
        <v>1933</v>
      </c>
      <c r="L3" s="161">
        <v>1</v>
      </c>
      <c r="M3" s="161" t="str">
        <f t="shared" ref="M3:M14" si="0">+IF($K3=$B$3,"X","")</f>
        <v>X</v>
      </c>
      <c r="N3" s="161" t="str">
        <f>+IF(K3=B3,"X",IF(L3&lt;=$C$3,"X",""))</f>
        <v>X</v>
      </c>
    </row>
    <row r="4" spans="1:14">
      <c r="A4" s="1" t="s">
        <v>5</v>
      </c>
      <c r="B4" s="3">
        <v>2022</v>
      </c>
      <c r="K4" t="s">
        <v>1934</v>
      </c>
      <c r="L4" s="161">
        <v>2</v>
      </c>
      <c r="M4" s="161" t="str">
        <f t="shared" si="0"/>
        <v/>
      </c>
      <c r="N4" s="161" t="str">
        <f t="shared" ref="N4:N14" si="1">+IF(K4=B4,"X",IF(L4&lt;=$C$3,"X",""))</f>
        <v/>
      </c>
    </row>
    <row r="5" spans="1:14" ht="15" customHeight="1">
      <c r="K5" t="s">
        <v>1935</v>
      </c>
      <c r="L5" s="161">
        <v>3</v>
      </c>
      <c r="M5" s="161" t="str">
        <f t="shared" si="0"/>
        <v/>
      </c>
      <c r="N5" s="161" t="str">
        <f t="shared" si="1"/>
        <v/>
      </c>
    </row>
    <row r="6" spans="1:14">
      <c r="A6" s="955"/>
      <c r="B6" s="956"/>
      <c r="K6" t="s">
        <v>1936</v>
      </c>
      <c r="L6" s="161">
        <v>4</v>
      </c>
      <c r="M6" s="161" t="str">
        <f t="shared" si="0"/>
        <v/>
      </c>
      <c r="N6" s="161" t="str">
        <f t="shared" si="1"/>
        <v/>
      </c>
    </row>
    <row r="7" spans="1:14">
      <c r="A7" s="545"/>
      <c r="B7" s="957"/>
      <c r="K7" t="s">
        <v>1937</v>
      </c>
      <c r="L7" s="161">
        <v>5</v>
      </c>
      <c r="M7" s="161" t="str">
        <f t="shared" si="0"/>
        <v/>
      </c>
      <c r="N7" s="161" t="str">
        <f t="shared" si="1"/>
        <v/>
      </c>
    </row>
    <row r="8" spans="1:14">
      <c r="A8" s="545"/>
      <c r="B8" s="957"/>
      <c r="K8" t="s">
        <v>1916</v>
      </c>
      <c r="L8" s="161">
        <v>6</v>
      </c>
      <c r="M8" s="161" t="str">
        <f t="shared" si="0"/>
        <v/>
      </c>
      <c r="N8" s="161" t="str">
        <f t="shared" si="1"/>
        <v/>
      </c>
    </row>
    <row r="9" spans="1:14" ht="15" customHeight="1">
      <c r="A9" s="958" t="s">
        <v>2857</v>
      </c>
      <c r="K9" t="s">
        <v>1938</v>
      </c>
      <c r="L9" s="161">
        <v>7</v>
      </c>
      <c r="M9" s="161" t="str">
        <f t="shared" si="0"/>
        <v/>
      </c>
      <c r="N9" s="161" t="str">
        <f t="shared" si="1"/>
        <v/>
      </c>
    </row>
    <row r="10" spans="1:14">
      <c r="A10" s="2" t="s">
        <v>2855</v>
      </c>
      <c r="I10" s="2"/>
      <c r="K10" t="s">
        <v>1939</v>
      </c>
      <c r="L10" s="161">
        <v>8</v>
      </c>
      <c r="M10" s="161" t="str">
        <f t="shared" si="0"/>
        <v/>
      </c>
      <c r="N10" s="161" t="str">
        <f t="shared" si="1"/>
        <v/>
      </c>
    </row>
    <row r="11" spans="1:14">
      <c r="A11" s="2" t="s">
        <v>2856</v>
      </c>
      <c r="I11" s="2"/>
      <c r="K11" t="s">
        <v>3</v>
      </c>
      <c r="L11" s="161">
        <v>9</v>
      </c>
      <c r="M11" s="161" t="str">
        <f t="shared" si="0"/>
        <v/>
      </c>
      <c r="N11" s="161" t="str">
        <f t="shared" si="1"/>
        <v/>
      </c>
    </row>
    <row r="12" spans="1:14">
      <c r="A12" s="2" t="s">
        <v>2854</v>
      </c>
      <c r="I12" s="2"/>
      <c r="K12" t="s">
        <v>1940</v>
      </c>
      <c r="L12" s="161">
        <v>10</v>
      </c>
      <c r="M12" s="161" t="str">
        <f t="shared" si="0"/>
        <v/>
      </c>
      <c r="N12" s="161" t="str">
        <f t="shared" si="1"/>
        <v/>
      </c>
    </row>
    <row r="13" spans="1:14">
      <c r="A13" s="2"/>
      <c r="I13" s="2"/>
      <c r="K13" t="s">
        <v>1941</v>
      </c>
      <c r="L13" s="161">
        <v>11</v>
      </c>
      <c r="M13" s="161" t="str">
        <f t="shared" si="0"/>
        <v/>
      </c>
      <c r="N13" s="161" t="str">
        <f t="shared" si="1"/>
        <v/>
      </c>
    </row>
    <row r="14" spans="1:14">
      <c r="A14" s="2"/>
      <c r="I14" s="2"/>
      <c r="K14" t="s">
        <v>1942</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A14" sqref="A14"/>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Janvier 2022</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5353336.76</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5353336.76</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1387595</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25152.11</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-25505.260000000002</v>
      </c>
      <c r="C10" s="539"/>
      <c r="D10" s="10" t="s">
        <v>16</v>
      </c>
      <c r="E10" s="560">
        <f>-SUMIFS(BV_Data_An_Cour!$P:$P,BV_Data_An_Cour!$U:$U,$A$1,BV_Data_An_Cour!$V:$V,$D10)</f>
        <v>139297.35999999999</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58190.049999999996</v>
      </c>
      <c r="C11" s="539"/>
      <c r="D11" s="10" t="s">
        <v>18</v>
      </c>
      <c r="E11" s="560">
        <f>-SUMIFS(BV_Data_An_Cour!$P:$P,BV_Data_An_Cour!$U:$U,$A$1,BV_Data_An_Cour!$V:$V,$D11)</f>
        <v>53143.289999999979</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98577.79</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52387.19</v>
      </c>
      <c r="C13" s="539"/>
      <c r="D13" s="10" t="s">
        <v>22</v>
      </c>
      <c r="E13" s="560">
        <f>-SUMIFS(BV_Data_An_Cour!$P:$P,BV_Data_An_Cour!$U:$U,$A$1,BV_Data_An_Cour!$V:$V,$D13)</f>
        <v>15248</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16266.9</v>
      </c>
      <c r="C14" s="539"/>
      <c r="D14" s="10" t="s">
        <v>24</v>
      </c>
      <c r="E14" s="560">
        <f>-SUMIFS(BV_Data_An_Cour!$P:$P,BV_Data_An_Cour!$U:$U,$A$1,BV_Data_An_Cour!$V:$V,$D14)</f>
        <v>97332.7</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5209.41</v>
      </c>
      <c r="C15" s="539"/>
      <c r="D15" s="10" t="s">
        <v>26</v>
      </c>
      <c r="E15" s="560">
        <f>-SUMIFS(BV_Data_An_Cour!$P:$P,BV_Data_An_Cour!$U:$U,$A$1,BV_Data_An_Cour!$V:$V,$D15)</f>
        <v>432178.32999999996</v>
      </c>
      <c r="F15" s="2"/>
      <c r="G15" s="2"/>
      <c r="H15" s="2"/>
      <c r="I15" s="2"/>
      <c r="J15" s="2"/>
      <c r="K15" s="2"/>
      <c r="L15" s="2"/>
      <c r="M15" s="2"/>
      <c r="N15" s="2"/>
      <c r="O15" s="2"/>
      <c r="P15" s="2"/>
      <c r="Q15" s="2"/>
      <c r="R15" s="2"/>
      <c r="S15" s="2"/>
      <c r="T15" s="2"/>
      <c r="U15" s="2"/>
      <c r="V15" s="2"/>
      <c r="W15" s="2"/>
      <c r="X15" s="2"/>
      <c r="Y15" s="2"/>
    </row>
    <row r="16" spans="1:25">
      <c r="A16" s="9" t="s">
        <v>27</v>
      </c>
      <c r="B16" s="563">
        <f>+SUM(B8:B15)</f>
        <v>1617873.19</v>
      </c>
      <c r="C16" s="540"/>
      <c r="D16" s="9" t="s">
        <v>28</v>
      </c>
      <c r="E16" s="566">
        <f>+SUM(E10:E15)</f>
        <v>737199.67999999993</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857039.09000000008</v>
      </c>
      <c r="C18" s="539"/>
      <c r="D18" s="10" t="s">
        <v>30</v>
      </c>
      <c r="E18" s="560">
        <f>-SUMIFS(BV_Data_An_Cour!$P:$P,BV_Data_An_Cour!$U:$U,$A$1,BV_Data_An_Cour!$V:$V,$D18)</f>
        <v>1904833.65</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1922523.49</v>
      </c>
      <c r="C19" s="539"/>
      <c r="D19" s="10" t="s">
        <v>32</v>
      </c>
      <c r="E19" s="560">
        <f>-SUMIFS(BV_Data_An_Cour!$P:$P,BV_Data_An_Cour!$U:$U,$A$1,BV_Data_An_Cour!$V:$V,$D19)</f>
        <v>1001444.03</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351693.49000000005</v>
      </c>
      <c r="C20" s="539"/>
      <c r="D20" s="9" t="s">
        <v>34</v>
      </c>
      <c r="E20" s="566">
        <f>+SUM(E18:E19)</f>
        <v>2906277.6799999997</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3131256.0700000003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496633.73</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22709.229999999996</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6562.96</v>
      </c>
      <c r="C24" s="539"/>
      <c r="D24" s="10" t="s">
        <v>40</v>
      </c>
      <c r="E24" s="560">
        <f>-SUMIFS(BV_Data_An_Cour!$P:$P,BV_Data_An_Cour!$U:$U,$A$1,BV_Data_An_Cour!$V:$V,$D24)</f>
        <v>193162.73</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15114.91</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-20875.560000000001</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712505.69</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802.30999999999767</v>
      </c>
      <c r="C30" s="540"/>
      <c r="D30" s="12" t="s">
        <v>46</v>
      </c>
      <c r="E30" s="561">
        <f>+E5+E7+E16+E20+E28</f>
        <v>4371793.0499999989</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10103268.33</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45045.259999999995</v>
      </c>
      <c r="C37" s="543"/>
      <c r="D37" s="10" t="s">
        <v>54</v>
      </c>
      <c r="E37" s="560">
        <f>-SUMIFS(BV_Data_An_Cour!$P:$P,BV_Data_An_Cour!$U:$U,$A$1,BV_Data_An_Cour!$V:$V,$D37)</f>
        <v>11031.25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166507.21</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30282.789999999979</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20105.060000000012</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11031.25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261940.32999999996</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4382824.2999999989</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3184819.86</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1885540.33</v>
      </c>
      <c r="C53" s="541"/>
      <c r="D53" s="12" t="s">
        <v>72</v>
      </c>
      <c r="E53" s="561">
        <f>SUM(E48:E51)</f>
        <v>7605984.3599999994</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11988808.66</v>
      </c>
      <c r="C56" s="541"/>
      <c r="D56" s="12" t="s">
        <v>74</v>
      </c>
      <c r="E56" s="561">
        <f>+E53+E45</f>
        <v>11988808.659999998</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55" zoomScaleNormal="55" zoomScaleSheetLayoutView="55" workbookViewId="0">
      <pane xSplit="2" ySplit="1" topLeftCell="C2" activePane="bottomRight" state="frozen"/>
      <selection sqref="A1:XFD1"/>
      <selection pane="topRight" sqref="A1:XFD1"/>
      <selection pane="bottomLeft" sqref="A1:XFD1"/>
      <selection pane="bottomRight" activeCell="F508" sqref="F508"/>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74" t="str">
        <f>"Budget 2022 Mensuel Révisé"&amp;" "&amp;Parametres!$B$1</f>
        <v>Budget 2022 Mensuel Révisé Volks</v>
      </c>
      <c r="C1" s="1274"/>
      <c r="D1" s="1274"/>
      <c r="E1" s="1274"/>
      <c r="F1" s="1274"/>
      <c r="G1" s="1274"/>
      <c r="H1" s="1274"/>
      <c r="I1" s="1274"/>
      <c r="J1" s="1274"/>
      <c r="K1" s="1274"/>
      <c r="L1" s="1274"/>
      <c r="M1" s="1274"/>
      <c r="N1" s="1274"/>
      <c r="O1" s="1274"/>
      <c r="P1" s="1274"/>
      <c r="Q1" s="1274"/>
      <c r="R1" s="1274"/>
      <c r="S1" s="1274"/>
      <c r="T1" s="1274"/>
      <c r="U1" s="1274"/>
      <c r="V1" s="1274"/>
      <c r="W1" s="1274"/>
      <c r="X1" s="1274"/>
      <c r="Y1" s="1274"/>
      <c r="Z1" s="1274"/>
      <c r="AA1" s="1274"/>
      <c r="AB1" s="1274"/>
      <c r="AC1" s="1274"/>
      <c r="AD1" s="1274"/>
      <c r="AE1" s="1274"/>
      <c r="AF1" s="1274"/>
      <c r="AG1" s="1274"/>
      <c r="AH1" s="1274"/>
      <c r="AI1" s="1274"/>
      <c r="AJ1" s="1274"/>
      <c r="AK1" s="1274"/>
      <c r="AL1" s="1274"/>
      <c r="AM1" s="1274"/>
      <c r="AN1" s="1274"/>
      <c r="AO1" s="1274"/>
    </row>
    <row r="2" spans="1:219" ht="41.25" customHeight="1">
      <c r="B2" s="615" t="s">
        <v>1932</v>
      </c>
      <c r="C2" s="616"/>
      <c r="D2" s="616"/>
      <c r="E2" s="616"/>
      <c r="F2" s="616" t="str">
        <f>+IF(Parametres!$B$3=F$6,"X","")</f>
        <v>X</v>
      </c>
      <c r="G2" s="616" t="str">
        <f>+IF(Parametres!$B$3=F$6,"O","")</f>
        <v>O</v>
      </c>
      <c r="H2" s="616" t="str">
        <f>+IF(Parametres!$B$3=F$6,"U","")</f>
        <v>U</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
      </c>
      <c r="J3" s="621" t="str">
        <f>+IF(VLOOKUP(I$6,Parametres!$K$3:$N$14,4,0)="X","O","")</f>
        <v/>
      </c>
      <c r="K3" s="621" t="str">
        <f>+IF(VLOOKUP(I$6,Parametres!$K$3:$N$14,4,0)="X","U","")</f>
        <v/>
      </c>
      <c r="L3" s="621" t="str">
        <f>+IF(VLOOKUP(L$6,Parametres!$K$3:$N$14,4,0)="X","X","")</f>
        <v/>
      </c>
      <c r="M3" s="621" t="str">
        <f>+IF(VLOOKUP(L$6,Parametres!$K$3:$N$14,4,0)="X","O","")</f>
        <v/>
      </c>
      <c r="N3" s="621" t="str">
        <f>+IF(VLOOKUP(L$6,Parametres!$K$3:$N$14,4,0)="X","U","")</f>
        <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24"/>
      <c r="B4" s="1124" t="s">
        <v>3113</v>
      </c>
      <c r="C4" s="1275" t="s">
        <v>75</v>
      </c>
      <c r="D4" s="1275"/>
      <c r="E4" s="1275"/>
      <c r="F4" s="1275"/>
      <c r="G4" s="1275"/>
      <c r="H4" s="1275"/>
      <c r="I4" s="1275"/>
      <c r="J4" s="1275"/>
      <c r="K4" s="1275"/>
      <c r="L4" s="1275"/>
      <c r="M4" s="1275"/>
      <c r="N4" s="1275"/>
      <c r="O4" s="1275"/>
      <c r="P4" s="1275"/>
      <c r="Q4" s="1275"/>
      <c r="R4" s="1275"/>
      <c r="S4" s="1275"/>
      <c r="T4" s="1275"/>
      <c r="U4" s="1275"/>
      <c r="V4" s="1275"/>
      <c r="W4" s="1275"/>
      <c r="X4" s="1275"/>
      <c r="Y4" s="1275"/>
      <c r="Z4" s="1275"/>
      <c r="AA4" s="1275"/>
      <c r="AB4" s="1275"/>
      <c r="AC4" s="1275"/>
      <c r="AD4" s="1275"/>
      <c r="AE4" s="1275"/>
      <c r="AF4" s="1275"/>
      <c r="AG4" s="1275"/>
      <c r="AH4" s="1275"/>
      <c r="AI4" s="1275"/>
      <c r="AJ4" s="1275"/>
      <c r="AK4" s="1275"/>
      <c r="AL4" s="1275"/>
      <c r="AM4" s="1275"/>
      <c r="AN4" s="1275"/>
      <c r="AO4" s="127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25" t="s">
        <v>1932</v>
      </c>
      <c r="C6" s="1271">
        <v>2022</v>
      </c>
      <c r="D6" s="1272"/>
      <c r="E6" s="1273"/>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2022</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25" t="s">
        <v>1932</v>
      </c>
      <c r="C94" s="1271">
        <v>2022</v>
      </c>
      <c r="D94" s="1272"/>
      <c r="E94" s="1273"/>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2022</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25" t="s">
        <v>1932</v>
      </c>
      <c r="C172" s="1271">
        <v>2022</v>
      </c>
      <c r="D172" s="1272"/>
      <c r="E172" s="1273"/>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Budget 2022</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1125" t="s">
        <v>1932</v>
      </c>
      <c r="C240" s="1271">
        <v>2022</v>
      </c>
      <c r="D240" s="1272"/>
      <c r="E240" s="1273"/>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Budget 2022</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1125" t="s">
        <v>1932</v>
      </c>
      <c r="C295" s="1271">
        <v>2022</v>
      </c>
      <c r="D295" s="1272"/>
      <c r="E295" s="1273"/>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94">
        <f>IF(C313&lt;=0,0,E313/C313)</f>
        <v>0</v>
      </c>
      <c r="E313" s="733">
        <f>+SUM(H313,K313,N313,Q313,T313,W313,Z313,AC313,AF313,AI313,AL313,AO313)</f>
        <v>0</v>
      </c>
      <c r="F313" s="710">
        <v>0</v>
      </c>
      <c r="G313" s="1195">
        <f>IF(F313&lt;=0,0,H313/F313)</f>
        <v>0</v>
      </c>
      <c r="H313" s="720">
        <v>0</v>
      </c>
      <c r="I313" s="710">
        <v>0</v>
      </c>
      <c r="J313" s="1195">
        <f t="shared" ref="J313:J314" si="1015">IF(I313&lt;=0,0,K313/I313)</f>
        <v>0</v>
      </c>
      <c r="K313" s="720">
        <v>0</v>
      </c>
      <c r="L313" s="710">
        <v>0</v>
      </c>
      <c r="M313" s="1195">
        <f t="shared" ref="M313:M314" si="1016">IF(L313&lt;=0,0,N313/L313)</f>
        <v>0</v>
      </c>
      <c r="N313" s="720">
        <v>0</v>
      </c>
      <c r="O313" s="710">
        <v>0</v>
      </c>
      <c r="P313" s="1195">
        <f t="shared" ref="P313:P314" si="1017">IF(O313&lt;=0,0,Q313/O313)</f>
        <v>0</v>
      </c>
      <c r="Q313" s="720">
        <v>0</v>
      </c>
      <c r="R313" s="710">
        <v>0</v>
      </c>
      <c r="S313" s="1195">
        <f t="shared" ref="S313:S314" si="1018">IF(R313&lt;=0,0,T313/R313)</f>
        <v>0</v>
      </c>
      <c r="T313" s="720">
        <v>0</v>
      </c>
      <c r="U313" s="710">
        <v>0</v>
      </c>
      <c r="V313" s="1195">
        <f t="shared" ref="V313:V314" si="1019">IF(U313&lt;=0,0,W313/U313)</f>
        <v>0</v>
      </c>
      <c r="W313" s="720">
        <v>0</v>
      </c>
      <c r="X313" s="710">
        <v>0</v>
      </c>
      <c r="Y313" s="1195">
        <f t="shared" ref="Y313:Y314" si="1020">IF(X313&lt;=0,0,Z313/X313)</f>
        <v>0</v>
      </c>
      <c r="Z313" s="720">
        <v>0</v>
      </c>
      <c r="AA313" s="710">
        <v>0</v>
      </c>
      <c r="AB313" s="1195">
        <f t="shared" ref="AB313:AB314" si="1021">IF(AA313&lt;=0,0,AC313/AA313)</f>
        <v>0</v>
      </c>
      <c r="AC313" s="720">
        <v>0</v>
      </c>
      <c r="AD313" s="710">
        <v>0</v>
      </c>
      <c r="AE313" s="1195">
        <f t="shared" ref="AE313:AE314" si="1022">IF(AD313&lt;=0,0,AF313/AD313)</f>
        <v>0</v>
      </c>
      <c r="AF313" s="720">
        <v>0</v>
      </c>
      <c r="AG313" s="710">
        <v>0</v>
      </c>
      <c r="AH313" s="1195">
        <f t="shared" ref="AH313:AH314" si="1023">IF(AG313&lt;=0,0,AI313/AG313)</f>
        <v>0</v>
      </c>
      <c r="AI313" s="720">
        <v>0</v>
      </c>
      <c r="AJ313" s="710">
        <v>0</v>
      </c>
      <c r="AK313" s="1195">
        <f t="shared" ref="AK313:AK314" si="1024">IF(AJ313&lt;=0,0,AL313/AJ313)</f>
        <v>0</v>
      </c>
      <c r="AL313" s="720">
        <v>0</v>
      </c>
      <c r="AM313" s="710">
        <v>0</v>
      </c>
      <c r="AN313" s="1195">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Budget 2022</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1125" t="s">
        <v>1932</v>
      </c>
      <c r="C360" s="1271">
        <v>2022</v>
      </c>
      <c r="D360" s="1272"/>
      <c r="E360" s="1273"/>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Budget 2022</v>
      </c>
      <c r="C404" s="785" t="s">
        <v>193</v>
      </c>
      <c r="D404" s="785"/>
      <c r="E404" s="785"/>
      <c r="F404" s="785"/>
      <c r="G404" s="785"/>
      <c r="H404" s="1196"/>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97"/>
      <c r="D405" s="1197"/>
      <c r="E405" s="1197"/>
      <c r="F405" s="863"/>
      <c r="G405" s="863"/>
      <c r="H405" s="1198">
        <f>+F362+F316+G252+G196+H96+H8</f>
        <v>3013237.8887348697</v>
      </c>
      <c r="I405" s="863"/>
      <c r="J405" s="863"/>
      <c r="K405" s="1198">
        <f t="shared" ref="K405" si="1210">+I362+I316+J252+J196+K96+K8</f>
        <v>3063809.1271078121</v>
      </c>
      <c r="L405" s="863"/>
      <c r="M405" s="863"/>
      <c r="N405" s="1198">
        <f t="shared" ref="N405" si="1211">+L362+L316+M252+M196+N96+N8</f>
        <v>5036825.4105494414</v>
      </c>
      <c r="O405" s="863"/>
      <c r="P405" s="863"/>
      <c r="Q405" s="1198">
        <f t="shared" ref="Q405" si="1212">+O362+O316+P252+P196+Q96+Q8</f>
        <v>5458038.9390158504</v>
      </c>
      <c r="R405" s="863"/>
      <c r="S405" s="863"/>
      <c r="T405" s="1198">
        <f t="shared" ref="T405" si="1213">+R362+R316+S252+S196+T96+T8</f>
        <v>6023595.7978889085</v>
      </c>
      <c r="U405" s="863"/>
      <c r="V405" s="863"/>
      <c r="W405" s="1198">
        <f t="shared" ref="W405" si="1214">+U362+U316+V252+V196+W96+W8</f>
        <v>5215482.7763500381</v>
      </c>
      <c r="X405" s="863"/>
      <c r="Y405" s="863"/>
      <c r="Z405" s="1198">
        <f t="shared" ref="Z405" si="1215">+X362+X316+Y252+Y196+Z96+Z8</f>
        <v>5494518.5913875327</v>
      </c>
      <c r="AA405" s="863"/>
      <c r="AB405" s="863"/>
      <c r="AC405" s="1198">
        <f t="shared" ref="AC405" si="1216">+AA362+AA316+AB252+AB196+AC96+AC8</f>
        <v>5291083.2460958883</v>
      </c>
      <c r="AD405" s="863"/>
      <c r="AE405" s="863"/>
      <c r="AF405" s="1198">
        <f t="shared" ref="AF405" si="1217">+AD362+AD316+AE252+AE196+AF96+AF8</f>
        <v>4625273.705059493</v>
      </c>
      <c r="AG405" s="863"/>
      <c r="AH405" s="863"/>
      <c r="AI405" s="1198">
        <f t="shared" ref="AI405" si="1218">+AG362+AG316+AH252+AH196+AI96+AI8</f>
        <v>5228481.0007511191</v>
      </c>
      <c r="AJ405" s="863"/>
      <c r="AK405" s="863"/>
      <c r="AL405" s="1198">
        <f t="shared" ref="AL405" si="1219">+AJ362+AJ316+AK252+AK196+AL96+AL8</f>
        <v>4883911.9567251373</v>
      </c>
      <c r="AM405" s="863"/>
      <c r="AN405" s="863"/>
      <c r="AO405" s="1198">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271">
        <v>2022</v>
      </c>
      <c r="D406" s="1272"/>
      <c r="E406" s="1273"/>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99"/>
      <c r="E410" s="879"/>
      <c r="F410" s="878"/>
      <c r="G410" s="1199"/>
      <c r="H410" s="879"/>
      <c r="I410" s="878"/>
      <c r="J410" s="1199"/>
      <c r="K410" s="879"/>
      <c r="L410" s="878"/>
      <c r="M410" s="1199"/>
      <c r="N410" s="879"/>
      <c r="O410" s="878"/>
      <c r="P410" s="1199"/>
      <c r="Q410" s="879"/>
      <c r="R410" s="878"/>
      <c r="S410" s="1199"/>
      <c r="T410" s="879"/>
      <c r="U410" s="878"/>
      <c r="V410" s="1199"/>
      <c r="W410" s="879"/>
      <c r="X410" s="878"/>
      <c r="Y410" s="1199"/>
      <c r="Z410" s="879"/>
      <c r="AA410" s="878"/>
      <c r="AB410" s="1199"/>
      <c r="AC410" s="879"/>
      <c r="AD410" s="878"/>
      <c r="AE410" s="1199"/>
      <c r="AF410" s="879"/>
      <c r="AG410" s="878"/>
      <c r="AH410" s="1199"/>
      <c r="AI410" s="879"/>
      <c r="AJ410" s="878"/>
      <c r="AK410" s="1199"/>
      <c r="AL410" s="879"/>
      <c r="AM410" s="878"/>
      <c r="AN410" s="1199"/>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200">
        <f>IF(E411=0,0,E411/(C$16+C$99+C18+C20))</f>
        <v>578.36313325291746</v>
      </c>
      <c r="E411" s="879">
        <f t="shared" ref="E411:E420" si="1244">+SUM(H411,K411,N411,Q411,T411,W411,Z411,AC411,AF411,AI411,AL411,AO411)</f>
        <v>751872.07322879264</v>
      </c>
      <c r="F411" s="880"/>
      <c r="G411" s="1200">
        <f t="shared" ref="G411:G417" si="1245">IF(H411=0,0,H411/(F$16+F$99))</f>
        <v>690.03518112585482</v>
      </c>
      <c r="H411" s="879">
        <f t="shared" ref="H411:H420" si="1246">+SUMIF($B$4:$B$401,$B411,H$4:H$401)</f>
        <v>43144.883544682772</v>
      </c>
      <c r="I411" s="880"/>
      <c r="J411" s="1200">
        <f t="shared" ref="J411:J417" si="1247">IF(K411=0,0,K411/(I$16+I$99))</f>
        <v>679.41918632081831</v>
      </c>
      <c r="K411" s="879">
        <f t="shared" ref="K411:AO420" si="1248">+SUMIF($B$4:$B$401,$B411,K$4:K$401)</f>
        <v>43868.473216569088</v>
      </c>
      <c r="L411" s="880"/>
      <c r="M411" s="1200">
        <f t="shared" ref="M411:M417" si="1249">IF(N411=0,0,N411/(L$16+L$99))</f>
        <v>604.79628676207005</v>
      </c>
      <c r="N411" s="879">
        <f t="shared" si="1248"/>
        <v>67930.854758905232</v>
      </c>
      <c r="O411" s="880"/>
      <c r="P411" s="1200">
        <f t="shared" ref="P411:P417" si="1250">IF(Q411=0,0,Q411/(O$16+O$99))</f>
        <v>598.32002819221077</v>
      </c>
      <c r="Q411" s="879">
        <f t="shared" si="1248"/>
        <v>70834.561538141366</v>
      </c>
      <c r="R411" s="880"/>
      <c r="S411" s="1200">
        <f t="shared" ref="S411:S417" si="1251">IF(T411=0,0,T411/(R$16+R$99))</f>
        <v>592.20314527558082</v>
      </c>
      <c r="T411" s="879">
        <f t="shared" si="1248"/>
        <v>78257.70950617356</v>
      </c>
      <c r="U411" s="880"/>
      <c r="V411" s="1200">
        <f t="shared" ref="V411:V417" si="1252">IF(W411=0,0,W411/(U$16+U$99))</f>
        <v>596.91497446734923</v>
      </c>
      <c r="W411" s="879">
        <f t="shared" si="1248"/>
        <v>68407.517380264457</v>
      </c>
      <c r="X411" s="880"/>
      <c r="Y411" s="1200">
        <f t="shared" ref="Y411:Y417" si="1253">IF(Z411=0,0,Z411/(X$16+X$99))</f>
        <v>596.10741315198209</v>
      </c>
      <c r="Z411" s="879">
        <f t="shared" si="1248"/>
        <v>72864.282132539403</v>
      </c>
      <c r="AA411" s="880"/>
      <c r="AB411" s="1200">
        <f t="shared" ref="AB411:AB417" si="1254">IF(AC411=0,0,AC411/(AA$16+AA$99))</f>
        <v>606.91926758612487</v>
      </c>
      <c r="AC411" s="879">
        <f t="shared" si="1248"/>
        <v>70467.898916782142</v>
      </c>
      <c r="AD411" s="880"/>
      <c r="AE411" s="1200">
        <f t="shared" ref="AE411:AE417" si="1255">IF(AF411=0,0,AF411/(AD$16+AD$99))</f>
        <v>626.09573192565244</v>
      </c>
      <c r="AF411" s="879">
        <f t="shared" si="1248"/>
        <v>62766.613440309797</v>
      </c>
      <c r="AG411" s="880"/>
      <c r="AH411" s="1200">
        <f t="shared" ref="AH411:AH417" si="1256">IF(AI411=0,0,AI411/(AG$16+AG$99))</f>
        <v>607.49116390434085</v>
      </c>
      <c r="AI411" s="879">
        <f t="shared" si="1248"/>
        <v>67103.918799905194</v>
      </c>
      <c r="AJ411" s="880"/>
      <c r="AK411" s="1200">
        <f t="shared" ref="AK411:AK417" si="1257">IF(AL411=0,0,AL411/(AJ$16+AJ$99))</f>
        <v>628.31344977384799</v>
      </c>
      <c r="AL411" s="879">
        <f t="shared" si="1248"/>
        <v>61290.224156591386</v>
      </c>
      <c r="AM411" s="880"/>
      <c r="AN411" s="1200">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200">
        <f t="shared" si="1259"/>
        <v>139.66430648945789</v>
      </c>
      <c r="E413" s="879">
        <f t="shared" si="1244"/>
        <v>170111.12530415971</v>
      </c>
      <c r="F413" s="880"/>
      <c r="G413" s="1200">
        <f t="shared" si="1245"/>
        <v>133.74939886524507</v>
      </c>
      <c r="H413" s="879">
        <f t="shared" si="1246"/>
        <v>8362.7652561092109</v>
      </c>
      <c r="I413" s="880"/>
      <c r="J413" s="1200">
        <f t="shared" si="1247"/>
        <v>133.31490312543232</v>
      </c>
      <c r="K413" s="879">
        <f t="shared" si="1248"/>
        <v>8607.824705094481</v>
      </c>
      <c r="L413" s="880"/>
      <c r="M413" s="1200">
        <f t="shared" si="1249"/>
        <v>137.34610341481047</v>
      </c>
      <c r="N413" s="879">
        <f t="shared" si="1248"/>
        <v>15426.74518179301</v>
      </c>
      <c r="O413" s="880"/>
      <c r="P413" s="1200">
        <f t="shared" si="1250"/>
        <v>140.81102677594785</v>
      </c>
      <c r="Q413" s="879">
        <f t="shared" si="1248"/>
        <v>16670.488821085397</v>
      </c>
      <c r="R413" s="880"/>
      <c r="S413" s="1200">
        <f t="shared" si="1251"/>
        <v>144.27932898180427</v>
      </c>
      <c r="T413" s="879">
        <f t="shared" si="1248"/>
        <v>19066.041619805063</v>
      </c>
      <c r="U413" s="880"/>
      <c r="V413" s="1200">
        <f t="shared" si="1252"/>
        <v>136.00154572624527</v>
      </c>
      <c r="W413" s="879">
        <f t="shared" si="1248"/>
        <v>15586.018949035179</v>
      </c>
      <c r="X413" s="880"/>
      <c r="Y413" s="1200">
        <f t="shared" si="1253"/>
        <v>141.09386184099409</v>
      </c>
      <c r="Z413" s="879">
        <f t="shared" si="1248"/>
        <v>17246.393400799036</v>
      </c>
      <c r="AA413" s="880"/>
      <c r="AB413" s="1200">
        <f t="shared" si="1254"/>
        <v>142.20623434891436</v>
      </c>
      <c r="AC413" s="879">
        <f t="shared" si="1248"/>
        <v>16511.215053843229</v>
      </c>
      <c r="AD413" s="880"/>
      <c r="AE413" s="1200">
        <f t="shared" si="1255"/>
        <v>143.43191836625221</v>
      </c>
      <c r="AF413" s="879">
        <f t="shared" si="1248"/>
        <v>14379.168098474882</v>
      </c>
      <c r="AG413" s="880"/>
      <c r="AH413" s="1200">
        <f t="shared" si="1256"/>
        <v>141.26708220774063</v>
      </c>
      <c r="AI413" s="879">
        <f t="shared" si="1248"/>
        <v>15604.465343401225</v>
      </c>
      <c r="AJ413" s="880"/>
      <c r="AK413" s="1200">
        <f t="shared" si="1257"/>
        <v>142.31980980199268</v>
      </c>
      <c r="AL413" s="879">
        <f t="shared" si="1248"/>
        <v>13882.900402382329</v>
      </c>
      <c r="AM413" s="880"/>
      <c r="AN413" s="1200">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200">
        <f t="shared" si="1259"/>
        <v>17.870615499367979</v>
      </c>
      <c r="E414" s="879">
        <f t="shared" si="1244"/>
        <v>21766.409678230197</v>
      </c>
      <c r="F414" s="880"/>
      <c r="G414" s="1200">
        <f t="shared" si="1245"/>
        <v>19.194952770972929</v>
      </c>
      <c r="H414" s="879">
        <f t="shared" si="1246"/>
        <v>1200.1764904190659</v>
      </c>
      <c r="I414" s="880"/>
      <c r="J414" s="1200">
        <f t="shared" si="1247"/>
        <v>19.292235592471631</v>
      </c>
      <c r="K414" s="879">
        <f t="shared" si="1248"/>
        <v>1245.6535485243921</v>
      </c>
      <c r="L414" s="880"/>
      <c r="M414" s="1200">
        <f t="shared" si="1249"/>
        <v>18.389657034748399</v>
      </c>
      <c r="N414" s="879">
        <f t="shared" si="1248"/>
        <v>2065.5304082331854</v>
      </c>
      <c r="O414" s="880"/>
      <c r="P414" s="1200">
        <f t="shared" si="1250"/>
        <v>17.61386687166539</v>
      </c>
      <c r="Q414" s="879">
        <f t="shared" si="1248"/>
        <v>2085.2896076626012</v>
      </c>
      <c r="R414" s="880"/>
      <c r="S414" s="1200">
        <f t="shared" si="1251"/>
        <v>16.837320191273808</v>
      </c>
      <c r="T414" s="879">
        <f t="shared" si="1248"/>
        <v>2224.9968155403326</v>
      </c>
      <c r="U414" s="880"/>
      <c r="V414" s="1200">
        <f t="shared" si="1252"/>
        <v>18.690701104059087</v>
      </c>
      <c r="W414" s="879">
        <f t="shared" si="1248"/>
        <v>2141.9875783250059</v>
      </c>
      <c r="X414" s="880"/>
      <c r="Y414" s="1200">
        <f t="shared" si="1253"/>
        <v>17.550540604857062</v>
      </c>
      <c r="Z414" s="879">
        <f t="shared" si="1248"/>
        <v>2145.263611886759</v>
      </c>
      <c r="AA414" s="880"/>
      <c r="AB414" s="1200">
        <f t="shared" si="1254"/>
        <v>17.301482383538922</v>
      </c>
      <c r="AC414" s="879">
        <f t="shared" si="1248"/>
        <v>2008.8324375707803</v>
      </c>
      <c r="AD414" s="880"/>
      <c r="AE414" s="1200">
        <f t="shared" si="1255"/>
        <v>17.027053917280842</v>
      </c>
      <c r="AF414" s="879">
        <f t="shared" si="1248"/>
        <v>1706.97619670116</v>
      </c>
      <c r="AG414" s="880"/>
      <c r="AH414" s="1200">
        <f t="shared" si="1256"/>
        <v>17.511756873570288</v>
      </c>
      <c r="AI414" s="879">
        <f t="shared" si="1248"/>
        <v>1934.3614872277908</v>
      </c>
      <c r="AJ414" s="880"/>
      <c r="AK414" s="1200">
        <f t="shared" si="1257"/>
        <v>17.276053042083909</v>
      </c>
      <c r="AL414" s="879">
        <f t="shared" si="1248"/>
        <v>1685.2307775229124</v>
      </c>
      <c r="AM414" s="880"/>
      <c r="AN414" s="1200">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200">
        <f t="shared" si="1259"/>
        <v>148.0886699507389</v>
      </c>
      <c r="E416" s="879">
        <f t="shared" si="1244"/>
        <v>180372</v>
      </c>
      <c r="F416" s="880"/>
      <c r="G416" s="1200">
        <f t="shared" si="1245"/>
        <v>139.16965975444671</v>
      </c>
      <c r="H416" s="879">
        <f t="shared" si="1246"/>
        <v>8701.6704760790744</v>
      </c>
      <c r="I416" s="880"/>
      <c r="J416" s="1200">
        <f t="shared" si="1247"/>
        <v>138.51448943229795</v>
      </c>
      <c r="K416" s="879">
        <f t="shared" si="1248"/>
        <v>8943.5495672008437</v>
      </c>
      <c r="L416" s="880"/>
      <c r="M416" s="1200">
        <f t="shared" si="1249"/>
        <v>144.59308250061235</v>
      </c>
      <c r="N416" s="879">
        <f t="shared" si="1248"/>
        <v>16240.727500292433</v>
      </c>
      <c r="O416" s="880"/>
      <c r="P416" s="1200">
        <f t="shared" si="1250"/>
        <v>149.81779415305652</v>
      </c>
      <c r="Q416" s="879">
        <f t="shared" si="1248"/>
        <v>17736.791782664637</v>
      </c>
      <c r="R416" s="880"/>
      <c r="S416" s="1200">
        <f t="shared" si="1251"/>
        <v>155.04760072031854</v>
      </c>
      <c r="T416" s="879">
        <f t="shared" si="1248"/>
        <v>20489.033524388815</v>
      </c>
      <c r="U416" s="880"/>
      <c r="V416" s="1200">
        <f t="shared" si="1252"/>
        <v>142.5656419223815</v>
      </c>
      <c r="W416" s="879">
        <f t="shared" si="1248"/>
        <v>16338.276043981754</v>
      </c>
      <c r="X416" s="880"/>
      <c r="Y416" s="1200">
        <f t="shared" si="1253"/>
        <v>150.24427736958049</v>
      </c>
      <c r="Z416" s="879">
        <f t="shared" si="1248"/>
        <v>18364.880512340624</v>
      </c>
      <c r="AA416" s="880"/>
      <c r="AB416" s="1200">
        <f t="shared" si="1254"/>
        <v>151.92160901540421</v>
      </c>
      <c r="AC416" s="879">
        <f t="shared" si="1248"/>
        <v>17639.243238975316</v>
      </c>
      <c r="AD416" s="880"/>
      <c r="AE416" s="1200">
        <f t="shared" si="1255"/>
        <v>153.76980157268414</v>
      </c>
      <c r="AF416" s="879">
        <f t="shared" si="1248"/>
        <v>15415.549415136273</v>
      </c>
      <c r="AG416" s="880"/>
      <c r="AH416" s="1200">
        <f t="shared" si="1256"/>
        <v>150.50547404675149</v>
      </c>
      <c r="AI416" s="879">
        <f t="shared" si="1248"/>
        <v>16624.944870745116</v>
      </c>
      <c r="AJ416" s="880"/>
      <c r="AK416" s="1200">
        <f t="shared" si="1257"/>
        <v>152.09286792398078</v>
      </c>
      <c r="AL416" s="879">
        <f t="shared" si="1248"/>
        <v>14836.234957304947</v>
      </c>
      <c r="AM416" s="880"/>
      <c r="AN416" s="1200">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200">
        <f t="shared" si="1259"/>
        <v>76.931076160343892</v>
      </c>
      <c r="E417" s="879">
        <f t="shared" si="1244"/>
        <v>93702.050763298859</v>
      </c>
      <c r="F417" s="880"/>
      <c r="G417" s="1200">
        <f t="shared" si="1245"/>
        <v>100.98923703843231</v>
      </c>
      <c r="H417" s="879">
        <f t="shared" si="1246"/>
        <v>6314.4155406401314</v>
      </c>
      <c r="I417" s="880"/>
      <c r="J417" s="1200">
        <f t="shared" si="1247"/>
        <v>112.15503118991158</v>
      </c>
      <c r="K417" s="879">
        <f t="shared" si="1248"/>
        <v>7241.5823410893117</v>
      </c>
      <c r="L417" s="880"/>
      <c r="M417" s="1200">
        <f t="shared" si="1249"/>
        <v>73.552727457011827</v>
      </c>
      <c r="N417" s="879">
        <f t="shared" si="1248"/>
        <v>8261.4588670073299</v>
      </c>
      <c r="O417" s="880"/>
      <c r="P417" s="1200">
        <f t="shared" si="1250"/>
        <v>76.630654361470832</v>
      </c>
      <c r="Q417" s="879">
        <f t="shared" si="1248"/>
        <v>9072.2331633730064</v>
      </c>
      <c r="R417" s="880"/>
      <c r="S417" s="1200">
        <f t="shared" si="1251"/>
        <v>67.093247494206267</v>
      </c>
      <c r="T417" s="879">
        <f t="shared" si="1248"/>
        <v>8866.153302485518</v>
      </c>
      <c r="U417" s="880"/>
      <c r="V417" s="1200">
        <f t="shared" si="1252"/>
        <v>69.000053298476843</v>
      </c>
      <c r="W417" s="879">
        <f t="shared" si="1248"/>
        <v>7907.5287891155349</v>
      </c>
      <c r="X417" s="880"/>
      <c r="Y417" s="1200">
        <f t="shared" si="1253"/>
        <v>66.332859902788286</v>
      </c>
      <c r="Z417" s="879">
        <f t="shared" si="1248"/>
        <v>8108.0961450527884</v>
      </c>
      <c r="AA417" s="880"/>
      <c r="AB417" s="1200">
        <f t="shared" si="1254"/>
        <v>73.821579645014324</v>
      </c>
      <c r="AC417" s="879">
        <f t="shared" si="1248"/>
        <v>8571.2414980528774</v>
      </c>
      <c r="AD417" s="880"/>
      <c r="AE417" s="1200">
        <f t="shared" si="1255"/>
        <v>91.303248923389674</v>
      </c>
      <c r="AF417" s="879">
        <f t="shared" si="1248"/>
        <v>9153.2259985112014</v>
      </c>
      <c r="AG417" s="880"/>
      <c r="AH417" s="1200">
        <f t="shared" si="1256"/>
        <v>74.329748569785579</v>
      </c>
      <c r="AI417" s="879">
        <f t="shared" si="1248"/>
        <v>8210.5184549312598</v>
      </c>
      <c r="AJ417" s="880"/>
      <c r="AK417" s="1200">
        <f t="shared" si="1257"/>
        <v>63.022566358858178</v>
      </c>
      <c r="AL417" s="879">
        <f t="shared" si="1248"/>
        <v>6147.6755279524614</v>
      </c>
      <c r="AM417" s="880"/>
      <c r="AN417" s="1200">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200"/>
      <c r="E418" s="879">
        <f t="shared" si="1244"/>
        <v>0</v>
      </c>
      <c r="F418" s="880"/>
      <c r="G418" s="1200"/>
      <c r="H418" s="879">
        <f t="shared" si="1246"/>
        <v>0</v>
      </c>
      <c r="I418" s="880"/>
      <c r="J418" s="1200"/>
      <c r="K418" s="879">
        <f t="shared" si="1248"/>
        <v>0</v>
      </c>
      <c r="L418" s="880"/>
      <c r="M418" s="1200"/>
      <c r="N418" s="879">
        <f t="shared" si="1248"/>
        <v>0</v>
      </c>
      <c r="O418" s="880"/>
      <c r="P418" s="1200"/>
      <c r="Q418" s="879">
        <f t="shared" si="1248"/>
        <v>0</v>
      </c>
      <c r="R418" s="880"/>
      <c r="S418" s="1200"/>
      <c r="T418" s="879">
        <f t="shared" si="1248"/>
        <v>0</v>
      </c>
      <c r="U418" s="880"/>
      <c r="V418" s="1200"/>
      <c r="W418" s="879">
        <f t="shared" si="1248"/>
        <v>0</v>
      </c>
      <c r="X418" s="880"/>
      <c r="Y418" s="1200"/>
      <c r="Z418" s="879">
        <f t="shared" si="1248"/>
        <v>0</v>
      </c>
      <c r="AA418" s="880"/>
      <c r="AB418" s="1200"/>
      <c r="AC418" s="879">
        <f t="shared" si="1248"/>
        <v>0</v>
      </c>
      <c r="AD418" s="880"/>
      <c r="AE418" s="1200"/>
      <c r="AF418" s="879">
        <f t="shared" si="1248"/>
        <v>0</v>
      </c>
      <c r="AG418" s="880"/>
      <c r="AH418" s="1200"/>
      <c r="AI418" s="879">
        <f t="shared" si="1248"/>
        <v>0</v>
      </c>
      <c r="AJ418" s="880"/>
      <c r="AK418" s="1200"/>
      <c r="AL418" s="879">
        <f t="shared" si="1248"/>
        <v>0</v>
      </c>
      <c r="AM418" s="880"/>
      <c r="AN418" s="1200"/>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200"/>
      <c r="E419" s="879">
        <f t="shared" si="1244"/>
        <v>0</v>
      </c>
      <c r="F419" s="880"/>
      <c r="G419" s="1200"/>
      <c r="H419" s="879">
        <f t="shared" si="1246"/>
        <v>0</v>
      </c>
      <c r="I419" s="880"/>
      <c r="J419" s="1200"/>
      <c r="K419" s="879">
        <f t="shared" si="1248"/>
        <v>0</v>
      </c>
      <c r="L419" s="880"/>
      <c r="M419" s="1200"/>
      <c r="N419" s="879">
        <f t="shared" si="1248"/>
        <v>0</v>
      </c>
      <c r="O419" s="880"/>
      <c r="P419" s="1200"/>
      <c r="Q419" s="879">
        <f t="shared" si="1248"/>
        <v>0</v>
      </c>
      <c r="R419" s="880"/>
      <c r="S419" s="1200"/>
      <c r="T419" s="879">
        <f t="shared" si="1248"/>
        <v>0</v>
      </c>
      <c r="U419" s="880"/>
      <c r="V419" s="1200"/>
      <c r="W419" s="879">
        <f t="shared" si="1248"/>
        <v>0</v>
      </c>
      <c r="X419" s="880"/>
      <c r="Y419" s="1200"/>
      <c r="Z419" s="879">
        <f t="shared" si="1248"/>
        <v>0</v>
      </c>
      <c r="AA419" s="880"/>
      <c r="AB419" s="1200"/>
      <c r="AC419" s="879">
        <f t="shared" si="1248"/>
        <v>0</v>
      </c>
      <c r="AD419" s="880"/>
      <c r="AE419" s="1200"/>
      <c r="AF419" s="879">
        <f t="shared" si="1248"/>
        <v>0</v>
      </c>
      <c r="AG419" s="880"/>
      <c r="AH419" s="1200"/>
      <c r="AI419" s="879">
        <f t="shared" si="1248"/>
        <v>0</v>
      </c>
      <c r="AJ419" s="880"/>
      <c r="AK419" s="1200"/>
      <c r="AL419" s="879">
        <f t="shared" si="1248"/>
        <v>0</v>
      </c>
      <c r="AM419" s="880"/>
      <c r="AN419" s="1200"/>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200"/>
      <c r="E420" s="879">
        <f t="shared" si="1244"/>
        <v>0</v>
      </c>
      <c r="F420" s="880"/>
      <c r="G420" s="1200"/>
      <c r="H420" s="879">
        <f t="shared" si="1246"/>
        <v>0</v>
      </c>
      <c r="I420" s="880"/>
      <c r="J420" s="1200"/>
      <c r="K420" s="879">
        <f t="shared" si="1248"/>
        <v>0</v>
      </c>
      <c r="L420" s="880"/>
      <c r="M420" s="1200"/>
      <c r="N420" s="879">
        <f t="shared" si="1248"/>
        <v>0</v>
      </c>
      <c r="O420" s="880"/>
      <c r="P420" s="1200"/>
      <c r="Q420" s="879">
        <f t="shared" si="1248"/>
        <v>0</v>
      </c>
      <c r="R420" s="880"/>
      <c r="S420" s="1200"/>
      <c r="T420" s="879">
        <f t="shared" si="1248"/>
        <v>0</v>
      </c>
      <c r="U420" s="880"/>
      <c r="V420" s="1200"/>
      <c r="W420" s="879">
        <f t="shared" si="1248"/>
        <v>0</v>
      </c>
      <c r="X420" s="880"/>
      <c r="Y420" s="1200"/>
      <c r="Z420" s="879">
        <f t="shared" si="1248"/>
        <v>0</v>
      </c>
      <c r="AA420" s="880"/>
      <c r="AB420" s="1200"/>
      <c r="AC420" s="879">
        <f t="shared" si="1248"/>
        <v>0</v>
      </c>
      <c r="AD420" s="880"/>
      <c r="AE420" s="1200"/>
      <c r="AF420" s="879">
        <f t="shared" si="1248"/>
        <v>0</v>
      </c>
      <c r="AG420" s="880"/>
      <c r="AH420" s="1200"/>
      <c r="AI420" s="879">
        <f t="shared" si="1248"/>
        <v>0</v>
      </c>
      <c r="AJ420" s="880"/>
      <c r="AK420" s="1200"/>
      <c r="AL420" s="879">
        <f t="shared" si="1248"/>
        <v>0</v>
      </c>
      <c r="AM420" s="880"/>
      <c r="AN420" s="1200"/>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200"/>
      <c r="E422" s="879">
        <f t="shared" ref="E422:E434" si="1282">+SUM(H422,K422,N422,Q422,T422,W422,Z422,AC422,AF422,AI422,AL422,AO422)</f>
        <v>184609.07536000002</v>
      </c>
      <c r="F422" s="880"/>
      <c r="G422" s="1200"/>
      <c r="H422" s="890">
        <v>15043.715813333336</v>
      </c>
      <c r="I422" s="880"/>
      <c r="J422" s="1200"/>
      <c r="K422" s="890">
        <v>14589.884080000002</v>
      </c>
      <c r="L422" s="880"/>
      <c r="M422" s="1200"/>
      <c r="N422" s="890">
        <v>15951.379280000001</v>
      </c>
      <c r="O422" s="880"/>
      <c r="P422" s="1200"/>
      <c r="Q422" s="890">
        <v>15043.715813333336</v>
      </c>
      <c r="R422" s="880"/>
      <c r="S422" s="1200"/>
      <c r="T422" s="890">
        <v>15497.547546666668</v>
      </c>
      <c r="U422" s="880"/>
      <c r="V422" s="1200"/>
      <c r="W422" s="890">
        <v>15497.547546666668</v>
      </c>
      <c r="X422" s="880"/>
      <c r="Y422" s="1200"/>
      <c r="Z422" s="890">
        <v>15497.547546666668</v>
      </c>
      <c r="AA422" s="880"/>
      <c r="AB422" s="1200"/>
      <c r="AC422" s="890">
        <v>15497.547546666668</v>
      </c>
      <c r="AD422" s="880"/>
      <c r="AE422" s="1200"/>
      <c r="AF422" s="890">
        <v>15497.547546666668</v>
      </c>
      <c r="AG422" s="880"/>
      <c r="AH422" s="1200"/>
      <c r="AI422" s="890">
        <v>15043.715813333336</v>
      </c>
      <c r="AJ422" s="880"/>
      <c r="AK422" s="1200"/>
      <c r="AL422" s="890">
        <v>15497.547546666668</v>
      </c>
      <c r="AM422" s="880"/>
      <c r="AN422" s="1200"/>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200"/>
      <c r="E423" s="879">
        <f t="shared" si="1282"/>
        <v>457988.99999999994</v>
      </c>
      <c r="F423" s="880"/>
      <c r="G423" s="1200"/>
      <c r="H423" s="879">
        <v>37259.747126436778</v>
      </c>
      <c r="I423" s="880"/>
      <c r="J423" s="1200"/>
      <c r="K423" s="879">
        <v>36051.743295019158</v>
      </c>
      <c r="L423" s="880"/>
      <c r="M423" s="1200"/>
      <c r="N423" s="879">
        <v>39675.754789272032</v>
      </c>
      <c r="O423" s="880"/>
      <c r="P423" s="1200"/>
      <c r="Q423" s="879">
        <v>37259.747126436778</v>
      </c>
      <c r="R423" s="880"/>
      <c r="S423" s="1200"/>
      <c r="T423" s="879">
        <v>38467.750957854405</v>
      </c>
      <c r="U423" s="880"/>
      <c r="V423" s="1200"/>
      <c r="W423" s="879">
        <v>38467.750957854405</v>
      </c>
      <c r="X423" s="880"/>
      <c r="Y423" s="1200"/>
      <c r="Z423" s="879">
        <v>38467.750957854405</v>
      </c>
      <c r="AA423" s="880"/>
      <c r="AB423" s="1200"/>
      <c r="AC423" s="879">
        <v>38467.750957854405</v>
      </c>
      <c r="AD423" s="880"/>
      <c r="AE423" s="1200"/>
      <c r="AF423" s="879">
        <v>38467.750957854405</v>
      </c>
      <c r="AG423" s="880"/>
      <c r="AH423" s="1200"/>
      <c r="AI423" s="879">
        <v>37259.747126436778</v>
      </c>
      <c r="AJ423" s="880"/>
      <c r="AK423" s="1200"/>
      <c r="AL423" s="879">
        <v>38467.750957854405</v>
      </c>
      <c r="AM423" s="880"/>
      <c r="AN423" s="1200"/>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200"/>
      <c r="E425" s="879">
        <f t="shared" si="1282"/>
        <v>675464.17135999992</v>
      </c>
      <c r="F425" s="880"/>
      <c r="G425" s="1200"/>
      <c r="H425" s="879">
        <v>54420.077005977015</v>
      </c>
      <c r="I425" s="880"/>
      <c r="J425" s="1200"/>
      <c r="K425" s="879">
        <v>51928.605085057468</v>
      </c>
      <c r="L425" s="880"/>
      <c r="M425" s="1200"/>
      <c r="N425" s="879">
        <v>59403.020847816086</v>
      </c>
      <c r="O425" s="880"/>
      <c r="P425" s="1200"/>
      <c r="Q425" s="879">
        <v>54420.077005977015</v>
      </c>
      <c r="R425" s="880"/>
      <c r="S425" s="1200"/>
      <c r="T425" s="879">
        <v>56911.548926896547</v>
      </c>
      <c r="U425" s="880"/>
      <c r="V425" s="1200"/>
      <c r="W425" s="879">
        <v>56911.548926896547</v>
      </c>
      <c r="X425" s="880"/>
      <c r="Y425" s="1200"/>
      <c r="Z425" s="879">
        <v>56911.548926896547</v>
      </c>
      <c r="AA425" s="880"/>
      <c r="AB425" s="1200"/>
      <c r="AC425" s="879">
        <v>56911.548926896547</v>
      </c>
      <c r="AD425" s="880"/>
      <c r="AE425" s="1200"/>
      <c r="AF425" s="879">
        <v>56911.548926896547</v>
      </c>
      <c r="AG425" s="880"/>
      <c r="AH425" s="1200"/>
      <c r="AI425" s="879">
        <v>54420.077005977015</v>
      </c>
      <c r="AJ425" s="880"/>
      <c r="AK425" s="1200"/>
      <c r="AL425" s="879">
        <v>56911.548926896547</v>
      </c>
      <c r="AM425" s="880"/>
      <c r="AN425" s="1200"/>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200"/>
      <c r="E426" s="879">
        <f t="shared" si="1282"/>
        <v>406556.64223627653</v>
      </c>
      <c r="F426" s="880"/>
      <c r="G426" s="1200"/>
      <c r="H426" s="879">
        <v>28269.988941915435</v>
      </c>
      <c r="I426" s="880"/>
      <c r="J426" s="1200"/>
      <c r="K426" s="879">
        <v>27365.953079306841</v>
      </c>
      <c r="L426" s="880"/>
      <c r="M426" s="1200"/>
      <c r="N426" s="879">
        <v>32854.503329004117</v>
      </c>
      <c r="O426" s="880"/>
      <c r="P426" s="1200"/>
      <c r="Q426" s="879">
        <v>39931.429587516213</v>
      </c>
      <c r="R426" s="880"/>
      <c r="S426" s="1200"/>
      <c r="T426" s="879">
        <v>36866.512348284632</v>
      </c>
      <c r="U426" s="880"/>
      <c r="V426" s="1200"/>
      <c r="W426" s="879">
        <v>32276.157801321722</v>
      </c>
      <c r="X426" s="880"/>
      <c r="Y426" s="1200"/>
      <c r="Z426" s="879">
        <v>31473.660258041866</v>
      </c>
      <c r="AA426" s="880"/>
      <c r="AB426" s="1200"/>
      <c r="AC426" s="879">
        <v>31383.738445112467</v>
      </c>
      <c r="AD426" s="880"/>
      <c r="AE426" s="1200"/>
      <c r="AF426" s="879">
        <v>29995.648333885685</v>
      </c>
      <c r="AG426" s="880"/>
      <c r="AH426" s="1200"/>
      <c r="AI426" s="879">
        <v>35996.825580752877</v>
      </c>
      <c r="AJ426" s="880"/>
      <c r="AK426" s="1200"/>
      <c r="AL426" s="879">
        <v>47596.913203579163</v>
      </c>
      <c r="AM426" s="880"/>
      <c r="AN426" s="1200"/>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200"/>
      <c r="E427" s="879">
        <f t="shared" si="1282"/>
        <v>0</v>
      </c>
      <c r="F427" s="880"/>
      <c r="G427" s="1200"/>
      <c r="H427" s="879">
        <v>0</v>
      </c>
      <c r="I427" s="880"/>
      <c r="J427" s="1200"/>
      <c r="K427" s="879">
        <v>0</v>
      </c>
      <c r="L427" s="880"/>
      <c r="M427" s="1200"/>
      <c r="N427" s="879">
        <v>0</v>
      </c>
      <c r="O427" s="880"/>
      <c r="P427" s="1200"/>
      <c r="Q427" s="879">
        <v>0</v>
      </c>
      <c r="R427" s="880"/>
      <c r="S427" s="1200"/>
      <c r="T427" s="879">
        <v>0</v>
      </c>
      <c r="U427" s="880"/>
      <c r="V427" s="1200"/>
      <c r="W427" s="879">
        <v>0</v>
      </c>
      <c r="X427" s="880"/>
      <c r="Y427" s="1200"/>
      <c r="Z427" s="879">
        <v>0</v>
      </c>
      <c r="AA427" s="880"/>
      <c r="AB427" s="1200"/>
      <c r="AC427" s="879">
        <v>0</v>
      </c>
      <c r="AD427" s="880"/>
      <c r="AE427" s="1200"/>
      <c r="AF427" s="879">
        <v>0</v>
      </c>
      <c r="AG427" s="880"/>
      <c r="AH427" s="1200"/>
      <c r="AI427" s="879">
        <v>0</v>
      </c>
      <c r="AJ427" s="880"/>
      <c r="AK427" s="1200"/>
      <c r="AL427" s="879">
        <v>0</v>
      </c>
      <c r="AM427" s="880"/>
      <c r="AN427" s="1200"/>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200"/>
      <c r="E428" s="879">
        <f t="shared" si="1282"/>
        <v>0</v>
      </c>
      <c r="F428" s="880"/>
      <c r="G428" s="1200"/>
      <c r="H428" s="879">
        <v>0</v>
      </c>
      <c r="I428" s="880"/>
      <c r="J428" s="1200"/>
      <c r="K428" s="879">
        <v>0</v>
      </c>
      <c r="L428" s="880"/>
      <c r="M428" s="1200"/>
      <c r="N428" s="879">
        <v>0</v>
      </c>
      <c r="O428" s="880"/>
      <c r="P428" s="1200"/>
      <c r="Q428" s="879">
        <v>0</v>
      </c>
      <c r="R428" s="880"/>
      <c r="S428" s="1200"/>
      <c r="T428" s="879">
        <v>0</v>
      </c>
      <c r="U428" s="880"/>
      <c r="V428" s="1200"/>
      <c r="W428" s="879">
        <v>0</v>
      </c>
      <c r="X428" s="880"/>
      <c r="Y428" s="1200"/>
      <c r="Z428" s="879">
        <v>0</v>
      </c>
      <c r="AA428" s="880"/>
      <c r="AB428" s="1200"/>
      <c r="AC428" s="879">
        <v>0</v>
      </c>
      <c r="AD428" s="880"/>
      <c r="AE428" s="1200"/>
      <c r="AF428" s="879">
        <v>0</v>
      </c>
      <c r="AG428" s="880"/>
      <c r="AH428" s="1200"/>
      <c r="AI428" s="879">
        <v>0</v>
      </c>
      <c r="AJ428" s="880"/>
      <c r="AK428" s="1200"/>
      <c r="AL428" s="879">
        <v>0</v>
      </c>
      <c r="AM428" s="880"/>
      <c r="AN428" s="1200"/>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200"/>
      <c r="E429" s="879">
        <f t="shared" si="1282"/>
        <v>0</v>
      </c>
      <c r="F429" s="880"/>
      <c r="G429" s="1200"/>
      <c r="H429" s="879">
        <v>0</v>
      </c>
      <c r="I429" s="880"/>
      <c r="J429" s="1200"/>
      <c r="K429" s="879">
        <v>0</v>
      </c>
      <c r="L429" s="880"/>
      <c r="M429" s="1200"/>
      <c r="N429" s="879">
        <v>0</v>
      </c>
      <c r="O429" s="880"/>
      <c r="P429" s="1200"/>
      <c r="Q429" s="879">
        <v>0</v>
      </c>
      <c r="R429" s="880"/>
      <c r="S429" s="1200"/>
      <c r="T429" s="879">
        <v>0</v>
      </c>
      <c r="U429" s="880"/>
      <c r="V429" s="1200"/>
      <c r="W429" s="879">
        <v>0</v>
      </c>
      <c r="X429" s="880"/>
      <c r="Y429" s="1200"/>
      <c r="Z429" s="879">
        <v>0</v>
      </c>
      <c r="AA429" s="880"/>
      <c r="AB429" s="1200"/>
      <c r="AC429" s="879">
        <v>0</v>
      </c>
      <c r="AD429" s="880"/>
      <c r="AE429" s="1200"/>
      <c r="AF429" s="879">
        <v>0</v>
      </c>
      <c r="AG429" s="880"/>
      <c r="AH429" s="1200"/>
      <c r="AI429" s="879">
        <v>0</v>
      </c>
      <c r="AJ429" s="880"/>
      <c r="AK429" s="1200"/>
      <c r="AL429" s="879">
        <v>0</v>
      </c>
      <c r="AM429" s="880"/>
      <c r="AN429" s="1200"/>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201">
        <f>+E430/(SUM(E$422:E$426,E$411:E$412)+D$196-E$196)</f>
        <v>0.10963917886113292</v>
      </c>
      <c r="E430" s="872">
        <f t="shared" si="1282"/>
        <v>472929.81717640383</v>
      </c>
      <c r="F430" s="869"/>
      <c r="G430" s="1201">
        <f>+H430/(SUM(H$422:H$426,H$411:H$412)+G$196-H$196)</f>
        <v>0.11981860096603972</v>
      </c>
      <c r="H430" s="872">
        <v>34587.24660872305</v>
      </c>
      <c r="I430" s="869"/>
      <c r="J430" s="1201">
        <f>+K430/(SUM(K$422:K$426,K$411:K$412)+J$196-K$196)</f>
        <v>0.11657867104302116</v>
      </c>
      <c r="K430" s="872">
        <v>33655.544674904158</v>
      </c>
      <c r="L430" s="869"/>
      <c r="M430" s="1201">
        <f>+N430/(SUM(N$422:N$426,N$411:N$412)+M$196-N$196)</f>
        <v>0.11360909602462498</v>
      </c>
      <c r="N430" s="872">
        <v>41707.618476492964</v>
      </c>
      <c r="O430" s="869"/>
      <c r="P430" s="1201">
        <f>+Q430/(SUM(Q$422:Q$426,Q$411:Q$412)+P$196-Q$196)</f>
        <v>0.10277429417404209</v>
      </c>
      <c r="Q430" s="872">
        <v>41383.490135764128</v>
      </c>
      <c r="R430" s="869"/>
      <c r="S430" s="1201">
        <f>+T430/(SUM(T$422:T$426,T$411:T$412)+S$196-T$196)</f>
        <v>0.10384029962278359</v>
      </c>
      <c r="T430" s="872">
        <v>42551.816629138484</v>
      </c>
      <c r="U430" s="869"/>
      <c r="V430" s="1201">
        <f>+W430/(SUM(W$422:W$426,W$411:W$412)+V$196-W$196)</f>
        <v>0.10855638958441334</v>
      </c>
      <c r="W430" s="872">
        <v>40828.51854315016</v>
      </c>
      <c r="X430" s="869"/>
      <c r="Y430" s="1201">
        <f>+Z430/(SUM(Z$422:Z$426,Z$411:Z$412)+Y$196-Z$196)</f>
        <v>0.1133113315160645</v>
      </c>
      <c r="Z430" s="872">
        <v>41821.547275255361</v>
      </c>
      <c r="AA430" s="869"/>
      <c r="AB430" s="1201">
        <f>+AC430/(SUM(AC$422:AC$426,AC$411:AC$412)+AB$196-AC$196)</f>
        <v>0.11260378982387188</v>
      </c>
      <c r="AC430" s="872">
        <v>40829.245266991187</v>
      </c>
      <c r="AD430" s="869"/>
      <c r="AE430" s="1201">
        <f>+AF430/(SUM(AF$422:AF$426,AF$411:AF$412)+AE$196-AF$196)</f>
        <v>0.11212348639876156</v>
      </c>
      <c r="AF430" s="872">
        <v>39074.315709122791</v>
      </c>
      <c r="AG430" s="869"/>
      <c r="AH430" s="1201">
        <f>+AI430/(SUM(AI$422:AI$426,AI$411:AI$412)+AH$196-AI$196)</f>
        <v>0.10617200462709293</v>
      </c>
      <c r="AI430" s="872">
        <v>40150.625488047583</v>
      </c>
      <c r="AJ430" s="869"/>
      <c r="AK430" s="1201">
        <f>+AL430/(SUM(AL$422:AL$426,AL$411:AL$412)+AK$196-AL$196)</f>
        <v>0.10077115962649316</v>
      </c>
      <c r="AL430" s="872">
        <v>40824.908683481714</v>
      </c>
      <c r="AM430" s="869"/>
      <c r="AN430" s="1201">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202">
        <f t="shared" ref="D431:D432" si="1283">+E431/(SUM(E$422:E$426,E$411:E$412)+D$196-E$196)</f>
        <v>9.8193123314121736E-2</v>
      </c>
      <c r="E431" s="879">
        <f t="shared" si="1282"/>
        <v>423557.12929723604</v>
      </c>
      <c r="F431" s="880"/>
      <c r="G431" s="1202">
        <f t="shared" ref="G431:G432" si="1284">+H431/(SUM(H$422:H$426,H$411:H$412)+G$196-H$196)</f>
        <v>0.10730983925815135</v>
      </c>
      <c r="H431" s="879">
        <v>30976.424729045859</v>
      </c>
      <c r="I431" s="880"/>
      <c r="J431" s="1202">
        <f t="shared" ref="J431:J432" si="1285">+K431/(SUM(K$422:K$426,K$411:K$412)+J$196-K$196)</f>
        <v>0.10440814990070894</v>
      </c>
      <c r="K431" s="879">
        <v>30141.990142524926</v>
      </c>
      <c r="L431" s="880"/>
      <c r="M431" s="1202">
        <f t="shared" ref="M431:M432" si="1286">+N431/(SUM(N$422:N$426,N$411:N$412)+M$196-N$196)</f>
        <v>0.10174859107328253</v>
      </c>
      <c r="N431" s="879">
        <v>37353.447615544253</v>
      </c>
      <c r="O431" s="880"/>
      <c r="P431" s="1202">
        <f t="shared" ref="P431:P432" si="1287">+Q431/(SUM(Q$422:Q$426,Q$411:Q$412)+P$196-Q$196)</f>
        <v>9.2044915386821191E-2</v>
      </c>
      <c r="Q431" s="879">
        <v>37063.157461409653</v>
      </c>
      <c r="R431" s="880"/>
      <c r="S431" s="1202">
        <f t="shared" ref="S431:S432" si="1288">+T431/(SUM(T$422:T$426,T$411:T$412)+S$196-T$196)</f>
        <v>9.2999632537835053E-2</v>
      </c>
      <c r="T431" s="879">
        <v>38109.513596385528</v>
      </c>
      <c r="U431" s="880"/>
      <c r="V431" s="1202">
        <f t="shared" ref="V431:V432" si="1289">+W431/(SUM(W$422:W$426,W$411:W$412)+V$196-W$196)</f>
        <v>9.7223374524714953E-2</v>
      </c>
      <c r="W431" s="879">
        <v>36566.123512456063</v>
      </c>
      <c r="X431" s="880"/>
      <c r="Y431" s="1202">
        <f t="shared" ref="Y431:Y432" si="1290">+Z431/(SUM(Z$422:Z$426,Z$411:Z$412)+Y$196-Z$196)</f>
        <v>0.10148191243329854</v>
      </c>
      <c r="Z431" s="879">
        <v>37455.482533190567</v>
      </c>
      <c r="AA431" s="880"/>
      <c r="AB431" s="1202">
        <f t="shared" ref="AB431:AB432" si="1291">+AC431/(SUM(AC$422:AC$426,AC$411:AC$412)+AB$196-AC$196)</f>
        <v>0.10084823632086296</v>
      </c>
      <c r="AC431" s="879">
        <v>36566.774368149061</v>
      </c>
      <c r="AD431" s="880"/>
      <c r="AE431" s="1202">
        <f t="shared" ref="AE431:AE432" si="1292">+AF431/(SUM(AF$422:AF$426,AF$411:AF$412)+AE$196-AF$196)</f>
        <v>0.10041807536982383</v>
      </c>
      <c r="AF431" s="879">
        <v>34995.055058743899</v>
      </c>
      <c r="AG431" s="880"/>
      <c r="AH431" s="1202">
        <f t="shared" ref="AH431:AH432" si="1293">+AI431/(SUM(AI$422:AI$426,AI$411:AI$412)+AH$196-AI$196)</f>
        <v>9.5087913382315786E-2</v>
      </c>
      <c r="AI431" s="879">
        <v>35959.000793689775</v>
      </c>
      <c r="AJ431" s="880"/>
      <c r="AK431" s="1202">
        <f t="shared" ref="AK431:AK432" si="1294">+AL431/(SUM(AL$422:AL$426,AL$411:AL$412)+AK$196-AL$196)</f>
        <v>9.0250903066723648E-2</v>
      </c>
      <c r="AL431" s="879">
        <v>36562.890513091668</v>
      </c>
      <c r="AM431" s="880"/>
      <c r="AN431" s="1202">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202">
        <f t="shared" si="1283"/>
        <v>7.7976892043567225E-2</v>
      </c>
      <c r="E432" s="879">
        <f t="shared" si="1282"/>
        <v>336354.19091251085</v>
      </c>
      <c r="F432" s="880"/>
      <c r="G432" s="1202">
        <f t="shared" si="1284"/>
        <v>8.5216637057943731E-2</v>
      </c>
      <c r="H432" s="879">
        <v>24598.925520124656</v>
      </c>
      <c r="I432" s="880"/>
      <c r="J432" s="1202">
        <f t="shared" si="1285"/>
        <v>8.2912354332915938E-2</v>
      </c>
      <c r="K432" s="879">
        <v>23936.286289652151</v>
      </c>
      <c r="L432" s="880"/>
      <c r="M432" s="1202">
        <f t="shared" si="1286"/>
        <v>8.0800351734665529E-2</v>
      </c>
      <c r="N432" s="879">
        <v>29663.031929991022</v>
      </c>
      <c r="O432" s="880"/>
      <c r="P432" s="1202">
        <f t="shared" si="1287"/>
        <v>7.3094491630710967E-2</v>
      </c>
      <c r="Q432" s="879">
        <v>29432.50739582532</v>
      </c>
      <c r="R432" s="880"/>
      <c r="S432" s="1202">
        <f t="shared" si="1288"/>
        <v>7.3852649368280787E-2</v>
      </c>
      <c r="T432" s="879">
        <v>30263.437267717924</v>
      </c>
      <c r="U432" s="880"/>
      <c r="V432" s="1202">
        <f t="shared" si="1289"/>
        <v>7.7206797416685416E-2</v>
      </c>
      <c r="W432" s="879">
        <v>29037.803965773935</v>
      </c>
      <c r="X432" s="880"/>
      <c r="Y432" s="1202">
        <f t="shared" si="1290"/>
        <v>8.0588577520560603E-2</v>
      </c>
      <c r="Z432" s="879">
        <v>29744.059658710157</v>
      </c>
      <c r="AA432" s="880"/>
      <c r="AB432" s="1202">
        <f t="shared" si="1291"/>
        <v>8.0085364137155876E-2</v>
      </c>
      <c r="AC432" s="879">
        <v>29038.320821765432</v>
      </c>
      <c r="AD432" s="880"/>
      <c r="AE432" s="1202">
        <f t="shared" si="1292"/>
        <v>7.9743765734860111E-2</v>
      </c>
      <c r="AF432" s="879">
        <v>27790.190781943689</v>
      </c>
      <c r="AG432" s="880"/>
      <c r="AH432" s="1202">
        <f t="shared" si="1293"/>
        <v>7.5510990038897843E-2</v>
      </c>
      <c r="AI432" s="879">
        <v>28555.677100871297</v>
      </c>
      <c r="AJ432" s="880"/>
      <c r="AK432" s="1202">
        <f t="shared" si="1294"/>
        <v>7.1669834788280568E-2</v>
      </c>
      <c r="AL432" s="879">
        <v>29035.236583925744</v>
      </c>
      <c r="AM432" s="880"/>
      <c r="AN432" s="1202">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202">
        <f>+E433/(SUM(E$422:E$426,E$411:E$412)+D$196-E$196)</f>
        <v>3.1768363425157022E-2</v>
      </c>
      <c r="E433" s="879">
        <f t="shared" si="1282"/>
        <v>137033.18889028221</v>
      </c>
      <c r="F433" s="880"/>
      <c r="G433" s="1202">
        <f>+H433/(SUM(H$422:H$426,H$411:H$412)+G$196-H$196)</f>
        <v>3.4717889171754848E-2</v>
      </c>
      <c r="H433" s="879">
        <v>10021.784471161896</v>
      </c>
      <c r="I433" s="880"/>
      <c r="J433" s="1202">
        <f>+K433/(SUM(K$422:K$426,K$411:K$412)+J$196-K$196)</f>
        <v>3.3779107320817611E-2</v>
      </c>
      <c r="K433" s="879">
        <v>9751.8203402286563</v>
      </c>
      <c r="L433" s="880"/>
      <c r="M433" s="1202">
        <f>+N433/(SUM(N$422:N$426,N$411:N$412)+M$196-N$196)</f>
        <v>3.2918661817826711E-2</v>
      </c>
      <c r="N433" s="879">
        <v>12084.93893444079</v>
      </c>
      <c r="O433" s="880"/>
      <c r="P433" s="1202">
        <f>+Q433/(SUM(Q$422:Q$426,Q$411:Q$412)+P$196-Q$196)</f>
        <v>2.977923733103038E-2</v>
      </c>
      <c r="Q433" s="879">
        <v>11991.021531632534</v>
      </c>
      <c r="R433" s="880"/>
      <c r="S433" s="1202">
        <f>+T433/(SUM(T$422:T$426,T$411:T$412)+S$196-T$196)</f>
        <v>3.0088116409299575E-2</v>
      </c>
      <c r="T433" s="879">
        <v>12329.548516477671</v>
      </c>
      <c r="U433" s="880"/>
      <c r="V433" s="1202">
        <f>+W433/(SUM(W$422:W$426,W$411:W$412)+V$196-W$196)</f>
        <v>3.1454621169760728E-2</v>
      </c>
      <c r="W433" s="879">
        <v>11830.216430500494</v>
      </c>
      <c r="X433" s="880"/>
      <c r="Y433" s="1202">
        <f>+Z433/(SUM(Z$422:Z$426,Z$411:Z$412)+Y$196-Z$196)</f>
        <v>3.2832383434302469E-2</v>
      </c>
      <c r="Z433" s="879">
        <v>12117.95023132636</v>
      </c>
      <c r="AA433" s="880"/>
      <c r="AB433" s="1202">
        <f>+AC433/(SUM(AC$422:AC$426,AC$411:AC$412)+AB$196-AC$196)</f>
        <v>3.2627370574396838E-2</v>
      </c>
      <c r="AC433" s="879">
        <v>11830.427001459992</v>
      </c>
      <c r="AD433" s="880"/>
      <c r="AE433" s="1202">
        <f>+AF433/(SUM(AF$422:AF$426,AF$411:AF$412)+AE$196-AF$196)</f>
        <v>3.2488200854943007E-2</v>
      </c>
      <c r="AF433" s="879">
        <v>11321.929577828911</v>
      </c>
      <c r="AG433" s="880"/>
      <c r="AH433" s="1202">
        <f>+AI433/(SUM(AI$422:AI$426,AI$411:AI$412)+AH$196-AI$196)</f>
        <v>3.0763736682513934E-2</v>
      </c>
      <c r="AI433" s="879">
        <v>11633.794374429046</v>
      </c>
      <c r="AJ433" s="880"/>
      <c r="AK433" s="1202">
        <f>+AL433/(SUM(AL$422:AL$426,AL$411:AL$412)+AK$196-AL$196)</f>
        <v>2.9198821580410601E-2</v>
      </c>
      <c r="AL433" s="879">
        <v>11829.170460117895</v>
      </c>
      <c r="AM433" s="880"/>
      <c r="AN433" s="1202">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200"/>
      <c r="E434" s="879">
        <f t="shared" si="1282"/>
        <v>0</v>
      </c>
      <c r="F434" s="880"/>
      <c r="G434" s="1200"/>
      <c r="H434" s="879">
        <f t="shared" ref="H434" si="1296">+SUMIF($B$4:$B$401,$B434,H$4:H$401)</f>
        <v>0</v>
      </c>
      <c r="I434" s="880"/>
      <c r="J434" s="1200"/>
      <c r="K434" s="879">
        <f t="shared" ref="K434:AO434" si="1297">+SUMIF($B$4:$B$401,$B434,K$4:K$401)</f>
        <v>0</v>
      </c>
      <c r="L434" s="880"/>
      <c r="M434" s="1200"/>
      <c r="N434" s="879">
        <f t="shared" si="1297"/>
        <v>0</v>
      </c>
      <c r="O434" s="880"/>
      <c r="P434" s="1200"/>
      <c r="Q434" s="879">
        <f t="shared" si="1297"/>
        <v>0</v>
      </c>
      <c r="R434" s="880"/>
      <c r="S434" s="1200"/>
      <c r="T434" s="879">
        <f t="shared" si="1297"/>
        <v>0</v>
      </c>
      <c r="U434" s="880"/>
      <c r="V434" s="1200"/>
      <c r="W434" s="879">
        <f t="shared" si="1297"/>
        <v>0</v>
      </c>
      <c r="X434" s="880"/>
      <c r="Y434" s="1200"/>
      <c r="Z434" s="879">
        <f t="shared" si="1297"/>
        <v>0</v>
      </c>
      <c r="AA434" s="880"/>
      <c r="AB434" s="1200"/>
      <c r="AC434" s="879">
        <f t="shared" si="1297"/>
        <v>0</v>
      </c>
      <c r="AD434" s="880"/>
      <c r="AE434" s="1200"/>
      <c r="AF434" s="879">
        <f t="shared" si="1297"/>
        <v>0</v>
      </c>
      <c r="AG434" s="880"/>
      <c r="AH434" s="1200"/>
      <c r="AI434" s="879">
        <f t="shared" si="1297"/>
        <v>0</v>
      </c>
      <c r="AJ434" s="880"/>
      <c r="AK434" s="1200"/>
      <c r="AL434" s="879">
        <f t="shared" si="1297"/>
        <v>0</v>
      </c>
      <c r="AM434" s="880"/>
      <c r="AN434" s="1200"/>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200"/>
      <c r="E437" s="879">
        <f t="shared" si="1320"/>
        <v>47760.092962337272</v>
      </c>
      <c r="F437" s="880"/>
      <c r="G437" s="1200"/>
      <c r="H437" s="879">
        <v>2506.5808325317239</v>
      </c>
      <c r="I437" s="880"/>
      <c r="J437" s="1200"/>
      <c r="K437" s="879">
        <v>2486.4637072358846</v>
      </c>
      <c r="L437" s="880"/>
      <c r="M437" s="1200"/>
      <c r="N437" s="879">
        <v>3315.2445671469141</v>
      </c>
      <c r="O437" s="880"/>
      <c r="P437" s="1200"/>
      <c r="Q437" s="879">
        <v>6043.6941787975629</v>
      </c>
      <c r="R437" s="880"/>
      <c r="S437" s="1200"/>
      <c r="T437" s="879">
        <v>4693.4716422992187</v>
      </c>
      <c r="U437" s="880"/>
      <c r="V437" s="1200"/>
      <c r="W437" s="879">
        <v>3454.4294301290929</v>
      </c>
      <c r="X437" s="880"/>
      <c r="Y437" s="1200"/>
      <c r="Z437" s="879">
        <v>3266.9993457882165</v>
      </c>
      <c r="AA437" s="880"/>
      <c r="AB437" s="1200"/>
      <c r="AC437" s="879">
        <v>3201.2832699302448</v>
      </c>
      <c r="AD437" s="880"/>
      <c r="AE437" s="1200"/>
      <c r="AF437" s="879">
        <v>2644.9571535311065</v>
      </c>
      <c r="AG437" s="880"/>
      <c r="AH437" s="1200"/>
      <c r="AI437" s="879">
        <v>4887.1336259974432</v>
      </c>
      <c r="AJ437" s="880"/>
      <c r="AK437" s="1200"/>
      <c r="AL437" s="879">
        <v>8210.6570130502769</v>
      </c>
      <c r="AM437" s="880"/>
      <c r="AN437" s="1200"/>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200"/>
      <c r="E439" s="879">
        <f t="shared" si="1320"/>
        <v>240410.51099999994</v>
      </c>
      <c r="F439" s="880"/>
      <c r="G439" s="1200"/>
      <c r="H439" s="879">
        <v>20034.202416666667</v>
      </c>
      <c r="I439" s="880"/>
      <c r="J439" s="1200"/>
      <c r="K439" s="879">
        <v>20034.202416666667</v>
      </c>
      <c r="L439" s="880"/>
      <c r="M439" s="1200"/>
      <c r="N439" s="879">
        <v>20034.202416666667</v>
      </c>
      <c r="O439" s="880"/>
      <c r="P439" s="1200"/>
      <c r="Q439" s="879">
        <v>20034.202416666667</v>
      </c>
      <c r="R439" s="880"/>
      <c r="S439" s="1200"/>
      <c r="T439" s="879">
        <v>20034.212666666666</v>
      </c>
      <c r="U439" s="880"/>
      <c r="V439" s="1200"/>
      <c r="W439" s="879">
        <v>20034.212666666666</v>
      </c>
      <c r="X439" s="880"/>
      <c r="Y439" s="1200"/>
      <c r="Z439" s="879">
        <v>20034.212666666666</v>
      </c>
      <c r="AA439" s="880"/>
      <c r="AB439" s="1200"/>
      <c r="AC439" s="879">
        <v>20034.212666666666</v>
      </c>
      <c r="AD439" s="880"/>
      <c r="AE439" s="1200"/>
      <c r="AF439" s="879">
        <v>20034.212666666666</v>
      </c>
      <c r="AG439" s="880"/>
      <c r="AH439" s="1200"/>
      <c r="AI439" s="879">
        <v>20034.212666666666</v>
      </c>
      <c r="AJ439" s="880"/>
      <c r="AK439" s="1200"/>
      <c r="AL439" s="879">
        <v>20034.212666666666</v>
      </c>
      <c r="AM439" s="880"/>
      <c r="AN439" s="1200"/>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200"/>
      <c r="E440" s="879">
        <f t="shared" si="1320"/>
        <v>29705.317500000008</v>
      </c>
      <c r="F440" s="880"/>
      <c r="G440" s="1200"/>
      <c r="H440" s="879">
        <v>2475.4431250000002</v>
      </c>
      <c r="I440" s="880"/>
      <c r="J440" s="1200"/>
      <c r="K440" s="879">
        <v>2475.4431250000002</v>
      </c>
      <c r="L440" s="880"/>
      <c r="M440" s="1200"/>
      <c r="N440" s="879">
        <v>2475.4431250000002</v>
      </c>
      <c r="O440" s="880"/>
      <c r="P440" s="1200"/>
      <c r="Q440" s="879">
        <v>2475.4431250000002</v>
      </c>
      <c r="R440" s="880"/>
      <c r="S440" s="1200"/>
      <c r="T440" s="879">
        <v>2475.4431250000002</v>
      </c>
      <c r="U440" s="880"/>
      <c r="V440" s="1200"/>
      <c r="W440" s="879">
        <v>2475.4431250000002</v>
      </c>
      <c r="X440" s="880"/>
      <c r="Y440" s="1200"/>
      <c r="Z440" s="879">
        <v>2475.4431250000002</v>
      </c>
      <c r="AA440" s="880"/>
      <c r="AB440" s="1200"/>
      <c r="AC440" s="879">
        <v>2475.4431250000002</v>
      </c>
      <c r="AD440" s="880"/>
      <c r="AE440" s="1200"/>
      <c r="AF440" s="879">
        <v>2475.4431250000002</v>
      </c>
      <c r="AG440" s="880"/>
      <c r="AH440" s="1200"/>
      <c r="AI440" s="879">
        <v>2475.4431250000002</v>
      </c>
      <c r="AJ440" s="880"/>
      <c r="AK440" s="1200"/>
      <c r="AL440" s="879">
        <v>2475.4431250000002</v>
      </c>
      <c r="AM440" s="880"/>
      <c r="AN440" s="1200"/>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203"/>
      <c r="D441" s="1204"/>
      <c r="E441" s="1205">
        <f t="shared" si="1320"/>
        <v>251188.81806666666</v>
      </c>
      <c r="F441" s="1203"/>
      <c r="G441" s="1204"/>
      <c r="H441" s="1205">
        <v>20117.604355555559</v>
      </c>
      <c r="I441" s="1203"/>
      <c r="J441" s="1204"/>
      <c r="K441" s="1205">
        <v>20322.272155555554</v>
      </c>
      <c r="L441" s="1203"/>
      <c r="M441" s="1204"/>
      <c r="N441" s="1205">
        <v>20219.995055555555</v>
      </c>
      <c r="O441" s="1203"/>
      <c r="P441" s="1204"/>
      <c r="Q441" s="1205">
        <v>19541.726855555557</v>
      </c>
      <c r="R441" s="1203"/>
      <c r="S441" s="1204"/>
      <c r="T441" s="1205">
        <v>26609.873755555556</v>
      </c>
      <c r="U441" s="1203"/>
      <c r="V441" s="1204"/>
      <c r="W441" s="1205">
        <v>20630.700055555557</v>
      </c>
      <c r="X441" s="1203"/>
      <c r="Y441" s="1204"/>
      <c r="Z441" s="1205">
        <v>20314.200055555557</v>
      </c>
      <c r="AA441" s="1203"/>
      <c r="AB441" s="1204"/>
      <c r="AC441" s="1205">
        <v>18933.671255555557</v>
      </c>
      <c r="AD441" s="1203"/>
      <c r="AE441" s="1204"/>
      <c r="AF441" s="1205">
        <v>19272.323455555557</v>
      </c>
      <c r="AG441" s="1203"/>
      <c r="AH441" s="1204"/>
      <c r="AI441" s="1205">
        <v>18693.551455555556</v>
      </c>
      <c r="AJ441" s="1203"/>
      <c r="AK441" s="1204"/>
      <c r="AL441" s="1205">
        <v>27219.629355555553</v>
      </c>
      <c r="AM441" s="1203"/>
      <c r="AN441" s="1204"/>
      <c r="AO441" s="1205">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206"/>
      <c r="D442" s="1207"/>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200"/>
      <c r="E444" s="879">
        <f t="shared" si="1320"/>
        <v>9139.6687499999989</v>
      </c>
      <c r="F444" s="880"/>
      <c r="G444" s="1200"/>
      <c r="H444" s="879">
        <v>467.02277717171074</v>
      </c>
      <c r="I444" s="880"/>
      <c r="J444" s="1200"/>
      <c r="K444" s="879">
        <v>482.11117011246233</v>
      </c>
      <c r="L444" s="880"/>
      <c r="M444" s="1200"/>
      <c r="N444" s="879">
        <v>841.31210324238816</v>
      </c>
      <c r="O444" s="880"/>
      <c r="P444" s="1200"/>
      <c r="Q444" s="879">
        <v>889.16451825784043</v>
      </c>
      <c r="R444" s="880"/>
      <c r="S444" s="1200"/>
      <c r="T444" s="879">
        <v>995.16741157977481</v>
      </c>
      <c r="U444" s="880"/>
      <c r="V444" s="1200"/>
      <c r="W444" s="879">
        <v>857.50204291140165</v>
      </c>
      <c r="X444" s="880"/>
      <c r="Y444" s="1200"/>
      <c r="Z444" s="879">
        <v>918.23975741108154</v>
      </c>
      <c r="AA444" s="880"/>
      <c r="AB444" s="1200"/>
      <c r="AC444" s="879">
        <v>872.97457858882672</v>
      </c>
      <c r="AD444" s="880"/>
      <c r="AE444" s="1200"/>
      <c r="AF444" s="879">
        <v>754.47052851933779</v>
      </c>
      <c r="AG444" s="880"/>
      <c r="AH444" s="1200"/>
      <c r="AI444" s="879">
        <v>829.91249322309579</v>
      </c>
      <c r="AJ444" s="880"/>
      <c r="AK444" s="1200"/>
      <c r="AL444" s="879">
        <v>733.49025920060342</v>
      </c>
      <c r="AM444" s="880"/>
      <c r="AN444" s="1200"/>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200"/>
      <c r="E445" s="879">
        <f t="shared" si="1320"/>
        <v>24482.412</v>
      </c>
      <c r="F445" s="880"/>
      <c r="G445" s="1200"/>
      <c r="H445" s="879">
        <v>2040.2009999999998</v>
      </c>
      <c r="I445" s="880"/>
      <c r="J445" s="1200"/>
      <c r="K445" s="879">
        <v>2040.2009999999998</v>
      </c>
      <c r="L445" s="880"/>
      <c r="M445" s="1200"/>
      <c r="N445" s="879">
        <v>2040.2009999999998</v>
      </c>
      <c r="O445" s="880"/>
      <c r="P445" s="1200"/>
      <c r="Q445" s="879">
        <v>2040.2009999999998</v>
      </c>
      <c r="R445" s="880"/>
      <c r="S445" s="1200"/>
      <c r="T445" s="879">
        <v>2040.2009999999998</v>
      </c>
      <c r="U445" s="880"/>
      <c r="V445" s="1200"/>
      <c r="W445" s="879">
        <v>2040.2009999999998</v>
      </c>
      <c r="X445" s="880"/>
      <c r="Y445" s="1200"/>
      <c r="Z445" s="879">
        <v>2040.2009999999998</v>
      </c>
      <c r="AA445" s="880"/>
      <c r="AB445" s="1200"/>
      <c r="AC445" s="879">
        <v>2040.2009999999998</v>
      </c>
      <c r="AD445" s="880"/>
      <c r="AE445" s="1200"/>
      <c r="AF445" s="879">
        <v>2040.2009999999998</v>
      </c>
      <c r="AG445" s="880"/>
      <c r="AH445" s="1200"/>
      <c r="AI445" s="879">
        <v>2040.2009999999998</v>
      </c>
      <c r="AJ445" s="880"/>
      <c r="AK445" s="1200"/>
      <c r="AL445" s="879">
        <v>2040.2009999999998</v>
      </c>
      <c r="AM445" s="880"/>
      <c r="AN445" s="1200"/>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200"/>
      <c r="E446" s="879">
        <f t="shared" si="1320"/>
        <v>11304.919749999999</v>
      </c>
      <c r="F446" s="880"/>
      <c r="G446" s="1200"/>
      <c r="H446" s="879">
        <v>942.07664583333337</v>
      </c>
      <c r="I446" s="880"/>
      <c r="J446" s="1200"/>
      <c r="K446" s="879">
        <v>942.07664583333337</v>
      </c>
      <c r="L446" s="880"/>
      <c r="M446" s="1200"/>
      <c r="N446" s="879">
        <v>942.07664583333337</v>
      </c>
      <c r="O446" s="880"/>
      <c r="P446" s="1200"/>
      <c r="Q446" s="879">
        <v>942.07664583333337</v>
      </c>
      <c r="R446" s="880"/>
      <c r="S446" s="1200"/>
      <c r="T446" s="879">
        <v>942.07664583333337</v>
      </c>
      <c r="U446" s="880"/>
      <c r="V446" s="1200"/>
      <c r="W446" s="879">
        <v>942.07664583333337</v>
      </c>
      <c r="X446" s="880"/>
      <c r="Y446" s="1200"/>
      <c r="Z446" s="879">
        <v>942.07664583333337</v>
      </c>
      <c r="AA446" s="880"/>
      <c r="AB446" s="1200"/>
      <c r="AC446" s="879">
        <v>942.07664583333337</v>
      </c>
      <c r="AD446" s="880"/>
      <c r="AE446" s="1200"/>
      <c r="AF446" s="879">
        <v>942.07664583333337</v>
      </c>
      <c r="AG446" s="880"/>
      <c r="AH446" s="1200"/>
      <c r="AI446" s="879">
        <v>942.07664583333337</v>
      </c>
      <c r="AJ446" s="880"/>
      <c r="AK446" s="1200"/>
      <c r="AL446" s="879">
        <v>942.07664583333337</v>
      </c>
      <c r="AM446" s="880"/>
      <c r="AN446" s="1200"/>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200"/>
      <c r="E447" s="879">
        <f t="shared" si="1320"/>
        <v>6034.3902499999976</v>
      </c>
      <c r="F447" s="880"/>
      <c r="G447" s="1200"/>
      <c r="H447" s="879">
        <v>502.86585416666657</v>
      </c>
      <c r="I447" s="880"/>
      <c r="J447" s="1200"/>
      <c r="K447" s="879">
        <v>502.86585416666657</v>
      </c>
      <c r="L447" s="880"/>
      <c r="M447" s="1200"/>
      <c r="N447" s="879">
        <v>502.86585416666657</v>
      </c>
      <c r="O447" s="880"/>
      <c r="P447" s="1200"/>
      <c r="Q447" s="879">
        <v>502.86585416666657</v>
      </c>
      <c r="R447" s="880"/>
      <c r="S447" s="1200"/>
      <c r="T447" s="879">
        <v>502.86585416666657</v>
      </c>
      <c r="U447" s="880"/>
      <c r="V447" s="1200"/>
      <c r="W447" s="879">
        <v>502.86585416666657</v>
      </c>
      <c r="X447" s="880"/>
      <c r="Y447" s="1200"/>
      <c r="Z447" s="879">
        <v>502.86585416666657</v>
      </c>
      <c r="AA447" s="880"/>
      <c r="AB447" s="1200"/>
      <c r="AC447" s="879">
        <v>502.86585416666657</v>
      </c>
      <c r="AD447" s="880"/>
      <c r="AE447" s="1200"/>
      <c r="AF447" s="879">
        <v>502.86585416666657</v>
      </c>
      <c r="AG447" s="880"/>
      <c r="AH447" s="1200"/>
      <c r="AI447" s="879">
        <v>502.86585416666657</v>
      </c>
      <c r="AJ447" s="880"/>
      <c r="AK447" s="1200"/>
      <c r="AL447" s="879">
        <v>502.86585416666657</v>
      </c>
      <c r="AM447" s="880"/>
      <c r="AN447" s="1200"/>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200"/>
      <c r="E448" s="879">
        <f t="shared" si="1320"/>
        <v>29108.759749999994</v>
      </c>
      <c r="F448" s="880"/>
      <c r="G448" s="1200"/>
      <c r="H448" s="879">
        <v>2425.729979166666</v>
      </c>
      <c r="I448" s="880"/>
      <c r="J448" s="1200"/>
      <c r="K448" s="879">
        <v>2425.729979166666</v>
      </c>
      <c r="L448" s="880"/>
      <c r="M448" s="1200"/>
      <c r="N448" s="879">
        <v>2425.729979166666</v>
      </c>
      <c r="O448" s="880"/>
      <c r="P448" s="1200"/>
      <c r="Q448" s="879">
        <v>2425.729979166666</v>
      </c>
      <c r="R448" s="880"/>
      <c r="S448" s="1200"/>
      <c r="T448" s="879">
        <v>2425.729979166666</v>
      </c>
      <c r="U448" s="880"/>
      <c r="V448" s="1200"/>
      <c r="W448" s="879">
        <v>2425.729979166666</v>
      </c>
      <c r="X448" s="880"/>
      <c r="Y448" s="1200"/>
      <c r="Z448" s="879">
        <v>2425.729979166666</v>
      </c>
      <c r="AA448" s="880"/>
      <c r="AB448" s="1200"/>
      <c r="AC448" s="879">
        <v>2425.729979166666</v>
      </c>
      <c r="AD448" s="880"/>
      <c r="AE448" s="1200"/>
      <c r="AF448" s="879">
        <v>2425.729979166666</v>
      </c>
      <c r="AG448" s="880"/>
      <c r="AH448" s="1200"/>
      <c r="AI448" s="879">
        <v>2425.729979166666</v>
      </c>
      <c r="AJ448" s="880"/>
      <c r="AK448" s="1200"/>
      <c r="AL448" s="879">
        <v>2425.729979166666</v>
      </c>
      <c r="AM448" s="880"/>
      <c r="AN448" s="1200"/>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200"/>
      <c r="E449" s="879">
        <f t="shared" si="1320"/>
        <v>43247.110000000008</v>
      </c>
      <c r="F449" s="880"/>
      <c r="G449" s="1200"/>
      <c r="H449" s="879">
        <v>3603.9258333333332</v>
      </c>
      <c r="I449" s="880"/>
      <c r="J449" s="1200"/>
      <c r="K449" s="879">
        <v>3603.9258333333332</v>
      </c>
      <c r="L449" s="880"/>
      <c r="M449" s="1200"/>
      <c r="N449" s="879">
        <v>3603.9258333333332</v>
      </c>
      <c r="O449" s="880"/>
      <c r="P449" s="1200"/>
      <c r="Q449" s="879">
        <v>3603.9258333333332</v>
      </c>
      <c r="R449" s="880"/>
      <c r="S449" s="1200"/>
      <c r="T449" s="879">
        <v>3603.9258333333332</v>
      </c>
      <c r="U449" s="880"/>
      <c r="V449" s="1200"/>
      <c r="W449" s="879">
        <v>3603.9258333333332</v>
      </c>
      <c r="X449" s="880"/>
      <c r="Y449" s="1200"/>
      <c r="Z449" s="879">
        <v>3603.9258333333332</v>
      </c>
      <c r="AA449" s="880"/>
      <c r="AB449" s="1200"/>
      <c r="AC449" s="879">
        <v>3603.9258333333332</v>
      </c>
      <c r="AD449" s="880"/>
      <c r="AE449" s="1200"/>
      <c r="AF449" s="879">
        <v>3603.9258333333332</v>
      </c>
      <c r="AG449" s="880"/>
      <c r="AH449" s="1200"/>
      <c r="AI449" s="879">
        <v>3603.9258333333332</v>
      </c>
      <c r="AJ449" s="880"/>
      <c r="AK449" s="1200"/>
      <c r="AL449" s="879">
        <v>3603.9258333333332</v>
      </c>
      <c r="AM449" s="880"/>
      <c r="AN449" s="1200"/>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200"/>
      <c r="E450" s="879">
        <f t="shared" si="1320"/>
        <v>87404.247868401319</v>
      </c>
      <c r="F450" s="880"/>
      <c r="G450" s="1200"/>
      <c r="H450" s="879">
        <v>5260.1164656443607</v>
      </c>
      <c r="I450" s="880"/>
      <c r="J450" s="1200"/>
      <c r="K450" s="879">
        <v>4476.4105126150998</v>
      </c>
      <c r="L450" s="880"/>
      <c r="M450" s="1200"/>
      <c r="N450" s="879">
        <v>5248.2085234784781</v>
      </c>
      <c r="O450" s="880"/>
      <c r="P450" s="1200"/>
      <c r="Q450" s="879">
        <v>10497.029953519042</v>
      </c>
      <c r="R450" s="880"/>
      <c r="S450" s="1200"/>
      <c r="T450" s="879">
        <v>9583.8504690154659</v>
      </c>
      <c r="U450" s="880"/>
      <c r="V450" s="1200"/>
      <c r="W450" s="879">
        <v>6184.7280924782972</v>
      </c>
      <c r="X450" s="880"/>
      <c r="Y450" s="1200"/>
      <c r="Z450" s="879">
        <v>5805.5848648570627</v>
      </c>
      <c r="AA450" s="880"/>
      <c r="AB450" s="1200"/>
      <c r="AC450" s="879">
        <v>6444.1879269473675</v>
      </c>
      <c r="AD450" s="880"/>
      <c r="AE450" s="1200"/>
      <c r="AF450" s="879">
        <v>4772.8874573503599</v>
      </c>
      <c r="AG450" s="880"/>
      <c r="AH450" s="1200"/>
      <c r="AI450" s="879">
        <v>9333.6146670067283</v>
      </c>
      <c r="AJ450" s="880"/>
      <c r="AK450" s="1200"/>
      <c r="AL450" s="879">
        <v>13783.275856393127</v>
      </c>
      <c r="AM450" s="880"/>
      <c r="AN450" s="1200"/>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200"/>
      <c r="E451" s="879">
        <f t="shared" si="1320"/>
        <v>0</v>
      </c>
      <c r="F451" s="880"/>
      <c r="G451" s="1200"/>
      <c r="H451" s="879">
        <f t="shared" ref="H451:H453" si="1321">+SUMIF($B$4:$B$401,$B451,H$4:H$401)</f>
        <v>0</v>
      </c>
      <c r="I451" s="880"/>
      <c r="J451" s="1200"/>
      <c r="K451" s="879">
        <f t="shared" ref="K451:AO453" si="1322">+SUMIF($B$4:$B$401,$B451,K$4:K$401)</f>
        <v>0</v>
      </c>
      <c r="L451" s="880"/>
      <c r="M451" s="1200"/>
      <c r="N451" s="879">
        <f t="shared" si="1322"/>
        <v>0</v>
      </c>
      <c r="O451" s="880"/>
      <c r="P451" s="1200"/>
      <c r="Q451" s="879">
        <f t="shared" si="1322"/>
        <v>0</v>
      </c>
      <c r="R451" s="880"/>
      <c r="S451" s="1200"/>
      <c r="T451" s="879">
        <f t="shared" si="1322"/>
        <v>0</v>
      </c>
      <c r="U451" s="880"/>
      <c r="V451" s="1200"/>
      <c r="W451" s="879">
        <f t="shared" si="1322"/>
        <v>0</v>
      </c>
      <c r="X451" s="880"/>
      <c r="Y451" s="1200"/>
      <c r="Z451" s="879">
        <f t="shared" si="1322"/>
        <v>0</v>
      </c>
      <c r="AA451" s="880"/>
      <c r="AB451" s="1200"/>
      <c r="AC451" s="879">
        <f t="shared" si="1322"/>
        <v>0</v>
      </c>
      <c r="AD451" s="880"/>
      <c r="AE451" s="1200"/>
      <c r="AF451" s="879">
        <f t="shared" si="1322"/>
        <v>0</v>
      </c>
      <c r="AG451" s="880"/>
      <c r="AH451" s="1200"/>
      <c r="AI451" s="879">
        <f t="shared" si="1322"/>
        <v>0</v>
      </c>
      <c r="AJ451" s="880"/>
      <c r="AK451" s="1200"/>
      <c r="AL451" s="879">
        <f t="shared" si="1322"/>
        <v>0</v>
      </c>
      <c r="AM451" s="880"/>
      <c r="AN451" s="1200"/>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200"/>
      <c r="E452" s="879">
        <f t="shared" si="1320"/>
        <v>0</v>
      </c>
      <c r="F452" s="880"/>
      <c r="G452" s="1200"/>
      <c r="H452" s="879">
        <f t="shared" si="1321"/>
        <v>0</v>
      </c>
      <c r="I452" s="880"/>
      <c r="J452" s="1200"/>
      <c r="K452" s="879">
        <f t="shared" si="1322"/>
        <v>0</v>
      </c>
      <c r="L452" s="880"/>
      <c r="M452" s="1200"/>
      <c r="N452" s="879">
        <f t="shared" si="1322"/>
        <v>0</v>
      </c>
      <c r="O452" s="880"/>
      <c r="P452" s="1200"/>
      <c r="Q452" s="879">
        <f t="shared" si="1322"/>
        <v>0</v>
      </c>
      <c r="R452" s="880"/>
      <c r="S452" s="1200"/>
      <c r="T452" s="879">
        <f t="shared" si="1322"/>
        <v>0</v>
      </c>
      <c r="U452" s="880"/>
      <c r="V452" s="1200"/>
      <c r="W452" s="879">
        <f t="shared" si="1322"/>
        <v>0</v>
      </c>
      <c r="X452" s="880"/>
      <c r="Y452" s="1200"/>
      <c r="Z452" s="879">
        <f t="shared" si="1322"/>
        <v>0</v>
      </c>
      <c r="AA452" s="880"/>
      <c r="AB452" s="1200"/>
      <c r="AC452" s="879">
        <f t="shared" si="1322"/>
        <v>0</v>
      </c>
      <c r="AD452" s="880"/>
      <c r="AE452" s="1200"/>
      <c r="AF452" s="879">
        <f t="shared" si="1322"/>
        <v>0</v>
      </c>
      <c r="AG452" s="880"/>
      <c r="AH452" s="1200"/>
      <c r="AI452" s="879">
        <f t="shared" si="1322"/>
        <v>0</v>
      </c>
      <c r="AJ452" s="880"/>
      <c r="AK452" s="1200"/>
      <c r="AL452" s="879">
        <f t="shared" si="1322"/>
        <v>0</v>
      </c>
      <c r="AM452" s="880"/>
      <c r="AN452" s="1200"/>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200"/>
      <c r="E453" s="879">
        <f t="shared" si="1320"/>
        <v>0</v>
      </c>
      <c r="F453" s="880"/>
      <c r="G453" s="1200"/>
      <c r="H453" s="879">
        <f t="shared" si="1321"/>
        <v>0</v>
      </c>
      <c r="I453" s="880"/>
      <c r="J453" s="1200"/>
      <c r="K453" s="879">
        <f t="shared" si="1322"/>
        <v>0</v>
      </c>
      <c r="L453" s="880"/>
      <c r="M453" s="1200"/>
      <c r="N453" s="879">
        <f t="shared" si="1322"/>
        <v>0</v>
      </c>
      <c r="O453" s="880"/>
      <c r="P453" s="1200"/>
      <c r="Q453" s="879">
        <f t="shared" si="1322"/>
        <v>0</v>
      </c>
      <c r="R453" s="880"/>
      <c r="S453" s="1200"/>
      <c r="T453" s="879">
        <f t="shared" si="1322"/>
        <v>0</v>
      </c>
      <c r="U453" s="880"/>
      <c r="V453" s="1200"/>
      <c r="W453" s="879">
        <f t="shared" si="1322"/>
        <v>0</v>
      </c>
      <c r="X453" s="880"/>
      <c r="Y453" s="1200"/>
      <c r="Z453" s="879">
        <f t="shared" si="1322"/>
        <v>0</v>
      </c>
      <c r="AA453" s="880"/>
      <c r="AB453" s="1200"/>
      <c r="AC453" s="879">
        <f t="shared" si="1322"/>
        <v>0</v>
      </c>
      <c r="AD453" s="880"/>
      <c r="AE453" s="1200"/>
      <c r="AF453" s="879">
        <f t="shared" si="1322"/>
        <v>0</v>
      </c>
      <c r="AG453" s="880"/>
      <c r="AH453" s="1200"/>
      <c r="AI453" s="879">
        <f t="shared" si="1322"/>
        <v>0</v>
      </c>
      <c r="AJ453" s="880"/>
      <c r="AK453" s="1200"/>
      <c r="AL453" s="879">
        <f t="shared" si="1322"/>
        <v>0</v>
      </c>
      <c r="AM453" s="880"/>
      <c r="AN453" s="1200"/>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200"/>
      <c r="E455" s="879">
        <f t="shared" ref="E455:E467" si="1345">+SUM(H455,K455,N455,Q455,T455,W455,Z455,AC455,AF455,AI455,AL455,AO455)</f>
        <v>312000</v>
      </c>
      <c r="F455" s="880"/>
      <c r="G455" s="1200"/>
      <c r="H455" s="890">
        <v>26000</v>
      </c>
      <c r="I455" s="880"/>
      <c r="J455" s="1200"/>
      <c r="K455" s="890">
        <v>26000</v>
      </c>
      <c r="L455" s="880"/>
      <c r="M455" s="1200"/>
      <c r="N455" s="890">
        <v>26000</v>
      </c>
      <c r="O455" s="880"/>
      <c r="P455" s="1200"/>
      <c r="Q455" s="890">
        <v>26000</v>
      </c>
      <c r="R455" s="880"/>
      <c r="S455" s="1200"/>
      <c r="T455" s="890">
        <v>26000</v>
      </c>
      <c r="U455" s="880"/>
      <c r="V455" s="1200"/>
      <c r="W455" s="890">
        <v>26000</v>
      </c>
      <c r="X455" s="880"/>
      <c r="Y455" s="1200"/>
      <c r="Z455" s="890">
        <v>26000</v>
      </c>
      <c r="AA455" s="880"/>
      <c r="AB455" s="1200"/>
      <c r="AC455" s="890">
        <v>26000</v>
      </c>
      <c r="AD455" s="880"/>
      <c r="AE455" s="1200"/>
      <c r="AF455" s="890">
        <v>26000</v>
      </c>
      <c r="AG455" s="880"/>
      <c r="AH455" s="1200"/>
      <c r="AI455" s="890">
        <v>26000</v>
      </c>
      <c r="AJ455" s="880"/>
      <c r="AK455" s="1200"/>
      <c r="AL455" s="890">
        <v>26000</v>
      </c>
      <c r="AM455" s="880"/>
      <c r="AN455" s="1200"/>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200"/>
      <c r="E456" s="879">
        <f t="shared" si="1345"/>
        <v>59162.999999999993</v>
      </c>
      <c r="F456" s="880"/>
      <c r="G456" s="1200"/>
      <c r="H456" s="890">
        <v>4930.2499999999991</v>
      </c>
      <c r="I456" s="880"/>
      <c r="J456" s="1200"/>
      <c r="K456" s="890">
        <v>4930.2499999999991</v>
      </c>
      <c r="L456" s="880"/>
      <c r="M456" s="1200"/>
      <c r="N456" s="890">
        <v>4930.2499999999991</v>
      </c>
      <c r="O456" s="880"/>
      <c r="P456" s="1200"/>
      <c r="Q456" s="890">
        <v>4930.2499999999991</v>
      </c>
      <c r="R456" s="880"/>
      <c r="S456" s="1200"/>
      <c r="T456" s="890">
        <v>4930.2499999999991</v>
      </c>
      <c r="U456" s="880"/>
      <c r="V456" s="1200"/>
      <c r="W456" s="890">
        <v>4930.2499999999991</v>
      </c>
      <c r="X456" s="880"/>
      <c r="Y456" s="1200"/>
      <c r="Z456" s="890">
        <v>4930.2499999999991</v>
      </c>
      <c r="AA456" s="880"/>
      <c r="AB456" s="1200"/>
      <c r="AC456" s="890">
        <v>4930.2499999999991</v>
      </c>
      <c r="AD456" s="880"/>
      <c r="AE456" s="1200"/>
      <c r="AF456" s="890">
        <v>4930.2499999999991</v>
      </c>
      <c r="AG456" s="880"/>
      <c r="AH456" s="1200"/>
      <c r="AI456" s="890">
        <v>4930.2499999999991</v>
      </c>
      <c r="AJ456" s="880"/>
      <c r="AK456" s="1200"/>
      <c r="AL456" s="890">
        <v>4930.2499999999991</v>
      </c>
      <c r="AM456" s="880"/>
      <c r="AN456" s="1200"/>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200"/>
      <c r="E458" s="879">
        <f t="shared" si="1345"/>
        <v>0</v>
      </c>
      <c r="F458" s="880"/>
      <c r="G458" s="1200"/>
      <c r="H458" s="890">
        <v>0</v>
      </c>
      <c r="I458" s="880"/>
      <c r="J458" s="1200"/>
      <c r="K458" s="890">
        <v>0</v>
      </c>
      <c r="L458" s="880"/>
      <c r="M458" s="1200"/>
      <c r="N458" s="890">
        <v>0</v>
      </c>
      <c r="O458" s="880"/>
      <c r="P458" s="1200"/>
      <c r="Q458" s="890">
        <v>0</v>
      </c>
      <c r="R458" s="880"/>
      <c r="S458" s="1200"/>
      <c r="T458" s="890">
        <v>0</v>
      </c>
      <c r="U458" s="880"/>
      <c r="V458" s="1200"/>
      <c r="W458" s="890">
        <v>0</v>
      </c>
      <c r="X458" s="880"/>
      <c r="Y458" s="1200"/>
      <c r="Z458" s="890">
        <v>0</v>
      </c>
      <c r="AA458" s="880"/>
      <c r="AB458" s="1200"/>
      <c r="AC458" s="890">
        <v>0</v>
      </c>
      <c r="AD458" s="880"/>
      <c r="AE458" s="1200"/>
      <c r="AF458" s="890">
        <v>0</v>
      </c>
      <c r="AG458" s="880"/>
      <c r="AH458" s="1200"/>
      <c r="AI458" s="890">
        <v>0</v>
      </c>
      <c r="AJ458" s="880"/>
      <c r="AK458" s="1200"/>
      <c r="AL458" s="890">
        <v>0</v>
      </c>
      <c r="AM458" s="880"/>
      <c r="AN458" s="1200"/>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200"/>
      <c r="E460" s="879">
        <f t="shared" si="1345"/>
        <v>34061.836500000005</v>
      </c>
      <c r="F460" s="880"/>
      <c r="G460" s="1200"/>
      <c r="H460" s="890">
        <v>2838.4863750000004</v>
      </c>
      <c r="I460" s="880"/>
      <c r="J460" s="1200"/>
      <c r="K460" s="890">
        <v>2838.4863750000004</v>
      </c>
      <c r="L460" s="880"/>
      <c r="M460" s="1200"/>
      <c r="N460" s="890">
        <v>2838.4863750000004</v>
      </c>
      <c r="O460" s="880"/>
      <c r="P460" s="1200"/>
      <c r="Q460" s="890">
        <v>2838.4863750000004</v>
      </c>
      <c r="R460" s="880"/>
      <c r="S460" s="1200"/>
      <c r="T460" s="890">
        <v>2838.4863750000004</v>
      </c>
      <c r="U460" s="880"/>
      <c r="V460" s="1200"/>
      <c r="W460" s="890">
        <v>2838.4863750000004</v>
      </c>
      <c r="X460" s="880"/>
      <c r="Y460" s="1200"/>
      <c r="Z460" s="890">
        <v>2838.4863750000004</v>
      </c>
      <c r="AA460" s="880"/>
      <c r="AB460" s="1200"/>
      <c r="AC460" s="890">
        <v>2838.4863750000004</v>
      </c>
      <c r="AD460" s="880"/>
      <c r="AE460" s="1200"/>
      <c r="AF460" s="890">
        <v>2838.4863750000004</v>
      </c>
      <c r="AG460" s="880"/>
      <c r="AH460" s="1200"/>
      <c r="AI460" s="890">
        <v>2838.4863750000004</v>
      </c>
      <c r="AJ460" s="880"/>
      <c r="AK460" s="1200"/>
      <c r="AL460" s="890">
        <v>2838.4863750000004</v>
      </c>
      <c r="AM460" s="880"/>
      <c r="AN460" s="1200"/>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200"/>
      <c r="E461" s="879">
        <f t="shared" si="1345"/>
        <v>73474</v>
      </c>
      <c r="F461" s="880"/>
      <c r="G461" s="1200"/>
      <c r="H461" s="890">
        <v>6122.833333333333</v>
      </c>
      <c r="I461" s="880"/>
      <c r="J461" s="1200"/>
      <c r="K461" s="890">
        <v>6122.833333333333</v>
      </c>
      <c r="L461" s="880"/>
      <c r="M461" s="1200"/>
      <c r="N461" s="890">
        <v>6122.833333333333</v>
      </c>
      <c r="O461" s="880"/>
      <c r="P461" s="1200"/>
      <c r="Q461" s="890">
        <v>6122.833333333333</v>
      </c>
      <c r="R461" s="880"/>
      <c r="S461" s="1200"/>
      <c r="T461" s="890">
        <v>6122.833333333333</v>
      </c>
      <c r="U461" s="880"/>
      <c r="V461" s="1200"/>
      <c r="W461" s="890">
        <v>6122.833333333333</v>
      </c>
      <c r="X461" s="880"/>
      <c r="Y461" s="1200"/>
      <c r="Z461" s="890">
        <v>6122.833333333333</v>
      </c>
      <c r="AA461" s="880"/>
      <c r="AB461" s="1200"/>
      <c r="AC461" s="890">
        <v>6122.833333333333</v>
      </c>
      <c r="AD461" s="880"/>
      <c r="AE461" s="1200"/>
      <c r="AF461" s="890">
        <v>6122.833333333333</v>
      </c>
      <c r="AG461" s="880"/>
      <c r="AH461" s="1200"/>
      <c r="AI461" s="890">
        <v>6122.833333333333</v>
      </c>
      <c r="AJ461" s="880"/>
      <c r="AK461" s="1200"/>
      <c r="AL461" s="890">
        <v>6122.833333333333</v>
      </c>
      <c r="AM461" s="880"/>
      <c r="AN461" s="1200"/>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200"/>
      <c r="E463" s="879">
        <f t="shared" si="1345"/>
        <v>2767.5</v>
      </c>
      <c r="F463" s="880"/>
      <c r="G463" s="1200"/>
      <c r="H463" s="890">
        <v>230.625</v>
      </c>
      <c r="I463" s="880"/>
      <c r="J463" s="1200"/>
      <c r="K463" s="890">
        <v>230.625</v>
      </c>
      <c r="L463" s="880"/>
      <c r="M463" s="1200"/>
      <c r="N463" s="890">
        <v>230.625</v>
      </c>
      <c r="O463" s="880"/>
      <c r="P463" s="1200"/>
      <c r="Q463" s="890">
        <v>230.625</v>
      </c>
      <c r="R463" s="880"/>
      <c r="S463" s="1200"/>
      <c r="T463" s="890">
        <v>230.625</v>
      </c>
      <c r="U463" s="880"/>
      <c r="V463" s="1200"/>
      <c r="W463" s="890">
        <v>230.625</v>
      </c>
      <c r="X463" s="880"/>
      <c r="Y463" s="1200"/>
      <c r="Z463" s="890">
        <v>230.625</v>
      </c>
      <c r="AA463" s="880"/>
      <c r="AB463" s="1200"/>
      <c r="AC463" s="890">
        <v>230.625</v>
      </c>
      <c r="AD463" s="880"/>
      <c r="AE463" s="1200"/>
      <c r="AF463" s="890">
        <v>230.625</v>
      </c>
      <c r="AG463" s="880"/>
      <c r="AH463" s="1200"/>
      <c r="AI463" s="890">
        <v>230.625</v>
      </c>
      <c r="AJ463" s="880"/>
      <c r="AK463" s="1200"/>
      <c r="AL463" s="890">
        <v>230.625</v>
      </c>
      <c r="AM463" s="880"/>
      <c r="AN463" s="1200"/>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200"/>
      <c r="E464" s="879">
        <f t="shared" si="1345"/>
        <v>0</v>
      </c>
      <c r="F464" s="880"/>
      <c r="G464" s="1200"/>
      <c r="H464" s="890">
        <v>0</v>
      </c>
      <c r="I464" s="880"/>
      <c r="J464" s="1200"/>
      <c r="K464" s="890">
        <v>0</v>
      </c>
      <c r="L464" s="880"/>
      <c r="M464" s="1200"/>
      <c r="N464" s="890">
        <v>0</v>
      </c>
      <c r="O464" s="880"/>
      <c r="P464" s="1200"/>
      <c r="Q464" s="890">
        <v>0</v>
      </c>
      <c r="R464" s="880"/>
      <c r="S464" s="1200"/>
      <c r="T464" s="890">
        <v>0</v>
      </c>
      <c r="U464" s="880"/>
      <c r="V464" s="1200"/>
      <c r="W464" s="890">
        <v>0</v>
      </c>
      <c r="X464" s="880"/>
      <c r="Y464" s="1200"/>
      <c r="Z464" s="890">
        <v>0</v>
      </c>
      <c r="AA464" s="880"/>
      <c r="AB464" s="1200"/>
      <c r="AC464" s="890">
        <v>0</v>
      </c>
      <c r="AD464" s="880"/>
      <c r="AE464" s="1200"/>
      <c r="AF464" s="890">
        <v>0</v>
      </c>
      <c r="AG464" s="880"/>
      <c r="AH464" s="1200"/>
      <c r="AI464" s="890">
        <v>0</v>
      </c>
      <c r="AJ464" s="880"/>
      <c r="AK464" s="1200"/>
      <c r="AL464" s="890">
        <v>0</v>
      </c>
      <c r="AM464" s="880"/>
      <c r="AN464" s="1200"/>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200"/>
      <c r="E465" s="879">
        <f t="shared" si="1345"/>
        <v>0</v>
      </c>
      <c r="F465" s="880"/>
      <c r="G465" s="1200"/>
      <c r="H465" s="879"/>
      <c r="I465" s="880"/>
      <c r="J465" s="1200"/>
      <c r="K465" s="879"/>
      <c r="L465" s="880"/>
      <c r="M465" s="1200"/>
      <c r="N465" s="879"/>
      <c r="O465" s="880"/>
      <c r="P465" s="1200"/>
      <c r="Q465" s="879"/>
      <c r="R465" s="880"/>
      <c r="S465" s="1200"/>
      <c r="T465" s="879"/>
      <c r="U465" s="880"/>
      <c r="V465" s="1200"/>
      <c r="W465" s="879"/>
      <c r="X465" s="880"/>
      <c r="Y465" s="1200"/>
      <c r="Z465" s="879"/>
      <c r="AA465" s="880"/>
      <c r="AB465" s="1200"/>
      <c r="AC465" s="879"/>
      <c r="AD465" s="880"/>
      <c r="AE465" s="1200"/>
      <c r="AF465" s="879"/>
      <c r="AG465" s="880"/>
      <c r="AH465" s="1200"/>
      <c r="AI465" s="879"/>
      <c r="AJ465" s="880"/>
      <c r="AK465" s="1200"/>
      <c r="AL465" s="879"/>
      <c r="AM465" s="880"/>
      <c r="AN465" s="1200"/>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200"/>
      <c r="E466" s="879">
        <f t="shared" si="1345"/>
        <v>0</v>
      </c>
      <c r="F466" s="880"/>
      <c r="G466" s="1200"/>
      <c r="H466" s="879"/>
      <c r="I466" s="880"/>
      <c r="J466" s="1200"/>
      <c r="K466" s="879"/>
      <c r="L466" s="880"/>
      <c r="M466" s="1200"/>
      <c r="N466" s="879"/>
      <c r="O466" s="880"/>
      <c r="P466" s="1200"/>
      <c r="Q466" s="879"/>
      <c r="R466" s="880"/>
      <c r="S466" s="1200"/>
      <c r="T466" s="879"/>
      <c r="U466" s="880"/>
      <c r="V466" s="1200"/>
      <c r="W466" s="879"/>
      <c r="X466" s="880"/>
      <c r="Y466" s="1200"/>
      <c r="Z466" s="879"/>
      <c r="AA466" s="880"/>
      <c r="AB466" s="1200"/>
      <c r="AC466" s="879"/>
      <c r="AD466" s="880"/>
      <c r="AE466" s="1200"/>
      <c r="AF466" s="879"/>
      <c r="AG466" s="880"/>
      <c r="AH466" s="1200"/>
      <c r="AI466" s="879"/>
      <c r="AJ466" s="880"/>
      <c r="AK466" s="1200"/>
      <c r="AL466" s="879"/>
      <c r="AM466" s="880"/>
      <c r="AN466" s="1200"/>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200"/>
      <c r="E467" s="879">
        <f t="shared" si="1345"/>
        <v>0</v>
      </c>
      <c r="F467" s="880"/>
      <c r="G467" s="1200"/>
      <c r="H467" s="879"/>
      <c r="I467" s="880"/>
      <c r="J467" s="1200"/>
      <c r="K467" s="879"/>
      <c r="L467" s="880"/>
      <c r="M467" s="1200"/>
      <c r="N467" s="879"/>
      <c r="O467" s="880"/>
      <c r="P467" s="1200"/>
      <c r="Q467" s="879"/>
      <c r="R467" s="880"/>
      <c r="S467" s="1200"/>
      <c r="T467" s="879"/>
      <c r="U467" s="880"/>
      <c r="V467" s="1200"/>
      <c r="W467" s="879"/>
      <c r="X467" s="880"/>
      <c r="Y467" s="1200"/>
      <c r="Z467" s="879"/>
      <c r="AA467" s="880"/>
      <c r="AB467" s="1200"/>
      <c r="AC467" s="879"/>
      <c r="AD467" s="880"/>
      <c r="AE467" s="1200"/>
      <c r="AF467" s="879"/>
      <c r="AG467" s="880"/>
      <c r="AH467" s="1200"/>
      <c r="AI467" s="879"/>
      <c r="AJ467" s="880"/>
      <c r="AK467" s="1200"/>
      <c r="AL467" s="879"/>
      <c r="AM467" s="880"/>
      <c r="AN467" s="1200"/>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208"/>
      <c r="D469" s="1209"/>
      <c r="E469" s="1210">
        <f>+E464+SUM(E442:E450,E440)</f>
        <v>257626.90283842714</v>
      </c>
      <c r="F469" s="1208"/>
      <c r="G469" s="1209"/>
      <c r="H469" s="1210">
        <f>+H464+SUM(H442:H450,H440)</f>
        <v>18596.278709719751</v>
      </c>
      <c r="I469" s="1208"/>
      <c r="J469" s="1209"/>
      <c r="K469" s="1210">
        <f>+K464+SUM(K442:K450,K440)</f>
        <v>17856.05621809966</v>
      </c>
      <c r="L469" s="1208"/>
      <c r="M469" s="1209"/>
      <c r="N469" s="1210">
        <f>+N464+SUM(N442:N450,N440)</f>
        <v>19663.040678257301</v>
      </c>
      <c r="O469" s="1208"/>
      <c r="P469" s="1209"/>
      <c r="Q469" s="1210">
        <f>+Q464+SUM(Q442:Q450,Q440)</f>
        <v>25049.768686541869</v>
      </c>
      <c r="R469" s="1208"/>
      <c r="S469" s="1209"/>
      <c r="T469" s="1210">
        <f>+T464+SUM(T442:T450,T440)</f>
        <v>24442.080498502051</v>
      </c>
      <c r="U469" s="1208"/>
      <c r="V469" s="1209"/>
      <c r="W469" s="1210">
        <f>+W464+SUM(W442:W450,W440)</f>
        <v>20646.218272374757</v>
      </c>
      <c r="X469" s="1208"/>
      <c r="Y469" s="1209"/>
      <c r="Z469" s="1210">
        <f>+Z464+SUM(Z442:Z450,Z440)</f>
        <v>20442.115956989768</v>
      </c>
      <c r="AA469" s="1208"/>
      <c r="AB469" s="1209"/>
      <c r="AC469" s="1210">
        <f>+AC464+SUM(AC442:AC450,AC440)</f>
        <v>20950.26863485256</v>
      </c>
      <c r="AD469" s="1208"/>
      <c r="AE469" s="1209"/>
      <c r="AF469" s="1210">
        <f>+AF464+SUM(AF442:AF450,AF440)</f>
        <v>18937.449601399116</v>
      </c>
      <c r="AG469" s="1208"/>
      <c r="AH469" s="1209"/>
      <c r="AI469" s="1210">
        <f>+AI464+SUM(AI442:AI450,AI440)</f>
        <v>23715.594118101337</v>
      </c>
      <c r="AJ469" s="1208"/>
      <c r="AK469" s="1209"/>
      <c r="AL469" s="1210">
        <f>+AL464+SUM(AL442:AL450,AL440)</f>
        <v>27887.374653890827</v>
      </c>
      <c r="AM469" s="1208"/>
      <c r="AN469" s="1209"/>
      <c r="AO469" s="1210">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211"/>
      <c r="E472" s="879">
        <f t="shared" si="1390"/>
        <v>868219.1549999998</v>
      </c>
      <c r="F472" s="900"/>
      <c r="G472" s="1211"/>
      <c r="H472" s="879">
        <v>40795.839813252998</v>
      </c>
      <c r="I472" s="900"/>
      <c r="J472" s="1211"/>
      <c r="K472" s="879">
        <v>41841.886987951802</v>
      </c>
      <c r="L472" s="900"/>
      <c r="M472" s="1211"/>
      <c r="N472" s="879">
        <v>77407.490927710824</v>
      </c>
      <c r="O472" s="900"/>
      <c r="P472" s="1211"/>
      <c r="Q472" s="879">
        <v>85775.868325301184</v>
      </c>
      <c r="R472" s="900"/>
      <c r="S472" s="1211"/>
      <c r="T472" s="879">
        <v>100420.52877108431</v>
      </c>
      <c r="U472" s="900"/>
      <c r="V472" s="1211"/>
      <c r="W472" s="879">
        <v>77407.490927710824</v>
      </c>
      <c r="X472" s="900"/>
      <c r="Y472" s="1211"/>
      <c r="Z472" s="879">
        <v>88914.009849397567</v>
      </c>
      <c r="AA472" s="900"/>
      <c r="AB472" s="1211"/>
      <c r="AC472" s="879">
        <v>85775.868325301184</v>
      </c>
      <c r="AD472" s="900"/>
      <c r="AE472" s="1211"/>
      <c r="AF472" s="879">
        <v>75315.39657831323</v>
      </c>
      <c r="AG472" s="900"/>
      <c r="AH472" s="1211"/>
      <c r="AI472" s="879">
        <v>80545.632451807207</v>
      </c>
      <c r="AJ472" s="900"/>
      <c r="AK472" s="1211"/>
      <c r="AL472" s="879">
        <v>72177.255054216846</v>
      </c>
      <c r="AM472" s="900"/>
      <c r="AN472" s="1211"/>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211"/>
      <c r="E473" s="879">
        <f t="shared" si="1390"/>
        <v>66483</v>
      </c>
      <c r="F473" s="900"/>
      <c r="G473" s="1211"/>
      <c r="H473" s="879">
        <v>0</v>
      </c>
      <c r="I473" s="900"/>
      <c r="J473" s="1211"/>
      <c r="K473" s="879">
        <v>0</v>
      </c>
      <c r="L473" s="900"/>
      <c r="M473" s="1211"/>
      <c r="N473" s="879">
        <v>12255.3</v>
      </c>
      <c r="O473" s="900"/>
      <c r="P473" s="1211"/>
      <c r="Q473" s="879">
        <v>0</v>
      </c>
      <c r="R473" s="900"/>
      <c r="S473" s="1211"/>
      <c r="T473" s="879">
        <v>0</v>
      </c>
      <c r="U473" s="900"/>
      <c r="V473" s="1211"/>
      <c r="W473" s="879">
        <v>20185.2</v>
      </c>
      <c r="X473" s="900"/>
      <c r="Y473" s="1211"/>
      <c r="Z473" s="879">
        <v>0</v>
      </c>
      <c r="AA473" s="900"/>
      <c r="AB473" s="1211"/>
      <c r="AC473" s="879">
        <v>0</v>
      </c>
      <c r="AD473" s="900"/>
      <c r="AE473" s="1211"/>
      <c r="AF473" s="879">
        <v>19143.900000000001</v>
      </c>
      <c r="AG473" s="900"/>
      <c r="AH473" s="1211"/>
      <c r="AI473" s="879">
        <v>0</v>
      </c>
      <c r="AJ473" s="900"/>
      <c r="AK473" s="1211"/>
      <c r="AL473" s="879">
        <v>0</v>
      </c>
      <c r="AM473" s="900"/>
      <c r="AN473" s="1211"/>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211"/>
      <c r="E474" s="879">
        <f t="shared" si="1390"/>
        <v>0</v>
      </c>
      <c r="F474" s="900"/>
      <c r="G474" s="1211"/>
      <c r="H474" s="879">
        <v>0</v>
      </c>
      <c r="I474" s="900"/>
      <c r="J474" s="1211"/>
      <c r="K474" s="879">
        <v>0</v>
      </c>
      <c r="L474" s="900"/>
      <c r="M474" s="1211"/>
      <c r="N474" s="879">
        <v>0</v>
      </c>
      <c r="O474" s="900"/>
      <c r="P474" s="1211"/>
      <c r="Q474" s="879">
        <v>0</v>
      </c>
      <c r="R474" s="900"/>
      <c r="S474" s="1211"/>
      <c r="T474" s="879">
        <v>0</v>
      </c>
      <c r="U474" s="900"/>
      <c r="V474" s="1211"/>
      <c r="W474" s="879">
        <v>0</v>
      </c>
      <c r="X474" s="900"/>
      <c r="Y474" s="1211"/>
      <c r="Z474" s="879">
        <v>0</v>
      </c>
      <c r="AA474" s="900"/>
      <c r="AB474" s="1211"/>
      <c r="AC474" s="879">
        <v>0</v>
      </c>
      <c r="AD474" s="900"/>
      <c r="AE474" s="1211"/>
      <c r="AF474" s="879">
        <v>0</v>
      </c>
      <c r="AG474" s="900"/>
      <c r="AH474" s="1211"/>
      <c r="AI474" s="879">
        <v>0</v>
      </c>
      <c r="AJ474" s="900"/>
      <c r="AK474" s="1211"/>
      <c r="AL474" s="879">
        <v>0</v>
      </c>
      <c r="AM474" s="900"/>
      <c r="AN474" s="1211"/>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211"/>
      <c r="E475" s="879">
        <f t="shared" si="1390"/>
        <v>0</v>
      </c>
      <c r="F475" s="900"/>
      <c r="G475" s="1211"/>
      <c r="H475" s="879">
        <v>0</v>
      </c>
      <c r="I475" s="900"/>
      <c r="J475" s="1211"/>
      <c r="K475" s="879">
        <v>0</v>
      </c>
      <c r="L475" s="900"/>
      <c r="M475" s="1211"/>
      <c r="N475" s="879">
        <v>0</v>
      </c>
      <c r="O475" s="900"/>
      <c r="P475" s="1211"/>
      <c r="Q475" s="879">
        <v>0</v>
      </c>
      <c r="R475" s="900"/>
      <c r="S475" s="1211"/>
      <c r="T475" s="879">
        <v>0</v>
      </c>
      <c r="U475" s="900"/>
      <c r="V475" s="1211"/>
      <c r="W475" s="879">
        <v>0</v>
      </c>
      <c r="X475" s="900"/>
      <c r="Y475" s="1211"/>
      <c r="Z475" s="879">
        <v>0</v>
      </c>
      <c r="AA475" s="900"/>
      <c r="AB475" s="1211"/>
      <c r="AC475" s="879">
        <v>0</v>
      </c>
      <c r="AD475" s="900"/>
      <c r="AE475" s="1211"/>
      <c r="AF475" s="879">
        <v>0</v>
      </c>
      <c r="AG475" s="900"/>
      <c r="AH475" s="1211"/>
      <c r="AI475" s="879">
        <v>0</v>
      </c>
      <c r="AJ475" s="900"/>
      <c r="AK475" s="1211"/>
      <c r="AL475" s="879">
        <v>0</v>
      </c>
      <c r="AM475" s="900"/>
      <c r="AN475" s="1211"/>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211"/>
      <c r="E476" s="879">
        <f t="shared" si="1390"/>
        <v>0</v>
      </c>
      <c r="F476" s="900"/>
      <c r="G476" s="1211"/>
      <c r="H476" s="879">
        <v>0</v>
      </c>
      <c r="I476" s="900"/>
      <c r="J476" s="1211"/>
      <c r="K476" s="879">
        <v>0</v>
      </c>
      <c r="L476" s="900"/>
      <c r="M476" s="1211"/>
      <c r="N476" s="879">
        <v>0</v>
      </c>
      <c r="O476" s="900"/>
      <c r="P476" s="1211"/>
      <c r="Q476" s="879">
        <v>0</v>
      </c>
      <c r="R476" s="900"/>
      <c r="S476" s="1211"/>
      <c r="T476" s="879">
        <v>0</v>
      </c>
      <c r="U476" s="900"/>
      <c r="V476" s="1211"/>
      <c r="W476" s="879">
        <v>0</v>
      </c>
      <c r="X476" s="900"/>
      <c r="Y476" s="1211"/>
      <c r="Z476" s="879">
        <v>0</v>
      </c>
      <c r="AA476" s="900"/>
      <c r="AB476" s="1211"/>
      <c r="AC476" s="879">
        <v>0</v>
      </c>
      <c r="AD476" s="900"/>
      <c r="AE476" s="1211"/>
      <c r="AF476" s="879">
        <v>0</v>
      </c>
      <c r="AG476" s="900"/>
      <c r="AH476" s="1211"/>
      <c r="AI476" s="879">
        <v>0</v>
      </c>
      <c r="AJ476" s="900"/>
      <c r="AK476" s="1211"/>
      <c r="AL476" s="879">
        <v>0</v>
      </c>
      <c r="AM476" s="900"/>
      <c r="AN476" s="1211"/>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211"/>
      <c r="E477" s="879">
        <f t="shared" si="1390"/>
        <v>0</v>
      </c>
      <c r="F477" s="900"/>
      <c r="G477" s="1211"/>
      <c r="H477" s="879">
        <v>0</v>
      </c>
      <c r="I477" s="900"/>
      <c r="J477" s="1211"/>
      <c r="K477" s="879">
        <v>0</v>
      </c>
      <c r="L477" s="900"/>
      <c r="M477" s="1211"/>
      <c r="N477" s="879">
        <v>0</v>
      </c>
      <c r="O477" s="900"/>
      <c r="P477" s="1211"/>
      <c r="Q477" s="879">
        <v>0</v>
      </c>
      <c r="R477" s="900"/>
      <c r="S477" s="1211"/>
      <c r="T477" s="879">
        <v>0</v>
      </c>
      <c r="U477" s="900"/>
      <c r="V477" s="1211"/>
      <c r="W477" s="879">
        <v>0</v>
      </c>
      <c r="X477" s="900"/>
      <c r="Y477" s="1211"/>
      <c r="Z477" s="879">
        <v>0</v>
      </c>
      <c r="AA477" s="900"/>
      <c r="AB477" s="1211"/>
      <c r="AC477" s="879">
        <v>0</v>
      </c>
      <c r="AD477" s="900"/>
      <c r="AE477" s="1211"/>
      <c r="AF477" s="879">
        <v>0</v>
      </c>
      <c r="AG477" s="900"/>
      <c r="AH477" s="1211"/>
      <c r="AI477" s="879">
        <v>0</v>
      </c>
      <c r="AJ477" s="900"/>
      <c r="AK477" s="1211"/>
      <c r="AL477" s="879">
        <v>0</v>
      </c>
      <c r="AM477" s="900"/>
      <c r="AN477" s="1211"/>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211"/>
      <c r="E478" s="879">
        <f t="shared" si="1390"/>
        <v>0</v>
      </c>
      <c r="F478" s="900"/>
      <c r="G478" s="1211"/>
      <c r="H478" s="879">
        <v>0</v>
      </c>
      <c r="I478" s="900"/>
      <c r="J478" s="1211"/>
      <c r="K478" s="879">
        <v>0</v>
      </c>
      <c r="L478" s="900"/>
      <c r="M478" s="1211"/>
      <c r="N478" s="879">
        <v>0</v>
      </c>
      <c r="O478" s="900"/>
      <c r="P478" s="1211"/>
      <c r="Q478" s="879">
        <v>0</v>
      </c>
      <c r="R478" s="900"/>
      <c r="S478" s="1211"/>
      <c r="T478" s="879">
        <v>0</v>
      </c>
      <c r="U478" s="900"/>
      <c r="V478" s="1211"/>
      <c r="W478" s="879">
        <v>0</v>
      </c>
      <c r="X478" s="900"/>
      <c r="Y478" s="1211"/>
      <c r="Z478" s="879">
        <v>0</v>
      </c>
      <c r="AA478" s="900"/>
      <c r="AB478" s="1211"/>
      <c r="AC478" s="879">
        <v>0</v>
      </c>
      <c r="AD478" s="900"/>
      <c r="AE478" s="1211"/>
      <c r="AF478" s="879">
        <v>0</v>
      </c>
      <c r="AG478" s="900"/>
      <c r="AH478" s="1211"/>
      <c r="AI478" s="879">
        <v>0</v>
      </c>
      <c r="AJ478" s="900"/>
      <c r="AK478" s="1211"/>
      <c r="AL478" s="879">
        <v>0</v>
      </c>
      <c r="AM478" s="900"/>
      <c r="AN478" s="1211"/>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211"/>
      <c r="E479" s="879">
        <f t="shared" si="1390"/>
        <v>0</v>
      </c>
      <c r="F479" s="900"/>
      <c r="G479" s="1211"/>
      <c r="H479" s="879">
        <v>0</v>
      </c>
      <c r="I479" s="900"/>
      <c r="J479" s="1211"/>
      <c r="K479" s="879">
        <v>0</v>
      </c>
      <c r="L479" s="900"/>
      <c r="M479" s="1211"/>
      <c r="N479" s="879">
        <v>0</v>
      </c>
      <c r="O479" s="900"/>
      <c r="P479" s="1211"/>
      <c r="Q479" s="879">
        <v>0</v>
      </c>
      <c r="R479" s="900"/>
      <c r="S479" s="1211"/>
      <c r="T479" s="879">
        <v>0</v>
      </c>
      <c r="U479" s="900"/>
      <c r="V479" s="1211"/>
      <c r="W479" s="879">
        <v>0</v>
      </c>
      <c r="X479" s="900"/>
      <c r="Y479" s="1211"/>
      <c r="Z479" s="879">
        <v>0</v>
      </c>
      <c r="AA479" s="900"/>
      <c r="AB479" s="1211"/>
      <c r="AC479" s="879">
        <v>0</v>
      </c>
      <c r="AD479" s="900"/>
      <c r="AE479" s="1211"/>
      <c r="AF479" s="879">
        <v>0</v>
      </c>
      <c r="AG479" s="900"/>
      <c r="AH479" s="1211"/>
      <c r="AI479" s="879">
        <v>0</v>
      </c>
      <c r="AJ479" s="900"/>
      <c r="AK479" s="1211"/>
      <c r="AL479" s="879">
        <v>0</v>
      </c>
      <c r="AM479" s="900"/>
      <c r="AN479" s="1211"/>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211"/>
      <c r="E480" s="879">
        <f t="shared" si="1390"/>
        <v>0</v>
      </c>
      <c r="F480" s="900"/>
      <c r="G480" s="1211"/>
      <c r="H480" s="879">
        <v>0</v>
      </c>
      <c r="I480" s="900"/>
      <c r="J480" s="1211"/>
      <c r="K480" s="879">
        <v>0</v>
      </c>
      <c r="L480" s="900"/>
      <c r="M480" s="1211"/>
      <c r="N480" s="879">
        <v>0</v>
      </c>
      <c r="O480" s="900"/>
      <c r="P480" s="1211"/>
      <c r="Q480" s="879">
        <v>0</v>
      </c>
      <c r="R480" s="900"/>
      <c r="S480" s="1211"/>
      <c r="T480" s="879">
        <v>0</v>
      </c>
      <c r="U480" s="900"/>
      <c r="V480" s="1211"/>
      <c r="W480" s="879">
        <v>0</v>
      </c>
      <c r="X480" s="900"/>
      <c r="Y480" s="1211"/>
      <c r="Z480" s="879">
        <v>0</v>
      </c>
      <c r="AA480" s="900"/>
      <c r="AB480" s="1211"/>
      <c r="AC480" s="879">
        <v>0</v>
      </c>
      <c r="AD480" s="900"/>
      <c r="AE480" s="1211"/>
      <c r="AF480" s="879">
        <v>0</v>
      </c>
      <c r="AG480" s="900"/>
      <c r="AH480" s="1211"/>
      <c r="AI480" s="879">
        <v>0</v>
      </c>
      <c r="AJ480" s="900"/>
      <c r="AK480" s="1211"/>
      <c r="AL480" s="879">
        <v>0</v>
      </c>
      <c r="AM480" s="900"/>
      <c r="AN480" s="1211"/>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211"/>
      <c r="E481" s="879">
        <f t="shared" si="1390"/>
        <v>0</v>
      </c>
      <c r="F481" s="900"/>
      <c r="G481" s="1211"/>
      <c r="H481" s="879">
        <v>0</v>
      </c>
      <c r="I481" s="900"/>
      <c r="J481" s="1211"/>
      <c r="K481" s="879">
        <v>0</v>
      </c>
      <c r="L481" s="900"/>
      <c r="M481" s="1211"/>
      <c r="N481" s="879">
        <v>0</v>
      </c>
      <c r="O481" s="900"/>
      <c r="P481" s="1211"/>
      <c r="Q481" s="879">
        <v>0</v>
      </c>
      <c r="R481" s="900"/>
      <c r="S481" s="1211"/>
      <c r="T481" s="879">
        <v>0</v>
      </c>
      <c r="U481" s="900"/>
      <c r="V481" s="1211"/>
      <c r="W481" s="879">
        <v>0</v>
      </c>
      <c r="X481" s="900"/>
      <c r="Y481" s="1211"/>
      <c r="Z481" s="879">
        <v>0</v>
      </c>
      <c r="AA481" s="900"/>
      <c r="AB481" s="1211"/>
      <c r="AC481" s="879">
        <v>0</v>
      </c>
      <c r="AD481" s="900"/>
      <c r="AE481" s="1211"/>
      <c r="AF481" s="879">
        <v>0</v>
      </c>
      <c r="AG481" s="900"/>
      <c r="AH481" s="1211"/>
      <c r="AI481" s="879">
        <v>0</v>
      </c>
      <c r="AJ481" s="900"/>
      <c r="AK481" s="1211"/>
      <c r="AL481" s="879">
        <v>0</v>
      </c>
      <c r="AM481" s="900"/>
      <c r="AN481" s="1211"/>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211"/>
      <c r="E482" s="879">
        <f t="shared" si="1390"/>
        <v>466830.00000000006</v>
      </c>
      <c r="F482" s="901"/>
      <c r="G482" s="1211"/>
      <c r="H482" s="879">
        <v>23634.08942098491</v>
      </c>
      <c r="I482" s="901"/>
      <c r="J482" s="1211"/>
      <c r="K482" s="879">
        <v>24615.562030802135</v>
      </c>
      <c r="L482" s="901"/>
      <c r="M482" s="1211"/>
      <c r="N482" s="879">
        <v>42978.459053100451</v>
      </c>
      <c r="O482" s="901"/>
      <c r="P482" s="1211"/>
      <c r="Q482" s="879">
        <v>45443.65398353272</v>
      </c>
      <c r="R482" s="901"/>
      <c r="S482" s="1211"/>
      <c r="T482" s="879">
        <v>50884.290621497938</v>
      </c>
      <c r="U482" s="901"/>
      <c r="V482" s="1211"/>
      <c r="W482" s="879">
        <v>43797.764878343165</v>
      </c>
      <c r="X482" s="901"/>
      <c r="Y482" s="1211"/>
      <c r="Z482" s="879">
        <v>46931.374837299198</v>
      </c>
      <c r="AA482" s="901"/>
      <c r="AB482" s="1211"/>
      <c r="AC482" s="879">
        <v>44624.348158290006</v>
      </c>
      <c r="AD482" s="901"/>
      <c r="AE482" s="1211"/>
      <c r="AF482" s="879">
        <v>38572.870878744812</v>
      </c>
      <c r="AG482" s="901"/>
      <c r="AH482" s="1211"/>
      <c r="AI482" s="879">
        <v>42417.915343760127</v>
      </c>
      <c r="AJ482" s="901"/>
      <c r="AK482" s="1211"/>
      <c r="AL482" s="879">
        <v>37494.802937599699</v>
      </c>
      <c r="AM482" s="901"/>
      <c r="AN482" s="1211"/>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212"/>
      <c r="D484" s="1213"/>
      <c r="E484" s="1214">
        <f>+E463+E462+E460+E459+E458+E457+E456</f>
        <v>200865.65549999996</v>
      </c>
      <c r="F484" s="1212"/>
      <c r="G484" s="1213"/>
      <c r="H484" s="1214">
        <f>+H463+H462+H460+H459+H458+H457+H456</f>
        <v>16738.804624999997</v>
      </c>
      <c r="I484" s="1212"/>
      <c r="J484" s="1213"/>
      <c r="K484" s="1214">
        <f>+K463+K462+K460+K459+K458+K457+K456</f>
        <v>16738.804624999997</v>
      </c>
      <c r="L484" s="1212"/>
      <c r="M484" s="1213"/>
      <c r="N484" s="1214">
        <f>+N463+N462+N460+N459+N458+N457+N456</f>
        <v>16738.804624999997</v>
      </c>
      <c r="O484" s="1212"/>
      <c r="P484" s="1213"/>
      <c r="Q484" s="1214">
        <f>+Q463+Q462+Q460+Q459+Q458+Q457+Q456</f>
        <v>16738.804624999997</v>
      </c>
      <c r="R484" s="1212"/>
      <c r="S484" s="1213"/>
      <c r="T484" s="1214">
        <f>+T463+T462+T460+T459+T458+T457+T456</f>
        <v>16738.804624999997</v>
      </c>
      <c r="U484" s="1212"/>
      <c r="V484" s="1213"/>
      <c r="W484" s="1214">
        <f>+W463+W462+W460+W459+W458+W457+W456</f>
        <v>16738.804624999997</v>
      </c>
      <c r="X484" s="1212"/>
      <c r="Y484" s="1213"/>
      <c r="Z484" s="1214">
        <f>+Z463+Z462+Z460+Z459+Z458+Z457+Z456</f>
        <v>16738.804624999997</v>
      </c>
      <c r="AA484" s="1212"/>
      <c r="AB484" s="1213"/>
      <c r="AC484" s="1214">
        <f>+AC463+AC462+AC460+AC459+AC458+AC457+AC456</f>
        <v>16738.804624999997</v>
      </c>
      <c r="AD484" s="1212"/>
      <c r="AE484" s="1213"/>
      <c r="AF484" s="1214">
        <f>+AF463+AF462+AF460+AF459+AF458+AF457+AF456</f>
        <v>16738.804624999997</v>
      </c>
      <c r="AG484" s="1212"/>
      <c r="AH484" s="1213"/>
      <c r="AI484" s="1214">
        <f>+AI463+AI462+AI460+AI459+AI458+AI457+AI456</f>
        <v>16738.804624999997</v>
      </c>
      <c r="AJ484" s="1212"/>
      <c r="AK484" s="1213"/>
      <c r="AL484" s="1214">
        <f>+AL463+AL462+AL460+AL459+AL458+AL457+AL456</f>
        <v>16738.804624999997</v>
      </c>
      <c r="AM484" s="1212"/>
      <c r="AN484" s="1213"/>
      <c r="AO484" s="1214">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Budget 2022</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215"/>
      <c r="D492" s="1215"/>
      <c r="E492" s="1215"/>
      <c r="F492" s="917"/>
      <c r="G492" s="1215"/>
      <c r="H492" s="918"/>
      <c r="I492" s="917"/>
      <c r="J492" s="1215"/>
      <c r="K492" s="918"/>
      <c r="L492" s="917"/>
      <c r="M492" s="1215"/>
      <c r="N492" s="918"/>
      <c r="O492" s="917"/>
      <c r="P492" s="1215"/>
      <c r="Q492" s="918"/>
      <c r="R492" s="917"/>
      <c r="S492" s="1215"/>
      <c r="T492" s="918"/>
      <c r="U492" s="917"/>
      <c r="V492" s="1215"/>
      <c r="W492" s="918"/>
      <c r="X492" s="917"/>
      <c r="Y492" s="1215"/>
      <c r="Z492" s="918"/>
      <c r="AA492" s="917"/>
      <c r="AB492" s="1215"/>
      <c r="AC492" s="918"/>
      <c r="AD492" s="917"/>
      <c r="AE492" s="1215"/>
      <c r="AF492" s="918"/>
      <c r="AG492" s="917"/>
      <c r="AH492" s="1215"/>
      <c r="AI492" s="918"/>
      <c r="AJ492" s="917"/>
      <c r="AK492" s="1215"/>
      <c r="AL492" s="918"/>
      <c r="AM492" s="917"/>
      <c r="AN492" s="1215"/>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99"/>
      <c r="D493" s="1200"/>
      <c r="E493" s="1216">
        <f>+SUM(H493,K493,N493,Q493,T493,W493,Z493,AC493,AF493,AI493,AL493,AO493)</f>
        <v>88649</v>
      </c>
      <c r="F493" s="880"/>
      <c r="G493" s="1200"/>
      <c r="H493" s="890">
        <v>7144.916666666667</v>
      </c>
      <c r="I493" s="880"/>
      <c r="J493" s="1200"/>
      <c r="K493" s="890">
        <v>7144.916666666667</v>
      </c>
      <c r="L493" s="880"/>
      <c r="M493" s="1200"/>
      <c r="N493" s="890">
        <v>7144.916666666667</v>
      </c>
      <c r="O493" s="880"/>
      <c r="P493" s="1200"/>
      <c r="Q493" s="890">
        <v>7468.25</v>
      </c>
      <c r="R493" s="880"/>
      <c r="S493" s="1200"/>
      <c r="T493" s="890">
        <v>7468.25</v>
      </c>
      <c r="U493" s="880"/>
      <c r="V493" s="1200"/>
      <c r="W493" s="890">
        <v>7468.25</v>
      </c>
      <c r="X493" s="880"/>
      <c r="Y493" s="1200"/>
      <c r="Z493" s="890">
        <v>7468.25</v>
      </c>
      <c r="AA493" s="880"/>
      <c r="AB493" s="1200"/>
      <c r="AC493" s="890">
        <v>7468.25</v>
      </c>
      <c r="AD493" s="880"/>
      <c r="AE493" s="1200"/>
      <c r="AF493" s="890">
        <v>7468.25</v>
      </c>
      <c r="AG493" s="880"/>
      <c r="AH493" s="1200"/>
      <c r="AI493" s="890">
        <v>7468.25</v>
      </c>
      <c r="AJ493" s="880"/>
      <c r="AK493" s="1200"/>
      <c r="AL493" s="890">
        <v>7468.25</v>
      </c>
      <c r="AM493" s="880"/>
      <c r="AN493" s="1200"/>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216">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216">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216">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216">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216"/>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216"/>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topLeftCell="A67" zoomScaleNormal="100" workbookViewId="0">
      <selection activeCell="D94" sqref="D94"/>
    </sheetView>
  </sheetViews>
  <sheetFormatPr baseColWidth="10" defaultColWidth="11"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279" t="str">
        <f>Parametres!$B$1&amp;" "&amp;"2 pager"&amp;" "&amp;Parametres!$B$3&amp;" "&amp;Parametres!$B$4</f>
        <v>Volks 2 pager Janvier 2022</v>
      </c>
      <c r="C1" s="1279"/>
      <c r="D1" s="1279"/>
      <c r="E1" s="1279"/>
      <c r="F1" s="1279"/>
      <c r="G1" s="1279"/>
      <c r="H1" s="1279"/>
      <c r="I1" s="1279"/>
      <c r="J1" s="1279"/>
      <c r="K1" s="1279"/>
      <c r="L1" s="1279"/>
      <c r="M1" s="1279"/>
    </row>
    <row r="2" spans="2:13">
      <c r="B2" s="653"/>
    </row>
    <row r="3" spans="2:13">
      <c r="B3" s="647" t="s">
        <v>1950</v>
      </c>
      <c r="C3" s="648" t="s">
        <v>1951</v>
      </c>
      <c r="D3" s="649" t="s">
        <v>1972</v>
      </c>
      <c r="E3" s="649" t="s">
        <v>6</v>
      </c>
      <c r="F3" s="650">
        <v>2021</v>
      </c>
      <c r="G3" s="651" t="s">
        <v>1975</v>
      </c>
      <c r="H3" s="649" t="s">
        <v>1973</v>
      </c>
      <c r="I3" s="652" t="s">
        <v>3546</v>
      </c>
      <c r="J3" s="651" t="s">
        <v>1976</v>
      </c>
      <c r="K3" s="649" t="s">
        <v>1974</v>
      </c>
      <c r="L3" s="652" t="s">
        <v>3547</v>
      </c>
      <c r="M3" s="647" t="s">
        <v>1969</v>
      </c>
    </row>
    <row r="4" spans="2:13">
      <c r="B4" s="638" t="s">
        <v>1952</v>
      </c>
      <c r="C4" s="659">
        <f>+Print_Mois!$J$13+Print_Mois!$J$15</f>
        <v>47</v>
      </c>
      <c r="D4" s="659">
        <f>+Print_Mois!$G$13+Print_Mois!$G$15</f>
        <v>38.436144578313261</v>
      </c>
      <c r="E4" s="659">
        <f>+Print_Mois!$D$13+Print_Mois!$D$15</f>
        <v>38.436144578313261</v>
      </c>
      <c r="F4" s="659">
        <f>+Print_Mois!$O$13+Print_Mois!$O$15</f>
        <v>22</v>
      </c>
      <c r="G4" s="661">
        <f>+IFERROR($C4-D4,"")</f>
        <v>8.5638554216867391</v>
      </c>
      <c r="H4" s="660">
        <f>+IFERROR($C4-E4,"")</f>
        <v>8.5638554216867391</v>
      </c>
      <c r="I4" s="662">
        <f>+IFERROR($C4-F4,"")</f>
        <v>25</v>
      </c>
      <c r="J4" s="674">
        <f t="shared" ref="J4:J15" si="0">+IFERROR(G4/ABS($D4),"")</f>
        <v>0.22280734750172379</v>
      </c>
      <c r="K4" s="675">
        <f t="shared" ref="K4:K15" si="1">+IFERROR(H4/ABS($E4),"")</f>
        <v>0.22280734750172379</v>
      </c>
      <c r="L4" s="676">
        <f t="shared" ref="L4:L15" si="2">+IFERROR(I4/ABS($F4),"")</f>
        <v>1.1363636363636365</v>
      </c>
      <c r="M4" s="1276" t="s">
        <v>3548</v>
      </c>
    </row>
    <row r="5" spans="2:13">
      <c r="B5" s="639" t="s">
        <v>1953</v>
      </c>
      <c r="C5" s="1029">
        <f>+Print_Mois!$L$13+Print_Mois!$L$15</f>
        <v>136107.24999999985</v>
      </c>
      <c r="D5" s="1029">
        <f>+Print_Mois!$I$13+Print_Mois!$I$15</f>
        <v>72746.413998959251</v>
      </c>
      <c r="E5" s="1029">
        <f>+Print_Mois!$F$13+Print_Mois!$F$15</f>
        <v>72746.413998959251</v>
      </c>
      <c r="F5" s="1029">
        <f>+Print_Mois!$Q$13+Print_Mois!$Q$15</f>
        <v>27919.490000000082</v>
      </c>
      <c r="G5" s="1030">
        <f>+IFERROR($C5-D5,"")</f>
        <v>63360.836001040603</v>
      </c>
      <c r="H5" s="1031">
        <f t="shared" ref="G5:I15" si="3">+IFERROR($C5-E5,"")</f>
        <v>63360.836001040603</v>
      </c>
      <c r="I5" s="1032">
        <f t="shared" si="3"/>
        <v>108187.75999999978</v>
      </c>
      <c r="J5" s="1033">
        <f t="shared" si="0"/>
        <v>0.87098225902856297</v>
      </c>
      <c r="K5" s="1034">
        <f t="shared" si="1"/>
        <v>0.87098225902856297</v>
      </c>
      <c r="L5" s="1035">
        <f t="shared" si="2"/>
        <v>3.8749905531941828</v>
      </c>
      <c r="M5" s="1277"/>
    </row>
    <row r="6" spans="2:13">
      <c r="B6" s="639" t="s">
        <v>1954</v>
      </c>
      <c r="C6" s="1029">
        <f>+C5/C4</f>
        <v>2895.8989361702097</v>
      </c>
      <c r="D6" s="1029">
        <f t="shared" ref="D6:F6" si="4">+D5/D4</f>
        <v>1892.6563732410559</v>
      </c>
      <c r="E6" s="1029">
        <f t="shared" si="4"/>
        <v>1892.6563732410559</v>
      </c>
      <c r="F6" s="1029">
        <f t="shared" si="4"/>
        <v>1269.067727272731</v>
      </c>
      <c r="G6" s="1030">
        <f t="shared" si="3"/>
        <v>1003.2425629291538</v>
      </c>
      <c r="H6" s="1031">
        <f t="shared" si="3"/>
        <v>1003.2425629291538</v>
      </c>
      <c r="I6" s="1032">
        <f t="shared" si="3"/>
        <v>1626.8312088974787</v>
      </c>
      <c r="J6" s="1033">
        <f t="shared" si="0"/>
        <v>0.53007116194640425</v>
      </c>
      <c r="K6" s="1034">
        <f t="shared" si="1"/>
        <v>0.53007116194640425</v>
      </c>
      <c r="L6" s="1035">
        <f t="shared" si="2"/>
        <v>1.2819104717079155</v>
      </c>
      <c r="M6" s="1277"/>
    </row>
    <row r="7" spans="2:13">
      <c r="B7" s="639" t="s">
        <v>1955</v>
      </c>
      <c r="C7" s="1029">
        <f>+Print_Mois!$L$31</f>
        <v>48991.75</v>
      </c>
      <c r="D7" s="1029">
        <f>+Print_Mois!$I$31</f>
        <v>27554.93208837209</v>
      </c>
      <c r="E7" s="1029">
        <f>+Print_Mois!$F$31</f>
        <v>27554.93208837209</v>
      </c>
      <c r="F7" s="1029">
        <f>+Print_Mois!$Q$31</f>
        <v>19537.41</v>
      </c>
      <c r="G7" s="1030">
        <f t="shared" si="3"/>
        <v>21436.81791162791</v>
      </c>
      <c r="H7" s="1031">
        <f t="shared" si="3"/>
        <v>21436.81791162791</v>
      </c>
      <c r="I7" s="1032">
        <f t="shared" si="3"/>
        <v>29454.34</v>
      </c>
      <c r="J7" s="1033">
        <f t="shared" si="0"/>
        <v>0.77796663925272513</v>
      </c>
      <c r="K7" s="1034">
        <f t="shared" si="1"/>
        <v>0.77796663925272513</v>
      </c>
      <c r="L7" s="1035">
        <f t="shared" si="2"/>
        <v>1.5075867272069328</v>
      </c>
      <c r="M7" s="1277"/>
    </row>
    <row r="8" spans="2:13">
      <c r="B8" s="639" t="s">
        <v>1956</v>
      </c>
      <c r="C8" s="1036">
        <f>+C7/C5</f>
        <v>0.35994959857024555</v>
      </c>
      <c r="D8" s="1036">
        <f t="shared" ref="D8:F8" si="5">+D7/D5</f>
        <v>0.37878062400115425</v>
      </c>
      <c r="E8" s="1036">
        <f t="shared" si="5"/>
        <v>0.37878062400115425</v>
      </c>
      <c r="F8" s="1036">
        <f t="shared" si="5"/>
        <v>0.69977675093635106</v>
      </c>
      <c r="G8" s="1037">
        <f t="shared" si="3"/>
        <v>-1.8831025430908699E-2</v>
      </c>
      <c r="H8" s="1038">
        <f t="shared" si="3"/>
        <v>-1.8831025430908699E-2</v>
      </c>
      <c r="I8" s="1039">
        <f t="shared" si="3"/>
        <v>-0.3398271523661055</v>
      </c>
      <c r="J8" s="1033">
        <f t="shared" si="0"/>
        <v>-4.9714859308250453E-2</v>
      </c>
      <c r="K8" s="1034">
        <f t="shared" si="1"/>
        <v>-4.9714859308250453E-2</v>
      </c>
      <c r="L8" s="1035">
        <f t="shared" si="2"/>
        <v>-0.48562223868025423</v>
      </c>
      <c r="M8" s="1277"/>
    </row>
    <row r="9" spans="2:13">
      <c r="B9" s="639" t="s">
        <v>1957</v>
      </c>
      <c r="C9" s="1029">
        <f>+Print_Mois!$L$24</f>
        <v>49344.130000000005</v>
      </c>
      <c r="D9" s="1029">
        <f>+Print_Mois!$I$24</f>
        <v>32670.722891566271</v>
      </c>
      <c r="E9" s="1029">
        <f>+Print_Mois!$F$24</f>
        <v>32670.722891566271</v>
      </c>
      <c r="F9" s="1029">
        <f>+Print_Mois!$Q$24</f>
        <v>16592.419999999998</v>
      </c>
      <c r="G9" s="1030">
        <f t="shared" si="3"/>
        <v>16673.407108433734</v>
      </c>
      <c r="H9" s="1031">
        <f t="shared" si="3"/>
        <v>16673.407108433734</v>
      </c>
      <c r="I9" s="1032">
        <f t="shared" si="3"/>
        <v>32751.710000000006</v>
      </c>
      <c r="J9" s="1033">
        <f t="shared" si="0"/>
        <v>0.51034705181677698</v>
      </c>
      <c r="K9" s="1034">
        <f t="shared" si="1"/>
        <v>0.51034705181677698</v>
      </c>
      <c r="L9" s="1035">
        <f t="shared" si="2"/>
        <v>1.9738959115065802</v>
      </c>
      <c r="M9" s="1277"/>
    </row>
    <row r="10" spans="2:13">
      <c r="B10" s="639" t="s">
        <v>1958</v>
      </c>
      <c r="C10" s="1029">
        <f>+C9/C4</f>
        <v>1049.8751063829789</v>
      </c>
      <c r="D10" s="1029">
        <f t="shared" ref="D10:F10" si="6">+D9/D4</f>
        <v>850</v>
      </c>
      <c r="E10" s="1029">
        <f t="shared" si="6"/>
        <v>850</v>
      </c>
      <c r="F10" s="1029">
        <f t="shared" si="6"/>
        <v>754.20090909090902</v>
      </c>
      <c r="G10" s="1030">
        <f t="shared" si="3"/>
        <v>199.87510638297886</v>
      </c>
      <c r="H10" s="1031">
        <f t="shared" si="3"/>
        <v>199.87510638297886</v>
      </c>
      <c r="I10" s="1032">
        <f t="shared" si="3"/>
        <v>295.67419729206983</v>
      </c>
      <c r="J10" s="1033">
        <f t="shared" si="0"/>
        <v>0.23514718397997514</v>
      </c>
      <c r="K10" s="1034">
        <f t="shared" si="1"/>
        <v>0.23514718397997514</v>
      </c>
      <c r="L10" s="1035">
        <f t="shared" si="2"/>
        <v>0.39203638410946307</v>
      </c>
      <c r="M10" s="1277"/>
    </row>
    <row r="11" spans="2:13">
      <c r="B11" s="639" t="s">
        <v>1959</v>
      </c>
      <c r="C11" s="1029">
        <f>+Print_Mois!$L$32</f>
        <v>16299.61</v>
      </c>
      <c r="D11" s="1029">
        <f>+Print_Mois!$I$32</f>
        <v>9801.2168674698805</v>
      </c>
      <c r="E11" s="1029">
        <f>+Print_Mois!$F$32</f>
        <v>9801.2168674698805</v>
      </c>
      <c r="F11" s="1029">
        <f>+Print_Mois!$Q$32</f>
        <v>4892.97</v>
      </c>
      <c r="G11" s="1030">
        <f t="shared" si="3"/>
        <v>6498.3931325301201</v>
      </c>
      <c r="H11" s="1031">
        <f t="shared" si="3"/>
        <v>6498.3931325301201</v>
      </c>
      <c r="I11" s="1032">
        <f t="shared" si="3"/>
        <v>11406.64</v>
      </c>
      <c r="J11" s="1033">
        <f t="shared" si="0"/>
        <v>0.66301901288381937</v>
      </c>
      <c r="K11" s="1034">
        <f t="shared" si="1"/>
        <v>0.66301901288381937</v>
      </c>
      <c r="L11" s="1035">
        <f t="shared" si="2"/>
        <v>2.3312303161474519</v>
      </c>
      <c r="M11" s="1277"/>
    </row>
    <row r="12" spans="2:13">
      <c r="B12" s="639" t="s">
        <v>1960</v>
      </c>
      <c r="C12" s="1036">
        <f>+C11/C9</f>
        <v>0.33032520788186964</v>
      </c>
      <c r="D12" s="1036">
        <f t="shared" ref="D12:F12" si="7">+D11/D9</f>
        <v>0.3</v>
      </c>
      <c r="E12" s="1036">
        <f t="shared" si="7"/>
        <v>0.3</v>
      </c>
      <c r="F12" s="1036">
        <f t="shared" si="7"/>
        <v>0.29489188436647584</v>
      </c>
      <c r="G12" s="1040">
        <f t="shared" si="3"/>
        <v>3.0325207881869654E-2</v>
      </c>
      <c r="H12" s="1034">
        <f t="shared" si="3"/>
        <v>3.0325207881869654E-2</v>
      </c>
      <c r="I12" s="1041">
        <f t="shared" si="3"/>
        <v>3.54333235153938E-2</v>
      </c>
      <c r="J12" s="1033">
        <f t="shared" si="0"/>
        <v>0.10108402627289885</v>
      </c>
      <c r="K12" s="1034">
        <f t="shared" si="1"/>
        <v>0.10108402627289885</v>
      </c>
      <c r="L12" s="1035">
        <f t="shared" si="2"/>
        <v>0.1201569978486053</v>
      </c>
      <c r="M12" s="1277"/>
    </row>
    <row r="13" spans="2:13">
      <c r="B13" s="639" t="s">
        <v>1961</v>
      </c>
      <c r="C13" s="1029">
        <f>+Print_Mois!$L$41-C7-C11</f>
        <v>20311.580000000016</v>
      </c>
      <c r="D13" s="1029">
        <f>+Print_Mois!$I$41-D7-D11</f>
        <v>20582.669558858426</v>
      </c>
      <c r="E13" s="1029">
        <f>+Print_Mois!$F$41-E7-E11</f>
        <v>20582.669558858426</v>
      </c>
      <c r="F13" s="1029">
        <f>+Print_Mois!$Q$41-F7-F11</f>
        <v>24307.7</v>
      </c>
      <c r="G13" s="1030">
        <f t="shared" si="3"/>
        <v>-271.08955885840987</v>
      </c>
      <c r="H13" s="1031">
        <f t="shared" si="3"/>
        <v>-271.08955885840987</v>
      </c>
      <c r="I13" s="1032">
        <f t="shared" si="3"/>
        <v>-3996.1199999999844</v>
      </c>
      <c r="J13" s="1033">
        <f t="shared" si="0"/>
        <v>-1.3170767673415696E-2</v>
      </c>
      <c r="K13" s="1034">
        <f t="shared" si="1"/>
        <v>-1.3170767673415696E-2</v>
      </c>
      <c r="L13" s="1035">
        <f t="shared" si="2"/>
        <v>-0.16439728974769247</v>
      </c>
      <c r="M13" s="1277"/>
    </row>
    <row r="14" spans="2:13">
      <c r="B14" s="639" t="s">
        <v>1962</v>
      </c>
      <c r="C14" s="1029">
        <f>+C13/C4</f>
        <v>432.16127659574505</v>
      </c>
      <c r="D14" s="1029">
        <f t="shared" ref="D14:F14" si="8">+D13/D4</f>
        <v>535.50296952706697</v>
      </c>
      <c r="E14" s="1029">
        <f t="shared" si="8"/>
        <v>535.50296952706697</v>
      </c>
      <c r="F14" s="1029">
        <f t="shared" si="8"/>
        <v>1104.8954545454546</v>
      </c>
      <c r="G14" s="1030">
        <f t="shared" si="3"/>
        <v>-103.34169293132192</v>
      </c>
      <c r="H14" s="1031">
        <f t="shared" si="3"/>
        <v>-103.34169293132192</v>
      </c>
      <c r="I14" s="1032">
        <f t="shared" si="3"/>
        <v>-672.73417794970965</v>
      </c>
      <c r="J14" s="1033">
        <f t="shared" si="0"/>
        <v>-0.1929806160040323</v>
      </c>
      <c r="K14" s="1034">
        <f t="shared" si="1"/>
        <v>-0.1929806160040323</v>
      </c>
      <c r="L14" s="1035">
        <f t="shared" si="2"/>
        <v>-0.60886681647764329</v>
      </c>
      <c r="M14" s="1277"/>
    </row>
    <row r="15" spans="2:13">
      <c r="B15" s="639" t="s">
        <v>1963</v>
      </c>
      <c r="C15" s="1029">
        <f>+Print_Mois!$L$83</f>
        <v>68356.850000000006</v>
      </c>
      <c r="D15" s="1029">
        <f>+Print_Mois!$I$83</f>
        <v>54598.259331325287</v>
      </c>
      <c r="E15" s="1029">
        <f>+Print_Mois!$F$83</f>
        <v>54598.259331325287</v>
      </c>
      <c r="F15" s="1029">
        <f>+Print_Mois!$Q$83</f>
        <v>40102</v>
      </c>
      <c r="G15" s="1030">
        <f t="shared" si="3"/>
        <v>13758.590668674718</v>
      </c>
      <c r="H15" s="1031">
        <f t="shared" si="3"/>
        <v>13758.590668674718</v>
      </c>
      <c r="I15" s="1032">
        <f t="shared" si="3"/>
        <v>28254.850000000006</v>
      </c>
      <c r="J15" s="1033">
        <f t="shared" si="0"/>
        <v>0.2519968738413762</v>
      </c>
      <c r="K15" s="1034">
        <f t="shared" si="1"/>
        <v>0.2519968738413762</v>
      </c>
      <c r="L15" s="1035">
        <f t="shared" si="2"/>
        <v>0.70457458480873791</v>
      </c>
      <c r="M15" s="1277"/>
    </row>
    <row r="16" spans="2:13">
      <c r="B16" s="641" t="s">
        <v>1964</v>
      </c>
      <c r="C16" s="1042"/>
      <c r="D16" s="1042"/>
      <c r="E16" s="1042"/>
      <c r="F16" s="1042"/>
      <c r="G16" s="1043"/>
      <c r="H16" s="1044"/>
      <c r="I16" s="1045"/>
      <c r="J16" s="1046"/>
      <c r="K16" s="1047"/>
      <c r="L16" s="1048"/>
      <c r="M16" s="1277"/>
    </row>
    <row r="17" spans="2:13">
      <c r="B17" s="685" t="s">
        <v>1952</v>
      </c>
      <c r="C17" s="1115">
        <f>Inventaire_Neuf!L3</f>
        <v>25</v>
      </c>
      <c r="D17" s="1115">
        <v>54</v>
      </c>
      <c r="E17" s="1115">
        <v>54</v>
      </c>
      <c r="F17" s="1115">
        <v>113</v>
      </c>
      <c r="G17" s="1030">
        <f t="shared" ref="G17:I18" si="9">+IFERROR($C17-D17,"")</f>
        <v>-29</v>
      </c>
      <c r="H17" s="1031">
        <f t="shared" si="9"/>
        <v>-29</v>
      </c>
      <c r="I17" s="1032">
        <f t="shared" si="9"/>
        <v>-88</v>
      </c>
      <c r="J17" s="1033">
        <f>+IFERROR(G17/ABS($D17),"")</f>
        <v>-0.53703703703703709</v>
      </c>
      <c r="K17" s="1034">
        <f>+IFERROR(H17/ABS($E17),"")</f>
        <v>-0.53703703703703709</v>
      </c>
      <c r="L17" s="1035">
        <f>+IFERROR(I17/ABS($F17),"")</f>
        <v>-0.77876106194690264</v>
      </c>
      <c r="M17" s="1277"/>
    </row>
    <row r="18" spans="2:13">
      <c r="B18" s="686" t="s">
        <v>1917</v>
      </c>
      <c r="C18" s="1116">
        <f>Inventaire_Neuf!L2</f>
        <v>1018000.9699999999</v>
      </c>
      <c r="D18" s="1130">
        <v>2269524</v>
      </c>
      <c r="E18" s="1130">
        <v>2269524</v>
      </c>
      <c r="F18" s="1116">
        <v>3675074</v>
      </c>
      <c r="G18" s="1051">
        <f t="shared" si="9"/>
        <v>-1251523.0300000003</v>
      </c>
      <c r="H18" s="1052">
        <f t="shared" si="9"/>
        <v>-1251523.0300000003</v>
      </c>
      <c r="I18" s="1053">
        <f t="shared" si="9"/>
        <v>-2657073.0300000003</v>
      </c>
      <c r="J18" s="1054">
        <f>+IFERROR(G18/ABS($D18),"")</f>
        <v>-0.55144736517437143</v>
      </c>
      <c r="K18" s="1055">
        <f>+IFERROR(H18/ABS($E18),"")</f>
        <v>-0.55144736517437143</v>
      </c>
      <c r="L18" s="1056">
        <f>+IFERROR(I18/ABS($F18),"")</f>
        <v>-0.72299851105038981</v>
      </c>
      <c r="M18" s="1278"/>
    </row>
    <row r="19" spans="2:13">
      <c r="C19" s="1119">
        <f>C18/C17</f>
        <v>40720.038799999995</v>
      </c>
      <c r="D19" s="1119">
        <f>D18/D17</f>
        <v>42028.222222222219</v>
      </c>
      <c r="E19" s="1119">
        <f>E18/E17</f>
        <v>42028.222222222219</v>
      </c>
      <c r="F19" s="1119">
        <f>F18/F17</f>
        <v>32522.778761061945</v>
      </c>
      <c r="G19" s="1057"/>
      <c r="H19" s="1057"/>
      <c r="I19" s="1057"/>
      <c r="J19" s="1057"/>
      <c r="K19" s="1057"/>
      <c r="L19" s="1057"/>
      <c r="M19" s="165"/>
    </row>
    <row r="20" spans="2:13">
      <c r="B20" s="642" t="s">
        <v>1948</v>
      </c>
      <c r="C20" s="643" t="s">
        <v>1951</v>
      </c>
      <c r="D20" s="643" t="s">
        <v>1972</v>
      </c>
      <c r="E20" s="643" t="s">
        <v>6</v>
      </c>
      <c r="F20" s="643">
        <v>2021</v>
      </c>
      <c r="G20" s="645" t="s">
        <v>1975</v>
      </c>
      <c r="H20" s="644" t="s">
        <v>1973</v>
      </c>
      <c r="I20" s="646" t="s">
        <v>3546</v>
      </c>
      <c r="J20" s="645" t="s">
        <v>1976</v>
      </c>
      <c r="K20" s="644" t="s">
        <v>1974</v>
      </c>
      <c r="L20" s="646" t="s">
        <v>3547</v>
      </c>
      <c r="M20" s="1078" t="s">
        <v>1969</v>
      </c>
    </row>
    <row r="21" spans="2:13">
      <c r="B21" s="638" t="s">
        <v>1952</v>
      </c>
      <c r="C21" s="659">
        <f>+Print_Mois!$J$96</f>
        <v>18</v>
      </c>
      <c r="D21" s="659">
        <f>+Print_Mois!$G$96</f>
        <v>27.378640776699029</v>
      </c>
      <c r="E21" s="659">
        <f>+Print_Mois!$D$96</f>
        <v>27.378640776699029</v>
      </c>
      <c r="F21" s="659">
        <f>+Print_Mois!$O$96</f>
        <v>15</v>
      </c>
      <c r="G21" s="661">
        <f t="shared" ref="G21:I32" si="10">+IFERROR($C21-D21,"")</f>
        <v>-9.3786407766990294</v>
      </c>
      <c r="H21" s="660">
        <f t="shared" si="10"/>
        <v>-9.3786407766990294</v>
      </c>
      <c r="I21" s="662">
        <f t="shared" si="10"/>
        <v>3</v>
      </c>
      <c r="J21" s="674">
        <f t="shared" ref="J21:J32" si="11">+IFERROR(G21/ABS($D21),"")</f>
        <v>-0.3425531914893617</v>
      </c>
      <c r="K21" s="675">
        <f t="shared" ref="K21:K32" si="12">+IFERROR(H21/ABS($E21),"")</f>
        <v>-0.3425531914893617</v>
      </c>
      <c r="L21" s="676">
        <f t="shared" ref="L21:L32" si="13">+IFERROR(I21/ABS($F21),"")</f>
        <v>0.2</v>
      </c>
      <c r="M21" s="1276" t="s">
        <v>3549</v>
      </c>
    </row>
    <row r="22" spans="2:13">
      <c r="B22" s="639" t="s">
        <v>1953</v>
      </c>
      <c r="C22" s="1029">
        <f>+Print_Mois!$L$96</f>
        <v>50578.200000000004</v>
      </c>
      <c r="D22" s="1029">
        <f>+Print_Mois!$I$96</f>
        <v>35009.708737864079</v>
      </c>
      <c r="E22" s="1029">
        <f>+Print_Mois!$F$96</f>
        <v>35009.708737864079</v>
      </c>
      <c r="F22" s="1029">
        <f>+Print_Mois!$Q$96</f>
        <v>15381.959999999992</v>
      </c>
      <c r="G22" s="1030">
        <f t="shared" si="10"/>
        <v>15568.491262135925</v>
      </c>
      <c r="H22" s="1031">
        <f t="shared" si="10"/>
        <v>15568.491262135925</v>
      </c>
      <c r="I22" s="1032">
        <f t="shared" si="10"/>
        <v>35196.240000000013</v>
      </c>
      <c r="J22" s="1033">
        <f t="shared" si="11"/>
        <v>0.4446906821963395</v>
      </c>
      <c r="K22" s="1034">
        <f t="shared" si="12"/>
        <v>0.4446906821963395</v>
      </c>
      <c r="L22" s="1035">
        <f t="shared" si="13"/>
        <v>2.2881505347823055</v>
      </c>
      <c r="M22" s="1277"/>
    </row>
    <row r="23" spans="2:13">
      <c r="B23" s="639" t="s">
        <v>1954</v>
      </c>
      <c r="C23" s="1029">
        <f>+C22/C21</f>
        <v>2809.9</v>
      </c>
      <c r="D23" s="1029">
        <f t="shared" ref="D23:F23" si="14">+D22/D21</f>
        <v>1278.7234042553191</v>
      </c>
      <c r="E23" s="1029">
        <f t="shared" si="14"/>
        <v>1278.7234042553191</v>
      </c>
      <c r="F23" s="1029">
        <f t="shared" si="14"/>
        <v>1025.4639999999995</v>
      </c>
      <c r="G23" s="1030">
        <f t="shared" si="10"/>
        <v>1531.176595744681</v>
      </c>
      <c r="H23" s="1031">
        <f t="shared" si="10"/>
        <v>1531.176595744681</v>
      </c>
      <c r="I23" s="1032">
        <f t="shared" si="10"/>
        <v>1784.4360000000006</v>
      </c>
      <c r="J23" s="1033">
        <f t="shared" si="11"/>
        <v>1.1974259567387688</v>
      </c>
      <c r="K23" s="1034">
        <f t="shared" si="12"/>
        <v>1.1974259567387688</v>
      </c>
      <c r="L23" s="1035">
        <f t="shared" si="13"/>
        <v>1.7401254456519211</v>
      </c>
      <c r="M23" s="1277"/>
    </row>
    <row r="24" spans="2:13">
      <c r="B24" s="639" t="s">
        <v>1955</v>
      </c>
      <c r="C24" s="1029">
        <f>+Print_Mois!$L$111</f>
        <v>17322.97</v>
      </c>
      <c r="D24" s="1029">
        <f>+Print_Mois!$I$111</f>
        <v>15589.95145631068</v>
      </c>
      <c r="E24" s="1029">
        <f>+Print_Mois!$F$111</f>
        <v>15589.95145631068</v>
      </c>
      <c r="F24" s="1029">
        <f>+Print_Mois!$Q$111</f>
        <v>7775.77</v>
      </c>
      <c r="G24" s="1030">
        <f t="shared" si="10"/>
        <v>1733.0185436893207</v>
      </c>
      <c r="H24" s="1031">
        <f t="shared" si="10"/>
        <v>1733.0185436893207</v>
      </c>
      <c r="I24" s="1032">
        <f t="shared" si="10"/>
        <v>9547.2000000000007</v>
      </c>
      <c r="J24" s="1033">
        <f t="shared" si="11"/>
        <v>0.11116253623662244</v>
      </c>
      <c r="K24" s="1034">
        <f t="shared" si="12"/>
        <v>0.11116253623662244</v>
      </c>
      <c r="L24" s="1035">
        <f t="shared" si="13"/>
        <v>1.2278140942954845</v>
      </c>
      <c r="M24" s="1277"/>
    </row>
    <row r="25" spans="2:13">
      <c r="B25" s="639" t="s">
        <v>1956</v>
      </c>
      <c r="C25" s="1036">
        <f>+C24/C22</f>
        <v>0.34249874451838935</v>
      </c>
      <c r="D25" s="1036">
        <f t="shared" ref="D25:E25" si="15">+D24/D22</f>
        <v>0.44530366056572379</v>
      </c>
      <c r="E25" s="1036">
        <f t="shared" si="15"/>
        <v>0.44530366056572379</v>
      </c>
      <c r="F25" s="1036">
        <f>+F24/F22</f>
        <v>0.5055123014232259</v>
      </c>
      <c r="G25" s="1037">
        <f t="shared" si="10"/>
        <v>-0.10280491604733444</v>
      </c>
      <c r="H25" s="1038">
        <f t="shared" si="10"/>
        <v>-0.10280491604733444</v>
      </c>
      <c r="I25" s="1039">
        <f t="shared" si="10"/>
        <v>-0.16301355690483654</v>
      </c>
      <c r="J25" s="1033">
        <f t="shared" si="11"/>
        <v>-0.23086474500732548</v>
      </c>
      <c r="K25" s="1034">
        <f t="shared" si="12"/>
        <v>-0.23086474500732548</v>
      </c>
      <c r="L25" s="1035">
        <f t="shared" si="13"/>
        <v>-0.32247198821054612</v>
      </c>
      <c r="M25" s="1277"/>
    </row>
    <row r="26" spans="2:13">
      <c r="B26" s="639" t="s">
        <v>1957</v>
      </c>
      <c r="C26" s="1029">
        <f>+Print_Mois!$L$104</f>
        <v>44374.720000000001</v>
      </c>
      <c r="D26" s="1029">
        <f>+Print_Mois!$I$104</f>
        <v>50753.396259811314</v>
      </c>
      <c r="E26" s="1029">
        <f>+Print_Mois!$F$104</f>
        <v>50753.396259811314</v>
      </c>
      <c r="F26" s="1029">
        <f>+Print_Mois!$Q$104</f>
        <v>25575.14</v>
      </c>
      <c r="G26" s="1030">
        <f t="shared" si="10"/>
        <v>-6378.6762598113128</v>
      </c>
      <c r="H26" s="1031">
        <f t="shared" si="10"/>
        <v>-6378.6762598113128</v>
      </c>
      <c r="I26" s="1032">
        <f t="shared" si="10"/>
        <v>18799.580000000002</v>
      </c>
      <c r="J26" s="1033">
        <f t="shared" si="11"/>
        <v>-0.12567979149923841</v>
      </c>
      <c r="K26" s="1034">
        <f t="shared" si="12"/>
        <v>-0.12567979149923841</v>
      </c>
      <c r="L26" s="1035">
        <f t="shared" si="13"/>
        <v>0.73507241798089873</v>
      </c>
      <c r="M26" s="1277"/>
    </row>
    <row r="27" spans="2:13">
      <c r="B27" s="639" t="s">
        <v>1958</v>
      </c>
      <c r="C27" s="1029">
        <f>+C26/C21</f>
        <v>2465.2622222222221</v>
      </c>
      <c r="D27" s="1029">
        <f t="shared" ref="D27:F27" si="16">+D26/D21</f>
        <v>1853.7587995604842</v>
      </c>
      <c r="E27" s="1029">
        <f t="shared" si="16"/>
        <v>1853.7587995604842</v>
      </c>
      <c r="F27" s="1029">
        <f t="shared" si="16"/>
        <v>1705.0093333333332</v>
      </c>
      <c r="G27" s="1030">
        <f t="shared" si="10"/>
        <v>611.50342266173789</v>
      </c>
      <c r="H27" s="1031">
        <f t="shared" si="10"/>
        <v>611.50342266173789</v>
      </c>
      <c r="I27" s="1032">
        <f t="shared" si="10"/>
        <v>760.25288888888895</v>
      </c>
      <c r="J27" s="1033">
        <f t="shared" si="11"/>
        <v>0.32987216179727474</v>
      </c>
      <c r="K27" s="1034">
        <f t="shared" si="12"/>
        <v>0.32987216179727474</v>
      </c>
      <c r="L27" s="1035">
        <f t="shared" si="13"/>
        <v>0.44589368165074894</v>
      </c>
      <c r="M27" s="1277"/>
    </row>
    <row r="28" spans="2:13">
      <c r="B28" s="639" t="s">
        <v>1959</v>
      </c>
      <c r="C28" s="1029">
        <f>+Print_Mois!$L$112</f>
        <v>13579.44</v>
      </c>
      <c r="D28" s="1029">
        <f>+Print_Mois!$I$112</f>
        <v>15226.018877943394</v>
      </c>
      <c r="E28" s="1029">
        <f>+Print_Mois!$F$112</f>
        <v>15226.018877943394</v>
      </c>
      <c r="F28" s="1029">
        <f>+Print_Mois!$Q$112</f>
        <v>7393.7</v>
      </c>
      <c r="G28" s="1030">
        <f t="shared" si="10"/>
        <v>-1646.5788779433933</v>
      </c>
      <c r="H28" s="1031">
        <f t="shared" si="10"/>
        <v>-1646.5788779433933</v>
      </c>
      <c r="I28" s="1032">
        <f t="shared" si="10"/>
        <v>6185.7400000000007</v>
      </c>
      <c r="J28" s="1033">
        <f t="shared" si="11"/>
        <v>-0.1081424429552395</v>
      </c>
      <c r="K28" s="1034">
        <f t="shared" si="12"/>
        <v>-0.1081424429552395</v>
      </c>
      <c r="L28" s="1035">
        <f t="shared" si="13"/>
        <v>0.83662307099287248</v>
      </c>
      <c r="M28" s="1277"/>
    </row>
    <row r="29" spans="2:13">
      <c r="B29" s="639" t="s">
        <v>1960</v>
      </c>
      <c r="C29" s="1036">
        <f>+C28/C26</f>
        <v>0.30601748022297381</v>
      </c>
      <c r="D29" s="1036">
        <f t="shared" ref="D29:F29" si="17">+D28/D26</f>
        <v>0.3</v>
      </c>
      <c r="E29" s="1036">
        <f t="shared" si="17"/>
        <v>0.3</v>
      </c>
      <c r="F29" s="1036">
        <f t="shared" si="17"/>
        <v>0.28909714668228598</v>
      </c>
      <c r="G29" s="1040">
        <f t="shared" si="10"/>
        <v>6.0174802229738256E-3</v>
      </c>
      <c r="H29" s="1034">
        <f t="shared" si="10"/>
        <v>6.0174802229738256E-3</v>
      </c>
      <c r="I29" s="1041">
        <f t="shared" si="10"/>
        <v>1.6920333540687837E-2</v>
      </c>
      <c r="J29" s="1033">
        <f t="shared" si="11"/>
        <v>2.0058267409912754E-2</v>
      </c>
      <c r="K29" s="1034">
        <f t="shared" si="12"/>
        <v>2.0058267409912754E-2</v>
      </c>
      <c r="L29" s="1035">
        <f t="shared" si="13"/>
        <v>5.8528192806008787E-2</v>
      </c>
      <c r="M29" s="1277"/>
    </row>
    <row r="30" spans="2:13">
      <c r="B30" s="639" t="s">
        <v>1961</v>
      </c>
      <c r="C30" s="1029">
        <f>+Print_Mois!$L$121-C24-C28</f>
        <v>6491.9699999999957</v>
      </c>
      <c r="D30" s="1029">
        <f>+Print_Mois!$I$121-D24-D28</f>
        <v>7102.3282491595037</v>
      </c>
      <c r="E30" s="1029">
        <f>+Print_Mois!$F$121-E24-E28</f>
        <v>7102.3282491595037</v>
      </c>
      <c r="F30" s="1029">
        <f>+Print_Mois!$Q$121-F24-F28</f>
        <v>7844.0100000000029</v>
      </c>
      <c r="G30" s="1030">
        <f t="shared" si="10"/>
        <v>-610.35824915950798</v>
      </c>
      <c r="H30" s="1031">
        <f t="shared" si="10"/>
        <v>-610.35824915950798</v>
      </c>
      <c r="I30" s="1032">
        <f t="shared" si="10"/>
        <v>-1352.0400000000072</v>
      </c>
      <c r="J30" s="1033">
        <f t="shared" si="11"/>
        <v>-8.5937769664720623E-2</v>
      </c>
      <c r="K30" s="1034">
        <f t="shared" si="12"/>
        <v>-8.5937769664720623E-2</v>
      </c>
      <c r="L30" s="1035">
        <f t="shared" si="13"/>
        <v>-0.17236591998225484</v>
      </c>
      <c r="M30" s="1277"/>
    </row>
    <row r="31" spans="2:13">
      <c r="B31" s="639" t="s">
        <v>1962</v>
      </c>
      <c r="C31" s="1029">
        <f>+C30/C21</f>
        <v>360.66499999999974</v>
      </c>
      <c r="D31" s="1029">
        <f t="shared" ref="D31:F31" si="18">+D30/D21</f>
        <v>259.41128002249252</v>
      </c>
      <c r="E31" s="1029">
        <f t="shared" si="18"/>
        <v>259.41128002249252</v>
      </c>
      <c r="F31" s="1029">
        <f t="shared" si="18"/>
        <v>522.9340000000002</v>
      </c>
      <c r="G31" s="1030">
        <f t="shared" si="10"/>
        <v>101.25371997750722</v>
      </c>
      <c r="H31" s="1031">
        <f t="shared" si="10"/>
        <v>101.25371997750722</v>
      </c>
      <c r="I31" s="1032">
        <f t="shared" si="10"/>
        <v>-162.26900000000046</v>
      </c>
      <c r="J31" s="1033">
        <f t="shared" si="11"/>
        <v>0.39032119177210761</v>
      </c>
      <c r="K31" s="1034">
        <f t="shared" si="12"/>
        <v>0.39032119177210761</v>
      </c>
      <c r="L31" s="1035">
        <f t="shared" si="13"/>
        <v>-0.31030493331854575</v>
      </c>
      <c r="M31" s="1277"/>
    </row>
    <row r="32" spans="2:13">
      <c r="B32" s="639" t="s">
        <v>1963</v>
      </c>
      <c r="C32" s="1029">
        <f>+Print_Mois!$L$162</f>
        <v>6282</v>
      </c>
      <c r="D32" s="1029">
        <f>+Print_Mois!$I$162</f>
        <v>9831.6699029126212</v>
      </c>
      <c r="E32" s="1029">
        <f>+Print_Mois!$F$162</f>
        <v>9831.6699029126212</v>
      </c>
      <c r="F32" s="1029">
        <f>+Print_Mois!$Q$162</f>
        <v>5235</v>
      </c>
      <c r="G32" s="1030">
        <f t="shared" si="10"/>
        <v>-3549.6699029126212</v>
      </c>
      <c r="H32" s="1031">
        <f t="shared" si="10"/>
        <v>-3549.6699029126212</v>
      </c>
      <c r="I32" s="1032">
        <f t="shared" si="10"/>
        <v>1047</v>
      </c>
      <c r="J32" s="1033">
        <f t="shared" si="11"/>
        <v>-0.36104445510940469</v>
      </c>
      <c r="K32" s="1034">
        <f t="shared" si="12"/>
        <v>-0.36104445510940469</v>
      </c>
      <c r="L32" s="1035">
        <f t="shared" si="13"/>
        <v>0.2</v>
      </c>
      <c r="M32" s="1277"/>
    </row>
    <row r="33" spans="2:13">
      <c r="B33" s="641" t="s">
        <v>1964</v>
      </c>
      <c r="C33" s="1042"/>
      <c r="D33" s="1042"/>
      <c r="E33" s="1042"/>
      <c r="F33" s="1042"/>
      <c r="G33" s="1043"/>
      <c r="H33" s="1044"/>
      <c r="I33" s="1045"/>
      <c r="J33" s="1046"/>
      <c r="K33" s="1047"/>
      <c r="L33" s="1048"/>
      <c r="M33" s="1277"/>
    </row>
    <row r="34" spans="2:13">
      <c r="B34" s="685" t="s">
        <v>1952</v>
      </c>
      <c r="C34" s="1049">
        <f>Inventaire_Used!L3</f>
        <v>89</v>
      </c>
      <c r="D34" s="1049">
        <v>58</v>
      </c>
      <c r="E34" s="1049">
        <v>58</v>
      </c>
      <c r="F34" s="1049">
        <v>76</v>
      </c>
      <c r="G34" s="1030">
        <f t="shared" ref="G34:I35" si="19">+IFERROR($C34-D34,"")</f>
        <v>31</v>
      </c>
      <c r="H34" s="1031">
        <f>+IFERROR($C34-E34,"")</f>
        <v>31</v>
      </c>
      <c r="I34" s="1032">
        <f t="shared" si="19"/>
        <v>13</v>
      </c>
      <c r="J34" s="1033">
        <f>+IFERROR(G34/ABS($D34),"")</f>
        <v>0.53448275862068961</v>
      </c>
      <c r="K34" s="1034">
        <f>+IFERROR(H34/ABS($E34),"")</f>
        <v>0.53448275862068961</v>
      </c>
      <c r="L34" s="1035">
        <f>+IFERROR(I34/ABS($F34),"")</f>
        <v>0.17105263157894737</v>
      </c>
      <c r="M34" s="1277"/>
    </row>
    <row r="35" spans="2:13">
      <c r="B35" s="686" t="s">
        <v>1917</v>
      </c>
      <c r="C35" s="1050">
        <f>Inventaire_Used!L2</f>
        <v>1977278.2099999997</v>
      </c>
      <c r="D35" s="1050">
        <f>17000*D34</f>
        <v>986000</v>
      </c>
      <c r="E35" s="1050">
        <f>17000*E34</f>
        <v>986000</v>
      </c>
      <c r="F35" s="1050">
        <v>1279498</v>
      </c>
      <c r="G35" s="1051">
        <f t="shared" si="19"/>
        <v>991278.20999999973</v>
      </c>
      <c r="H35" s="1052">
        <f t="shared" si="19"/>
        <v>991278.20999999973</v>
      </c>
      <c r="I35" s="1053">
        <f t="shared" si="19"/>
        <v>697780.20999999973</v>
      </c>
      <c r="J35" s="1054">
        <f>+IFERROR(G35/ABS($D35),"")</f>
        <v>1.0053531541582148</v>
      </c>
      <c r="K35" s="1055">
        <f>+IFERROR(H35/ABS($E35),"")</f>
        <v>1.0053531541582148</v>
      </c>
      <c r="L35" s="1056">
        <f>+IFERROR(I35/ABS($F35),"")</f>
        <v>0.54535467034727658</v>
      </c>
      <c r="M35" s="1278"/>
    </row>
    <row r="36" spans="2:13">
      <c r="C36" s="1119">
        <f>C35/C34</f>
        <v>22216.609101123591</v>
      </c>
      <c r="D36" s="1119">
        <f>D35/D34</f>
        <v>17000</v>
      </c>
      <c r="E36" s="1119">
        <f>E35/E34</f>
        <v>17000</v>
      </c>
      <c r="F36" s="1119">
        <f>F35/F34</f>
        <v>16835.5</v>
      </c>
      <c r="G36" s="1057"/>
      <c r="H36" s="1057"/>
      <c r="I36" s="1057"/>
      <c r="J36" s="1057"/>
      <c r="K36" s="1057"/>
      <c r="L36" s="1057"/>
      <c r="M36" s="165"/>
    </row>
    <row r="37" spans="2:13">
      <c r="B37" s="654" t="s">
        <v>155</v>
      </c>
      <c r="C37" s="655" t="s">
        <v>1951</v>
      </c>
      <c r="D37" s="655" t="s">
        <v>1972</v>
      </c>
      <c r="E37" s="655" t="s">
        <v>6</v>
      </c>
      <c r="F37" s="655">
        <v>2021</v>
      </c>
      <c r="G37" s="657" t="s">
        <v>1975</v>
      </c>
      <c r="H37" s="656" t="s">
        <v>1973</v>
      </c>
      <c r="I37" s="658" t="s">
        <v>3546</v>
      </c>
      <c r="J37" s="657" t="s">
        <v>1976</v>
      </c>
      <c r="K37" s="656" t="s">
        <v>1974</v>
      </c>
      <c r="L37" s="658" t="s">
        <v>3547</v>
      </c>
      <c r="M37" s="1079" t="s">
        <v>1969</v>
      </c>
    </row>
    <row r="38" spans="2:13">
      <c r="B38" s="638" t="s">
        <v>1965</v>
      </c>
      <c r="C38" s="663">
        <f>+Print_Mois!$K$193</f>
        <v>186909.12000000002</v>
      </c>
      <c r="D38" s="663">
        <f>+Print_Mois!$H$193</f>
        <v>185925.90464142241</v>
      </c>
      <c r="E38" s="663">
        <f>+Print_Mois!$E$193</f>
        <v>185925.90464142241</v>
      </c>
      <c r="F38" s="663">
        <f>+Print_Mois!$P$193</f>
        <v>158971.35</v>
      </c>
      <c r="G38" s="665">
        <f t="shared" ref="G38:I47" si="20">+IFERROR($C38-D38,"")</f>
        <v>983.21535857761046</v>
      </c>
      <c r="H38" s="664">
        <f t="shared" si="20"/>
        <v>983.21535857761046</v>
      </c>
      <c r="I38" s="666">
        <f t="shared" si="20"/>
        <v>27937.770000000019</v>
      </c>
      <c r="J38" s="674">
        <f t="shared" ref="J38:J47" si="21">+IFERROR(G38/ABS($D38),"")</f>
        <v>5.288210701321283E-3</v>
      </c>
      <c r="K38" s="675">
        <f t="shared" ref="K38:K47" si="22">+IFERROR(H38/ABS($E38),"")</f>
        <v>5.288210701321283E-3</v>
      </c>
      <c r="L38" s="676">
        <f t="shared" ref="L38:L47" si="23">+IFERROR(I38/ABS($F38),"")</f>
        <v>0.17574091180580662</v>
      </c>
      <c r="M38" s="1276" t="s">
        <v>3550</v>
      </c>
    </row>
    <row r="39" spans="2:13">
      <c r="B39" s="638" t="s">
        <v>1977</v>
      </c>
      <c r="C39" s="663">
        <f>+Print_Mois!$L$193</f>
        <v>126277.21</v>
      </c>
      <c r="D39" s="663">
        <f>+Print_Mois!$I$193</f>
        <v>125997.03954935684</v>
      </c>
      <c r="E39" s="663">
        <f>+Print_Mois!$F$193</f>
        <v>125997.03954935684</v>
      </c>
      <c r="F39" s="663">
        <f>+Print_Mois!$Q$193</f>
        <v>108076.13999999998</v>
      </c>
      <c r="G39" s="665">
        <f t="shared" si="20"/>
        <v>280.17045064317062</v>
      </c>
      <c r="H39" s="664">
        <f t="shared" si="20"/>
        <v>280.17045064317062</v>
      </c>
      <c r="I39" s="666">
        <f t="shared" si="20"/>
        <v>18201.070000000022</v>
      </c>
      <c r="J39" s="677">
        <f t="shared" si="21"/>
        <v>2.2236272506499601E-3</v>
      </c>
      <c r="K39" s="678">
        <f t="shared" si="22"/>
        <v>2.2236272506499601E-3</v>
      </c>
      <c r="L39" s="679">
        <f t="shared" si="23"/>
        <v>0.16840969708947806</v>
      </c>
      <c r="M39" s="1277"/>
    </row>
    <row r="40" spans="2:13">
      <c r="B40" s="639" t="s">
        <v>1978</v>
      </c>
      <c r="C40" s="1029">
        <f>+Print_Mois!$K$171/Print_Mois!$J$171</f>
        <v>291.66919540229884</v>
      </c>
      <c r="D40" s="1029">
        <f>+IFERROR(Print_Mois!$H$171/Print_Mois!$G$171,"")</f>
        <v>248.00000000000003</v>
      </c>
      <c r="E40" s="1029">
        <f>+IFERROR(Print_Mois!$E$171/Print_Mois!$D$171,"")</f>
        <v>248.00000000000003</v>
      </c>
      <c r="F40" s="1029">
        <f>+Print_Mois!$P$171/Print_Mois!$O$171</f>
        <v>239.9453738317757</v>
      </c>
      <c r="G40" s="1030">
        <f t="shared" si="20"/>
        <v>43.669195402298811</v>
      </c>
      <c r="H40" s="1031">
        <f t="shared" si="20"/>
        <v>43.669195402298811</v>
      </c>
      <c r="I40" s="1032">
        <f t="shared" si="20"/>
        <v>51.723821570523143</v>
      </c>
      <c r="J40" s="1033">
        <f t="shared" si="21"/>
        <v>0.17608546533185002</v>
      </c>
      <c r="K40" s="1034">
        <f t="shared" si="22"/>
        <v>0.17608546533185002</v>
      </c>
      <c r="L40" s="1035">
        <f t="shared" si="23"/>
        <v>0.21556498774919666</v>
      </c>
      <c r="M40" s="1277"/>
    </row>
    <row r="41" spans="2:13">
      <c r="B41" s="639" t="s">
        <v>1979</v>
      </c>
      <c r="C41" s="1029">
        <f>+Print_Mois!$K$174/Print_Mois!$J$174</f>
        <v>179.13521739130434</v>
      </c>
      <c r="D41" s="1029">
        <f>+IFERROR(Print_Mois!$H$174/Print_Mois!$G$174,"")</f>
        <v>198.09762771214204</v>
      </c>
      <c r="E41" s="1029">
        <f>+IFERROR(Print_Mois!$E$174/Print_Mois!$D$174,"")</f>
        <v>198.09762771214204</v>
      </c>
      <c r="F41" s="1029">
        <f>+Print_Mois!$P$174/Print_Mois!$O$174</f>
        <v>233.67802721088435</v>
      </c>
      <c r="G41" s="1030">
        <f t="shared" si="20"/>
        <v>-18.962410320837705</v>
      </c>
      <c r="H41" s="1031">
        <f t="shared" si="20"/>
        <v>-18.962410320837705</v>
      </c>
      <c r="I41" s="1032">
        <f t="shared" si="20"/>
        <v>-54.542809819580015</v>
      </c>
      <c r="J41" s="1033">
        <f t="shared" si="21"/>
        <v>-9.5722551248277457E-2</v>
      </c>
      <c r="K41" s="1034">
        <f t="shared" si="22"/>
        <v>-9.5722551248277457E-2</v>
      </c>
      <c r="L41" s="1035">
        <f t="shared" si="23"/>
        <v>-0.23341009195681664</v>
      </c>
      <c r="M41" s="1277"/>
    </row>
    <row r="42" spans="2:13">
      <c r="B42" s="639" t="s">
        <v>1968</v>
      </c>
      <c r="C42" s="1058">
        <f>+Print_Mois!$L$183</f>
        <v>-1913.67</v>
      </c>
      <c r="D42" s="1058">
        <f>+Print_Mois!$I$183</f>
        <v>-2695.2577797007798</v>
      </c>
      <c r="E42" s="1058">
        <f>+Print_Mois!$F$183</f>
        <v>-2695.2577797007798</v>
      </c>
      <c r="F42" s="1058">
        <f>+Print_Mois!$Q$183</f>
        <v>-868.59</v>
      </c>
      <c r="G42" s="1030">
        <f t="shared" si="20"/>
        <v>781.58777970077972</v>
      </c>
      <c r="H42" s="1031">
        <f t="shared" si="20"/>
        <v>781.58777970077972</v>
      </c>
      <c r="I42" s="1032">
        <f t="shared" si="20"/>
        <v>-1045.08</v>
      </c>
      <c r="J42" s="1033">
        <f t="shared" si="21"/>
        <v>0.28998628093656759</v>
      </c>
      <c r="K42" s="1034">
        <f t="shared" si="22"/>
        <v>0.28998628093656759</v>
      </c>
      <c r="L42" s="1035">
        <f t="shared" si="23"/>
        <v>-1.2031913791316962</v>
      </c>
      <c r="M42" s="1277"/>
    </row>
    <row r="43" spans="2:13">
      <c r="B43" s="639" t="s">
        <v>1980</v>
      </c>
      <c r="C43" s="1029">
        <f>+Print_Mois!$L$209</f>
        <v>96641.540000000008</v>
      </c>
      <c r="D43" s="1029">
        <f>+Print_Mois!$I$209</f>
        <v>104167.89037168026</v>
      </c>
      <c r="E43" s="1029">
        <f>+Print_Mois!$F$209</f>
        <v>104167.89037168026</v>
      </c>
      <c r="F43" s="1029">
        <f>+Print_Mois!$Q$209</f>
        <v>83100.210000000006</v>
      </c>
      <c r="G43" s="1030">
        <f t="shared" si="20"/>
        <v>-7526.3503716802516</v>
      </c>
      <c r="H43" s="1031">
        <f t="shared" si="20"/>
        <v>-7526.3503716802516</v>
      </c>
      <c r="I43" s="1032">
        <f t="shared" si="20"/>
        <v>13541.330000000002</v>
      </c>
      <c r="J43" s="1033">
        <f t="shared" si="21"/>
        <v>-7.2252114781489449E-2</v>
      </c>
      <c r="K43" s="1034">
        <f t="shared" si="22"/>
        <v>-7.2252114781489449E-2</v>
      </c>
      <c r="L43" s="1035">
        <f t="shared" si="23"/>
        <v>0.16295181444186482</v>
      </c>
      <c r="M43" s="1277"/>
    </row>
    <row r="44" spans="2:13">
      <c r="B44" s="640" t="s">
        <v>1981</v>
      </c>
      <c r="C44" s="1029">
        <f>+SUM(Print_Mois!$L$197:$L$203)</f>
        <v>53933.08</v>
      </c>
      <c r="D44" s="1029">
        <f>+SUM(Print_Mois!$I$197:$I$203)</f>
        <v>58895.167920967164</v>
      </c>
      <c r="E44" s="1029">
        <f>+SUM(Print_Mois!$F$197:$F$203)</f>
        <v>58895.167920967164</v>
      </c>
      <c r="F44" s="1029">
        <f>+SUM(Print_Mois!$Q$197:$Q$203)</f>
        <v>55818.030000000006</v>
      </c>
      <c r="G44" s="1030">
        <f t="shared" si="20"/>
        <v>-4962.0879209671621</v>
      </c>
      <c r="H44" s="1031">
        <f t="shared" si="20"/>
        <v>-4962.0879209671621</v>
      </c>
      <c r="I44" s="1032">
        <f t="shared" si="20"/>
        <v>-1884.9500000000044</v>
      </c>
      <c r="J44" s="1033">
        <f t="shared" si="21"/>
        <v>-8.4252886885829187E-2</v>
      </c>
      <c r="K44" s="1034">
        <f t="shared" si="22"/>
        <v>-8.4252886885829187E-2</v>
      </c>
      <c r="L44" s="1035">
        <f t="shared" si="23"/>
        <v>-3.3769554389504686E-2</v>
      </c>
      <c r="M44" s="1277"/>
    </row>
    <row r="45" spans="2:13" ht="25.5" customHeight="1">
      <c r="B45" s="640" t="s">
        <v>1982</v>
      </c>
      <c r="C45" s="1029">
        <f>+SUM(Print_Mois!$L$204:$L$208)</f>
        <v>42708.460000000006</v>
      </c>
      <c r="D45" s="1029">
        <f>+SUM(Print_Mois!$I$204:$I$208)</f>
        <v>45272.722450713103</v>
      </c>
      <c r="E45" s="1029">
        <f>+SUM(Print_Mois!$F$204:$F$208)</f>
        <v>45272.722450713103</v>
      </c>
      <c r="F45" s="1029">
        <f>+SUM(Print_Mois!$Q$204:$Q$208)</f>
        <v>27282.18</v>
      </c>
      <c r="G45" s="1030">
        <f t="shared" si="20"/>
        <v>-2564.2624507130968</v>
      </c>
      <c r="H45" s="1031">
        <f t="shared" si="20"/>
        <v>-2564.2624507130968</v>
      </c>
      <c r="I45" s="1032">
        <f t="shared" si="20"/>
        <v>15426.280000000006</v>
      </c>
      <c r="J45" s="1033">
        <f t="shared" si="21"/>
        <v>-5.6640341289497742E-2</v>
      </c>
      <c r="K45" s="1034">
        <f t="shared" si="22"/>
        <v>-5.6640341289497742E-2</v>
      </c>
      <c r="L45" s="1035">
        <f t="shared" si="23"/>
        <v>0.56543428714274324</v>
      </c>
      <c r="M45" s="1277"/>
    </row>
    <row r="46" spans="2:13" ht="25.5" customHeight="1">
      <c r="B46" s="639" t="s">
        <v>1991</v>
      </c>
      <c r="C46" s="1059">
        <f>+C43/C38</f>
        <v>0.51705096038117349</v>
      </c>
      <c r="D46" s="1059">
        <f t="shared" ref="D46:E46" si="24">+D43/D38</f>
        <v>0.56026560996209185</v>
      </c>
      <c r="E46" s="1059">
        <f t="shared" si="24"/>
        <v>0.56026560996209185</v>
      </c>
      <c r="F46" s="1059">
        <f>+F43/F38</f>
        <v>0.52273702148217271</v>
      </c>
      <c r="G46" s="1060">
        <f t="shared" si="20"/>
        <v>-4.3214649580918363E-2</v>
      </c>
      <c r="H46" s="1061">
        <f t="shared" si="20"/>
        <v>-4.3214649580918363E-2</v>
      </c>
      <c r="I46" s="1062">
        <f t="shared" si="20"/>
        <v>-5.686061100999229E-3</v>
      </c>
      <c r="J46" s="1033">
        <f t="shared" si="21"/>
        <v>-7.7132432925594546E-2</v>
      </c>
      <c r="K46" s="1034">
        <f t="shared" si="22"/>
        <v>-7.7132432925594546E-2</v>
      </c>
      <c r="L46" s="1035">
        <f t="shared" si="23"/>
        <v>-1.0877479243534207E-2</v>
      </c>
      <c r="M46" s="1277"/>
    </row>
    <row r="47" spans="2:13" ht="52.5" customHeight="1">
      <c r="B47" s="667" t="s">
        <v>123</v>
      </c>
      <c r="C47" s="1063">
        <f>+Print_Mois!$L$212</f>
        <v>8878.3700000000008</v>
      </c>
      <c r="D47" s="1063">
        <f>+Print_Mois!$I$212</f>
        <v>9419.0644444444442</v>
      </c>
      <c r="E47" s="1063">
        <f>+Print_Mois!$F$212</f>
        <v>9419.0644444444442</v>
      </c>
      <c r="F47" s="1063">
        <f>+Print_Mois!$Q$212</f>
        <v>12067.73</v>
      </c>
      <c r="G47" s="1051">
        <f t="shared" si="20"/>
        <v>-540.69444444444343</v>
      </c>
      <c r="H47" s="1052">
        <f t="shared" si="20"/>
        <v>-540.69444444444343</v>
      </c>
      <c r="I47" s="1053">
        <f t="shared" si="20"/>
        <v>-3189.3599999999988</v>
      </c>
      <c r="J47" s="1054">
        <f t="shared" si="21"/>
        <v>-5.7404262135965743E-2</v>
      </c>
      <c r="K47" s="1055">
        <f t="shared" si="22"/>
        <v>-5.7404262135965743E-2</v>
      </c>
      <c r="L47" s="1056">
        <f t="shared" si="23"/>
        <v>-0.26428831271498443</v>
      </c>
      <c r="M47" s="1278"/>
    </row>
    <row r="48" spans="2:13">
      <c r="C48" s="1057"/>
      <c r="D48" s="1057"/>
      <c r="E48" s="1057"/>
      <c r="F48" s="1057"/>
      <c r="G48" s="1057"/>
      <c r="H48" s="1057"/>
      <c r="I48" s="1057"/>
      <c r="J48" s="1057"/>
      <c r="K48" s="1057"/>
      <c r="L48" s="1057"/>
      <c r="M48" s="165"/>
    </row>
    <row r="49" spans="2:13">
      <c r="B49" s="668" t="s">
        <v>1970</v>
      </c>
      <c r="C49" s="669" t="s">
        <v>1951</v>
      </c>
      <c r="D49" s="669" t="s">
        <v>1972</v>
      </c>
      <c r="E49" s="669" t="s">
        <v>6</v>
      </c>
      <c r="F49" s="669">
        <v>2021</v>
      </c>
      <c r="G49" s="671" t="s">
        <v>1975</v>
      </c>
      <c r="H49" s="670" t="s">
        <v>1973</v>
      </c>
      <c r="I49" s="672" t="s">
        <v>3546</v>
      </c>
      <c r="J49" s="671" t="s">
        <v>1976</v>
      </c>
      <c r="K49" s="670" t="s">
        <v>1974</v>
      </c>
      <c r="L49" s="672" t="s">
        <v>3547</v>
      </c>
      <c r="M49" s="1080" t="s">
        <v>1969</v>
      </c>
    </row>
    <row r="50" spans="2:13">
      <c r="B50" s="673" t="s">
        <v>1965</v>
      </c>
      <c r="C50" s="663">
        <f>+Print_Mois!$J$313</f>
        <v>370494.07</v>
      </c>
      <c r="D50" s="663">
        <f>+Print_Mois!$G$313</f>
        <v>350623.71480831533</v>
      </c>
      <c r="E50" s="663">
        <f>+Print_Mois!$D$313</f>
        <v>350623.71480831533</v>
      </c>
      <c r="F50" s="663">
        <f>+Print_Mois!$O$313</f>
        <v>316284.04999999993</v>
      </c>
      <c r="G50" s="665">
        <f t="shared" ref="G50:I59" si="25">+IFERROR($C50-D50,"")</f>
        <v>19870.355191684677</v>
      </c>
      <c r="H50" s="664">
        <f t="shared" si="25"/>
        <v>19870.355191684677</v>
      </c>
      <c r="I50" s="666">
        <f t="shared" si="25"/>
        <v>54210.020000000077</v>
      </c>
      <c r="J50" s="674">
        <f t="shared" ref="J50:J59" si="26">+IFERROR(G50/ABS($D50),"")</f>
        <v>5.6671452478756969E-2</v>
      </c>
      <c r="K50" s="675">
        <f t="shared" ref="K50:K59" si="27">+IFERROR(H50/ABS($E50),"")</f>
        <v>5.6671452478756969E-2</v>
      </c>
      <c r="L50" s="676">
        <f t="shared" ref="L50:L59" si="28">+IFERROR(I50/ABS($F50),"")</f>
        <v>0.17139662907440351</v>
      </c>
      <c r="M50" s="1280" t="s">
        <v>3551</v>
      </c>
    </row>
    <row r="51" spans="2:13">
      <c r="B51" s="1064" t="s">
        <v>1966</v>
      </c>
      <c r="C51" s="1029">
        <f>+Print_Mois!$J$294</f>
        <v>56117.170000000006</v>
      </c>
      <c r="D51" s="1029">
        <f>+Print_Mois!$G$294</f>
        <v>56461.376365452648</v>
      </c>
      <c r="E51" s="1029">
        <f>+Print_Mois!$D$294</f>
        <v>56461.376365452648</v>
      </c>
      <c r="F51" s="1029">
        <f>+Print_Mois!$O$294</f>
        <v>45465.17</v>
      </c>
      <c r="G51" s="1030">
        <f t="shared" si="25"/>
        <v>-344.20636545264279</v>
      </c>
      <c r="H51" s="1031">
        <f t="shared" si="25"/>
        <v>-344.20636545264279</v>
      </c>
      <c r="I51" s="1032">
        <f t="shared" si="25"/>
        <v>10652.000000000007</v>
      </c>
      <c r="J51" s="1033">
        <f t="shared" si="26"/>
        <v>-6.0963155277109814E-3</v>
      </c>
      <c r="K51" s="1034">
        <f t="shared" si="27"/>
        <v>-6.0963155277109814E-3</v>
      </c>
      <c r="L51" s="1035">
        <f t="shared" si="28"/>
        <v>0.23428923723368916</v>
      </c>
      <c r="M51" s="1281"/>
    </row>
    <row r="52" spans="2:13">
      <c r="B52" s="1064" t="s">
        <v>1967</v>
      </c>
      <c r="C52" s="1029">
        <f>+Print_Mois!$J$296</f>
        <v>92178.97</v>
      </c>
      <c r="D52" s="1029">
        <f>+Print_Mois!$G$296</f>
        <v>97054.600296279066</v>
      </c>
      <c r="E52" s="1029">
        <f>+Print_Mois!$D$296</f>
        <v>97054.600296279066</v>
      </c>
      <c r="F52" s="1029">
        <f>+Print_Mois!$O$296</f>
        <v>111661.14</v>
      </c>
      <c r="G52" s="1030">
        <f t="shared" si="25"/>
        <v>-4875.6302962790651</v>
      </c>
      <c r="H52" s="1031">
        <f t="shared" si="25"/>
        <v>-4875.6302962790651</v>
      </c>
      <c r="I52" s="1032">
        <f t="shared" si="25"/>
        <v>-19482.169999999998</v>
      </c>
      <c r="J52" s="1033">
        <f t="shared" si="26"/>
        <v>-5.0235952560674133E-2</v>
      </c>
      <c r="K52" s="1034">
        <f t="shared" si="27"/>
        <v>-5.0235952560674133E-2</v>
      </c>
      <c r="L52" s="1035">
        <f t="shared" si="28"/>
        <v>-0.17447582928134173</v>
      </c>
      <c r="M52" s="1281"/>
    </row>
    <row r="53" spans="2:13">
      <c r="B53" s="1064" t="s">
        <v>1983</v>
      </c>
      <c r="C53" s="1029">
        <f>+Print_Mois!$J$299</f>
        <v>75601.990000000005</v>
      </c>
      <c r="D53" s="1029">
        <f>+Print_Mois!$G$299</f>
        <v>53078.787628093189</v>
      </c>
      <c r="E53" s="1029">
        <f>+Print_Mois!$D$299</f>
        <v>53078.787628093189</v>
      </c>
      <c r="F53" s="1029">
        <f>+Print_Mois!$O$299</f>
        <v>44671.41</v>
      </c>
      <c r="G53" s="1030">
        <f t="shared" si="25"/>
        <v>22523.202371906817</v>
      </c>
      <c r="H53" s="1031">
        <f t="shared" si="25"/>
        <v>22523.202371906817</v>
      </c>
      <c r="I53" s="1032">
        <f t="shared" si="25"/>
        <v>30930.58</v>
      </c>
      <c r="J53" s="1033">
        <f t="shared" si="26"/>
        <v>0.4243352830460258</v>
      </c>
      <c r="K53" s="1034">
        <f t="shared" si="27"/>
        <v>0.4243352830460258</v>
      </c>
      <c r="L53" s="1035">
        <f t="shared" si="28"/>
        <v>0.69240214266798383</v>
      </c>
      <c r="M53" s="1281"/>
    </row>
    <row r="54" spans="2:13">
      <c r="B54" s="1064" t="s">
        <v>1984</v>
      </c>
      <c r="C54" s="1029">
        <f>+Print_Mois!$J$306</f>
        <v>31493.11</v>
      </c>
      <c r="D54" s="1029">
        <f>+Print_Mois!$G$306</f>
        <v>31292.343122294344</v>
      </c>
      <c r="E54" s="1029">
        <f>+Print_Mois!$D$306</f>
        <v>31292.343122294344</v>
      </c>
      <c r="F54" s="1029">
        <f>+Print_Mois!$O$306</f>
        <v>14638.67</v>
      </c>
      <c r="G54" s="1030">
        <f t="shared" si="25"/>
        <v>200.76687770565695</v>
      </c>
      <c r="H54" s="1031">
        <f t="shared" si="25"/>
        <v>200.76687770565695</v>
      </c>
      <c r="I54" s="1032">
        <f t="shared" si="25"/>
        <v>16854.440000000002</v>
      </c>
      <c r="J54" s="1033">
        <f t="shared" si="26"/>
        <v>6.4158467431165251E-3</v>
      </c>
      <c r="K54" s="1034">
        <f t="shared" si="27"/>
        <v>6.4158467431165251E-3</v>
      </c>
      <c r="L54" s="1035">
        <f t="shared" si="28"/>
        <v>1.1513641608151561</v>
      </c>
      <c r="M54" s="1281"/>
    </row>
    <row r="55" spans="2:13">
      <c r="B55" s="1064" t="s">
        <v>1985</v>
      </c>
      <c r="C55" s="1029">
        <f>+C50-SUM(C51:C54)</f>
        <v>115102.83000000002</v>
      </c>
      <c r="D55" s="1029">
        <f t="shared" ref="D55:F55" si="29">+D50-SUM(D51:D54)</f>
        <v>112736.60739619608</v>
      </c>
      <c r="E55" s="1029">
        <f t="shared" si="29"/>
        <v>112736.60739619608</v>
      </c>
      <c r="F55" s="1029">
        <f t="shared" si="29"/>
        <v>99847.659999999916</v>
      </c>
      <c r="G55" s="1030">
        <f t="shared" si="25"/>
        <v>2366.2226038039371</v>
      </c>
      <c r="H55" s="1031">
        <f t="shared" si="25"/>
        <v>2366.2226038039371</v>
      </c>
      <c r="I55" s="1032">
        <f t="shared" si="25"/>
        <v>15255.1700000001</v>
      </c>
      <c r="J55" s="1033">
        <f t="shared" si="26"/>
        <v>2.0988946345424416E-2</v>
      </c>
      <c r="K55" s="1034">
        <f t="shared" si="27"/>
        <v>2.0988946345424416E-2</v>
      </c>
      <c r="L55" s="1035">
        <f t="shared" si="28"/>
        <v>0.15278445183392492</v>
      </c>
      <c r="M55" s="1281"/>
    </row>
    <row r="56" spans="2:13">
      <c r="B56" s="638" t="s">
        <v>1977</v>
      </c>
      <c r="C56" s="663">
        <f>+Print_Mois!$L$313</f>
        <v>97450.820000000022</v>
      </c>
      <c r="D56" s="663">
        <f>+Print_Mois!$I$313</f>
        <v>95761.588783592684</v>
      </c>
      <c r="E56" s="663">
        <f>+Print_Mois!$F$313</f>
        <v>95761.588783592684</v>
      </c>
      <c r="F56" s="663">
        <f>+Print_Mois!$Q$313</f>
        <v>83016.01999999999</v>
      </c>
      <c r="G56" s="665">
        <f t="shared" si="25"/>
        <v>1689.2312164073373</v>
      </c>
      <c r="H56" s="664">
        <f t="shared" si="25"/>
        <v>1689.2312164073373</v>
      </c>
      <c r="I56" s="666">
        <f t="shared" si="25"/>
        <v>14434.800000000032</v>
      </c>
      <c r="J56" s="677">
        <f t="shared" si="26"/>
        <v>1.7639966482017704E-2</v>
      </c>
      <c r="K56" s="678">
        <f t="shared" si="27"/>
        <v>1.7639966482017704E-2</v>
      </c>
      <c r="L56" s="679">
        <f t="shared" si="28"/>
        <v>0.17387969213653021</v>
      </c>
      <c r="M56" s="1281"/>
    </row>
    <row r="57" spans="2:13">
      <c r="B57" s="639" t="s">
        <v>1978</v>
      </c>
      <c r="C57" s="1029">
        <f>+Print_Mois!$J$294/Print_Mois!$J$171</f>
        <v>215.00831417624522</v>
      </c>
      <c r="D57" s="1029">
        <f>+IFERROR(Print_Mois!$G$294/Print_Mois!$G$171,"")</f>
        <v>206.71029937013506</v>
      </c>
      <c r="E57" s="1029">
        <f>+IFERROR(Print_Mois!$D$294/Print_Mois!$D$171,"")</f>
        <v>206.71029937013506</v>
      </c>
      <c r="F57" s="1029">
        <f>+Print_Mois!$O$294/Print_Mois!$O$171</f>
        <v>212.45406542056074</v>
      </c>
      <c r="G57" s="1030">
        <f t="shared" si="25"/>
        <v>8.2980148061101602</v>
      </c>
      <c r="H57" s="1031">
        <f t="shared" si="25"/>
        <v>8.2980148061101602</v>
      </c>
      <c r="I57" s="1032">
        <f t="shared" si="25"/>
        <v>2.5542487556844833</v>
      </c>
      <c r="J57" s="1033">
        <f t="shared" si="26"/>
        <v>4.0143209271114984E-2</v>
      </c>
      <c r="K57" s="1034">
        <f t="shared" si="27"/>
        <v>4.0143209271114984E-2</v>
      </c>
      <c r="L57" s="1035">
        <f t="shared" si="28"/>
        <v>1.2022592980879198E-2</v>
      </c>
      <c r="M57" s="1281"/>
    </row>
    <row r="58" spans="2:13">
      <c r="B58" s="639" t="s">
        <v>1979</v>
      </c>
      <c r="C58" s="1029">
        <f>+Print_Mois!$J$296/Print_Mois!$J$174</f>
        <v>333.98177536231884</v>
      </c>
      <c r="D58" s="1029">
        <f>+IFERROR(Print_Mois!$G$296/Print_Mois!$G$174,"")</f>
        <v>315.35001187180399</v>
      </c>
      <c r="E58" s="1029">
        <f>+IFERROR(Print_Mois!$D$296/Print_Mois!$D$174,"")</f>
        <v>315.35001187180399</v>
      </c>
      <c r="F58" s="1029">
        <f>+Print_Mois!$O$296/Print_Mois!$O$174</f>
        <v>379.79979591836735</v>
      </c>
      <c r="G58" s="1030">
        <f t="shared" si="25"/>
        <v>18.631763490514857</v>
      </c>
      <c r="H58" s="1031">
        <f t="shared" si="25"/>
        <v>18.631763490514857</v>
      </c>
      <c r="I58" s="1032">
        <f t="shared" si="25"/>
        <v>-45.818020556048509</v>
      </c>
      <c r="J58" s="1033">
        <f t="shared" si="26"/>
        <v>5.908280573678569E-2</v>
      </c>
      <c r="K58" s="1034">
        <f t="shared" si="27"/>
        <v>5.908280573678569E-2</v>
      </c>
      <c r="L58" s="1035">
        <f t="shared" si="28"/>
        <v>-0.12063729640838577</v>
      </c>
      <c r="M58" s="1281"/>
    </row>
    <row r="59" spans="2:13">
      <c r="B59" s="667" t="s">
        <v>114</v>
      </c>
      <c r="C59" s="1063">
        <f>+Print_Mois!$L$319</f>
        <v>13821.12</v>
      </c>
      <c r="D59" s="1063">
        <f>+Print_Mois!$I$319</f>
        <v>23500.879209931034</v>
      </c>
      <c r="E59" s="1063">
        <f>+Print_Mois!$F$319</f>
        <v>23500.879209931034</v>
      </c>
      <c r="F59" s="1063">
        <f>+Print_Mois!$Q$319</f>
        <v>23019.06</v>
      </c>
      <c r="G59" s="1051">
        <f t="shared" si="25"/>
        <v>-9679.7592099310332</v>
      </c>
      <c r="H59" s="1052">
        <f t="shared" si="25"/>
        <v>-9679.7592099310332</v>
      </c>
      <c r="I59" s="1053">
        <f t="shared" si="25"/>
        <v>-9197.94</v>
      </c>
      <c r="J59" s="1054">
        <f t="shared" si="26"/>
        <v>-0.41188923714141501</v>
      </c>
      <c r="K59" s="1055">
        <f t="shared" si="27"/>
        <v>-0.41188923714141501</v>
      </c>
      <c r="L59" s="1056">
        <f t="shared" si="28"/>
        <v>-0.39957930514973244</v>
      </c>
      <c r="M59" s="1282"/>
    </row>
    <row r="60" spans="2:13">
      <c r="M60" s="165"/>
    </row>
    <row r="61" spans="2:13">
      <c r="B61" s="680" t="s">
        <v>1986</v>
      </c>
      <c r="C61" s="681" t="s">
        <v>1951</v>
      </c>
      <c r="D61" s="681" t="s">
        <v>1972</v>
      </c>
      <c r="E61" s="681" t="s">
        <v>6</v>
      </c>
      <c r="F61" s="681">
        <v>2021</v>
      </c>
      <c r="G61" s="683" t="s">
        <v>1975</v>
      </c>
      <c r="H61" s="682" t="s">
        <v>1973</v>
      </c>
      <c r="I61" s="684" t="s">
        <v>3546</v>
      </c>
      <c r="J61" s="683" t="s">
        <v>1976</v>
      </c>
      <c r="K61" s="682" t="s">
        <v>1974</v>
      </c>
      <c r="L61" s="684" t="s">
        <v>3547</v>
      </c>
      <c r="M61" s="1081" t="s">
        <v>1969</v>
      </c>
    </row>
    <row r="62" spans="2:13" ht="15" customHeight="1">
      <c r="B62" s="1065" t="s">
        <v>1987</v>
      </c>
      <c r="C62" s="1059">
        <f>+Print_Mois!$AF$432/Print_Mois!$AF$406</f>
        <v>0.43800976612478726</v>
      </c>
      <c r="D62" s="1059">
        <f>+Print_Mois!$AC$432/Print_Mois!$AC$406</f>
        <v>0.58803582860960146</v>
      </c>
      <c r="E62" s="1059">
        <f>+Print_Mois!$Z$432/Print_Mois!$Z$406</f>
        <v>0.58803582860960146</v>
      </c>
      <c r="F62" s="1059">
        <f>+Print_Mois!$AL$432/Print_Mois!$AL$406</f>
        <v>0.708638329211431</v>
      </c>
      <c r="G62" s="1060">
        <f t="shared" ref="G62:I67" si="30">+IFERROR($C62-D62,"")</f>
        <v>-0.1500260624848142</v>
      </c>
      <c r="H62" s="1061">
        <f t="shared" si="30"/>
        <v>-0.1500260624848142</v>
      </c>
      <c r="I62" s="1062">
        <f t="shared" si="30"/>
        <v>-0.27062856308664374</v>
      </c>
      <c r="J62" s="1033">
        <f t="shared" ref="J62:J67" si="31">+IFERROR(G62/ABS($D62),"")</f>
        <v>-0.25513081888147482</v>
      </c>
      <c r="K62" s="1034">
        <f t="shared" ref="K62:K67" si="32">+IFERROR(H62/ABS($E62),"")</f>
        <v>-0.25513081888147482</v>
      </c>
      <c r="L62" s="1035">
        <f t="shared" ref="L62:L67" si="33">+IFERROR(I62/ABS($F62),"")</f>
        <v>-0.38189941459672072</v>
      </c>
      <c r="M62" s="1276" t="s">
        <v>3552</v>
      </c>
    </row>
    <row r="63" spans="2:13">
      <c r="B63" s="1066" t="s">
        <v>1988</v>
      </c>
      <c r="C63" s="1067">
        <v>44</v>
      </c>
      <c r="D63" s="1067">
        <v>52.75</v>
      </c>
      <c r="E63" s="1067">
        <v>52.75</v>
      </c>
      <c r="F63" s="1067">
        <v>36</v>
      </c>
      <c r="G63" s="1068">
        <f t="shared" si="30"/>
        <v>-8.75</v>
      </c>
      <c r="H63" s="1069">
        <f t="shared" si="30"/>
        <v>-8.75</v>
      </c>
      <c r="I63" s="1070">
        <f t="shared" si="30"/>
        <v>8</v>
      </c>
      <c r="J63" s="1033">
        <f t="shared" si="31"/>
        <v>-0.16587677725118483</v>
      </c>
      <c r="K63" s="1034">
        <f t="shared" si="32"/>
        <v>-0.16587677725118483</v>
      </c>
      <c r="L63" s="1035">
        <f t="shared" si="33"/>
        <v>0.22222222222222221</v>
      </c>
      <c r="M63" s="1277"/>
    </row>
    <row r="64" spans="2:13">
      <c r="B64" s="1065" t="s">
        <v>1971</v>
      </c>
      <c r="C64" s="1029">
        <f>Q17+Print_Mois!$AF$413+Print_Mois!$AF$433</f>
        <v>21372.1</v>
      </c>
      <c r="D64" s="1029">
        <f>+Print_Mois!$AC$413+Print_Mois!$AC$433</f>
        <v>19345.920476079074</v>
      </c>
      <c r="E64" s="1029">
        <f>+Print_Mois!$Z$413+Print_Mois!$Z$433</f>
        <v>19345.920476079074</v>
      </c>
      <c r="F64" s="1029">
        <f>+Print_Mois!$AL$413+Print_Mois!$AL$433</f>
        <v>21544.989999999998</v>
      </c>
      <c r="G64" s="1030">
        <f t="shared" si="30"/>
        <v>2026.1795239209241</v>
      </c>
      <c r="H64" s="1031">
        <f t="shared" si="30"/>
        <v>2026.1795239209241</v>
      </c>
      <c r="I64" s="1032">
        <f t="shared" si="30"/>
        <v>-172.88999999999942</v>
      </c>
      <c r="J64" s="1033">
        <f t="shared" si="31"/>
        <v>0.10473420101288347</v>
      </c>
      <c r="K64" s="1034">
        <f t="shared" si="32"/>
        <v>0.10473420101288347</v>
      </c>
      <c r="L64" s="1035">
        <f t="shared" si="33"/>
        <v>-8.0246033996766511E-3</v>
      </c>
      <c r="M64" s="1277"/>
    </row>
    <row r="65" spans="2:13">
      <c r="B65" s="1065" t="s">
        <v>1990</v>
      </c>
      <c r="C65" s="1029">
        <f>+Print_Mois!$AF$451-Print_Mois!$AF$433</f>
        <v>73779.330000000031</v>
      </c>
      <c r="D65" s="1029">
        <f>+Print_Mois!$AC$451-Print_Mois!$AC$433</f>
        <v>78935.150758918127</v>
      </c>
      <c r="E65" s="1029">
        <f>+Print_Mois!$Z$451-Print_Mois!$Z$433</f>
        <v>78935.150758918127</v>
      </c>
      <c r="F65" s="1029">
        <f>+Print_Mois!$AL$451-Print_Mois!$AL$433</f>
        <v>61659.079999999987</v>
      </c>
      <c r="G65" s="1030">
        <f t="shared" si="30"/>
        <v>-5155.8207589180965</v>
      </c>
      <c r="H65" s="1031">
        <f t="shared" si="30"/>
        <v>-5155.8207589180965</v>
      </c>
      <c r="I65" s="1032">
        <f t="shared" si="30"/>
        <v>12120.250000000044</v>
      </c>
      <c r="J65" s="1033">
        <f t="shared" si="31"/>
        <v>-6.5317171239273136E-2</v>
      </c>
      <c r="K65" s="1034">
        <f t="shared" si="32"/>
        <v>-6.5317171239273136E-2</v>
      </c>
      <c r="L65" s="1035">
        <f t="shared" si="33"/>
        <v>0.19656877786694266</v>
      </c>
      <c r="M65" s="1277"/>
    </row>
    <row r="66" spans="2:13">
      <c r="B66" s="1065" t="s">
        <v>1989</v>
      </c>
      <c r="C66" s="1029">
        <f>+Print_Mois!$AF$414</f>
        <v>3289.19</v>
      </c>
      <c r="D66" s="1029">
        <f>+Print_Mois!$AC$414</f>
        <v>6314.4155406401314</v>
      </c>
      <c r="E66" s="1029">
        <f>+Print_Mois!$Z$414</f>
        <v>6314.4155406401314</v>
      </c>
      <c r="F66" s="1029">
        <f>+Print_Mois!$AL$414</f>
        <v>12064.57</v>
      </c>
      <c r="G66" s="1030">
        <f t="shared" si="30"/>
        <v>-3025.2255406401314</v>
      </c>
      <c r="H66" s="1031">
        <f t="shared" si="30"/>
        <v>-3025.2255406401314</v>
      </c>
      <c r="I66" s="1032">
        <f t="shared" si="30"/>
        <v>-8775.3799999999992</v>
      </c>
      <c r="J66" s="1033">
        <f t="shared" si="31"/>
        <v>-0.47909826668351407</v>
      </c>
      <c r="K66" s="1034">
        <f t="shared" si="32"/>
        <v>-0.47909826668351407</v>
      </c>
      <c r="L66" s="1035">
        <f t="shared" si="33"/>
        <v>-0.72736782164635783</v>
      </c>
      <c r="M66" s="1277"/>
    </row>
    <row r="67" spans="2:13" ht="33" customHeight="1">
      <c r="B67" s="1071" t="s">
        <v>1992</v>
      </c>
      <c r="C67" s="1063">
        <f>+Print_Mois!$AF$480-C32-C15</f>
        <v>181.09999999999127</v>
      </c>
      <c r="D67" s="1063">
        <f>+Print_Mois!$AC$480-D32-D15</f>
        <v>360</v>
      </c>
      <c r="E67" s="1063">
        <f>+Print_Mois!$Z$480-E32-E15</f>
        <v>360</v>
      </c>
      <c r="F67" s="1063">
        <f>+Print_Mois!$AL$480-F32-F15</f>
        <v>33828.540000000008</v>
      </c>
      <c r="G67" s="1051">
        <f t="shared" si="30"/>
        <v>-178.90000000000873</v>
      </c>
      <c r="H67" s="1052">
        <f t="shared" si="30"/>
        <v>-178.90000000000873</v>
      </c>
      <c r="I67" s="1053">
        <f t="shared" si="30"/>
        <v>-33647.440000000017</v>
      </c>
      <c r="J67" s="1054">
        <f t="shared" si="31"/>
        <v>-0.49694444444446872</v>
      </c>
      <c r="K67" s="1055">
        <f t="shared" si="32"/>
        <v>-0.49694444444446872</v>
      </c>
      <c r="L67" s="1056">
        <f t="shared" si="33"/>
        <v>-0.99464653218850141</v>
      </c>
      <c r="M67" s="1277"/>
    </row>
    <row r="68" spans="2:13">
      <c r="M68" s="165"/>
    </row>
    <row r="69" spans="2:13">
      <c r="B69" s="977" t="s">
        <v>2874</v>
      </c>
      <c r="C69" s="978" t="s">
        <v>1951</v>
      </c>
      <c r="D69" s="978" t="s">
        <v>1972</v>
      </c>
      <c r="E69" s="978" t="s">
        <v>6</v>
      </c>
      <c r="F69" s="978">
        <v>2021</v>
      </c>
      <c r="G69" s="979" t="s">
        <v>1975</v>
      </c>
      <c r="H69" s="980" t="s">
        <v>1973</v>
      </c>
      <c r="I69" s="981" t="s">
        <v>3546</v>
      </c>
      <c r="J69" s="979" t="s">
        <v>1976</v>
      </c>
      <c r="K69" s="980" t="s">
        <v>1974</v>
      </c>
      <c r="L69" s="981" t="s">
        <v>3547</v>
      </c>
      <c r="M69" s="1082" t="s">
        <v>1969</v>
      </c>
    </row>
    <row r="70" spans="2:13">
      <c r="B70" s="982" t="s">
        <v>2875</v>
      </c>
      <c r="C70" s="1072">
        <f>+Print_Mois!$AF$418-Print_Mois!$AF$414+Print_Mois!$AF$433+Print_Mois!$AF$434+Print_Mois!$AF$435</f>
        <v>151066.94999999998</v>
      </c>
      <c r="D70" s="1072">
        <f>+Print_Mois!$AC$418-Print_Mois!$AC$414+Print_Mois!$AC$433+Print_Mois!$AC$434+Print_Mois!$AC$435</f>
        <v>120374.01683445</v>
      </c>
      <c r="E70" s="1072">
        <f>+Print_Mois!$Z$418-Print_Mois!$Z$414+Print_Mois!$Z$433+Print_Mois!$Z$434+Print_Mois!$Z$435</f>
        <v>120374.01683445</v>
      </c>
      <c r="F70" s="1072">
        <f>+Print_Mois!$AL$418-Print_Mois!$AL$414+Print_Mois!$AL$433+Print_Mois!$AL$434+Print_Mois!$AL$435</f>
        <v>89489.959999999992</v>
      </c>
      <c r="G70" s="983">
        <f t="shared" ref="G70:I77" si="34">+IFERROR($C70-D70,"")</f>
        <v>30692.933165549985</v>
      </c>
      <c r="H70" s="984">
        <f t="shared" si="34"/>
        <v>30692.933165549985</v>
      </c>
      <c r="I70" s="985">
        <f t="shared" si="34"/>
        <v>61576.989999999991</v>
      </c>
      <c r="J70" s="1033">
        <f t="shared" ref="J70:J77" si="35">+IFERROR(G70/ABS($D70),"")</f>
        <v>0.25497972048039136</v>
      </c>
      <c r="K70" s="1034">
        <f t="shared" ref="K70:K77" si="36">+IFERROR(H70/ABS($E70),"")</f>
        <v>0.25497972048039136</v>
      </c>
      <c r="L70" s="1035">
        <f t="shared" ref="L70:L77" si="37">+IFERROR(I70/ABS($F70),"")</f>
        <v>0.68808825034674281</v>
      </c>
      <c r="M70" s="1276" t="s">
        <v>3553</v>
      </c>
    </row>
    <row r="71" spans="2:13">
      <c r="B71" s="982" t="s">
        <v>2876</v>
      </c>
      <c r="C71" s="1059">
        <f>+C70/Print_Mois!$AF$406</f>
        <v>0.2800396872093559</v>
      </c>
      <c r="D71" s="1059">
        <f>+D70/Print_Mois!$AC$406</f>
        <v>0.27146730591880491</v>
      </c>
      <c r="E71" s="1059">
        <f>+E70/Print_Mois!$Z$406</f>
        <v>0.27146730591880491</v>
      </c>
      <c r="F71" s="1059">
        <f>+F70/Print_Mois!$AL$406</f>
        <v>0.30088818708885479</v>
      </c>
      <c r="G71" s="986">
        <f t="shared" si="34"/>
        <v>8.57238129055099E-3</v>
      </c>
      <c r="H71" s="987">
        <f t="shared" si="34"/>
        <v>8.57238129055099E-3</v>
      </c>
      <c r="I71" s="988">
        <f t="shared" si="34"/>
        <v>-2.0848499879498883E-2</v>
      </c>
      <c r="J71" s="1033">
        <f t="shared" si="35"/>
        <v>3.1577951022636087E-2</v>
      </c>
      <c r="K71" s="1034">
        <f t="shared" si="36"/>
        <v>3.1577951022636087E-2</v>
      </c>
      <c r="L71" s="1035">
        <f t="shared" si="37"/>
        <v>-6.9289858406246269E-2</v>
      </c>
      <c r="M71" s="1277"/>
    </row>
    <row r="72" spans="2:13">
      <c r="B72" s="982" t="s">
        <v>2877</v>
      </c>
      <c r="C72" s="1029">
        <f>+Print_Mois!$AF$465+Print_Mois!$AF$432+Print_Mois!$AF$436+Print_Mois!$AF$438+SUM(Print_Mois!$AF$439:$AF$447)+Print_Mois!$AF$437</f>
        <v>339109.81999999995</v>
      </c>
      <c r="D72" s="1029">
        <f>+Print_Mois!$AC$465+Print_Mois!$AC$432+Print_Mois!$AC$436+Print_Mois!$AC$438+SUM(Print_Mois!$AC$439:$AC$447)+Print_Mois!$AC$437</f>
        <v>368356.53599929216</v>
      </c>
      <c r="E72" s="1029">
        <f>+Print_Mois!$Z$465+Print_Mois!$Z$432+Print_Mois!$Z$436+Print_Mois!$Z$438+SUM(Print_Mois!$Z$439:$Z$447)+Print_Mois!$Z$437</f>
        <v>368356.53599929216</v>
      </c>
      <c r="F72" s="1029">
        <f>+Print_Mois!$AL$465+Print_Mois!$AL$432+Print_Mois!$AL$436+Print_Mois!$AL$438+SUM(Print_Mois!$AL$439:$AL$447)+Print_Mois!$AL$437</f>
        <v>301702.31999999995</v>
      </c>
      <c r="G72" s="989">
        <f t="shared" si="34"/>
        <v>-29246.71599929221</v>
      </c>
      <c r="H72" s="990">
        <f t="shared" si="34"/>
        <v>-29246.71599929221</v>
      </c>
      <c r="I72" s="991">
        <f t="shared" si="34"/>
        <v>37407.5</v>
      </c>
      <c r="J72" s="1033">
        <f t="shared" si="35"/>
        <v>-7.9397847305601801E-2</v>
      </c>
      <c r="K72" s="1034">
        <f>+IFERROR(H72/ABS($E72),"")</f>
        <v>-7.9397847305601801E-2</v>
      </c>
      <c r="L72" s="1035">
        <f t="shared" si="37"/>
        <v>0.12398810854354718</v>
      </c>
      <c r="M72" s="1277"/>
    </row>
    <row r="73" spans="2:13">
      <c r="B73" s="982" t="s">
        <v>2878</v>
      </c>
      <c r="C73" s="1059">
        <f>+C72/Print_Mois!$AF$406</f>
        <v>0.62862332179487956</v>
      </c>
      <c r="D73" s="1059">
        <f>+D72/Print_Mois!$AC$406</f>
        <v>0.83071711881839372</v>
      </c>
      <c r="E73" s="1059">
        <f>+E72/Print_Mois!$Z$406</f>
        <v>0.83071711881839372</v>
      </c>
      <c r="F73" s="1059">
        <f>+F72/Print_Mois!$AL$406</f>
        <v>1.0144005439861805</v>
      </c>
      <c r="G73" s="986">
        <f t="shared" si="34"/>
        <v>-0.20209379702351415</v>
      </c>
      <c r="H73" s="987">
        <f t="shared" si="34"/>
        <v>-0.20209379702351415</v>
      </c>
      <c r="I73" s="988">
        <f t="shared" si="34"/>
        <v>-0.38577722219130095</v>
      </c>
      <c r="J73" s="1033">
        <f t="shared" si="35"/>
        <v>-0.24327631205069059</v>
      </c>
      <c r="K73" s="1034">
        <f t="shared" si="36"/>
        <v>-0.24327631205069059</v>
      </c>
      <c r="L73" s="1035">
        <f t="shared" si="37"/>
        <v>-0.38030068544261003</v>
      </c>
      <c r="M73" s="1277"/>
    </row>
    <row r="74" spans="2:13" s="996" customFormat="1">
      <c r="B74" s="673" t="s">
        <v>2879</v>
      </c>
      <c r="C74" s="663">
        <f>+Print_Mois!$AF$482+Print_Mois!$AF$414</f>
        <v>124091.53999999985</v>
      </c>
      <c r="D74" s="663">
        <f>+Print_Mois!$AC$482+Print_Mois!$AC$414</f>
        <v>19479.317623375428</v>
      </c>
      <c r="E74" s="663">
        <f>+Print_Mois!$Z$482+Print_Mois!$Z$414</f>
        <v>19479.317623375428</v>
      </c>
      <c r="F74" s="663">
        <f>+Print_Mois!$AL$482+Print_Mois!$AL$414</f>
        <v>-14607.419999999904</v>
      </c>
      <c r="G74" s="665">
        <f t="shared" si="34"/>
        <v>104612.22237662441</v>
      </c>
      <c r="H74" s="664">
        <f t="shared" si="34"/>
        <v>104612.22237662441</v>
      </c>
      <c r="I74" s="666">
        <f t="shared" si="34"/>
        <v>138698.95999999976</v>
      </c>
      <c r="J74" s="677">
        <f t="shared" si="35"/>
        <v>5.3704254121863295</v>
      </c>
      <c r="K74" s="678">
        <f t="shared" si="36"/>
        <v>5.3704254121863295</v>
      </c>
      <c r="L74" s="679">
        <f t="shared" si="37"/>
        <v>9.4951031735926446</v>
      </c>
      <c r="M74" s="1277"/>
    </row>
    <row r="75" spans="2:13">
      <c r="B75" s="639" t="s">
        <v>2880</v>
      </c>
      <c r="C75" s="1073">
        <f>+C74/Print_Mois!$AF$405</f>
        <v>3.432789386494671E-2</v>
      </c>
      <c r="D75" s="1073">
        <f>+D74/Print_Mois!$AC$405</f>
        <v>6.4645800771986044E-3</v>
      </c>
      <c r="E75" s="1073">
        <f>+E74/Print_Mois!$Z$405</f>
        <v>6.4645800771986044E-3</v>
      </c>
      <c r="F75" s="1073">
        <f>+F74/Print_Mois!$AL$405</f>
        <v>-6.9689182207434974E-3</v>
      </c>
      <c r="G75" s="986">
        <f t="shared" si="34"/>
        <v>2.7863313787748104E-2</v>
      </c>
      <c r="H75" s="987">
        <f t="shared" si="34"/>
        <v>2.7863313787748104E-2</v>
      </c>
      <c r="I75" s="988">
        <f t="shared" si="34"/>
        <v>4.1296812085690207E-2</v>
      </c>
      <c r="J75" s="1033">
        <f t="shared" si="35"/>
        <v>4.3101506138079335</v>
      </c>
      <c r="K75" s="1034">
        <f t="shared" si="36"/>
        <v>4.3101506138079335</v>
      </c>
      <c r="L75" s="1035">
        <f t="shared" si="37"/>
        <v>5.9258568945130117</v>
      </c>
      <c r="M75" s="1277"/>
    </row>
    <row r="76" spans="2:13" s="996" customFormat="1">
      <c r="B76" s="673" t="s">
        <v>2881</v>
      </c>
      <c r="C76" s="663">
        <f>Q9+Print_Mois!$AF$497</f>
        <v>116061.05999999985</v>
      </c>
      <c r="D76" s="663">
        <f>+Print_Mois!$AC$497</f>
        <v>5569.9254160686269</v>
      </c>
      <c r="E76" s="663">
        <f>+Print_Mois!$Z$497</f>
        <v>5569.9254160686269</v>
      </c>
      <c r="F76" s="663">
        <f>+Print_Mois!$AL$497</f>
        <v>-32869.019999999902</v>
      </c>
      <c r="G76" s="665">
        <f t="shared" si="34"/>
        <v>110491.13458393123</v>
      </c>
      <c r="H76" s="664">
        <f t="shared" si="34"/>
        <v>110491.13458393123</v>
      </c>
      <c r="I76" s="666">
        <f>+IFERROR($C76-F76,"")</f>
        <v>148930.07999999975</v>
      </c>
      <c r="J76" s="677">
        <f t="shared" si="35"/>
        <v>19.837094095582746</v>
      </c>
      <c r="K76" s="678">
        <f t="shared" si="36"/>
        <v>19.837094095582746</v>
      </c>
      <c r="L76" s="679">
        <f t="shared" si="37"/>
        <v>4.5310167446428338</v>
      </c>
      <c r="M76" s="1277"/>
    </row>
    <row r="77" spans="2:13">
      <c r="B77" s="992" t="s">
        <v>2882</v>
      </c>
      <c r="C77" s="1074">
        <f>+C76/Print_Mois!$AF$405</f>
        <v>3.210639298644543E-2</v>
      </c>
      <c r="D77" s="1074">
        <f>+D76/Print_Mois!$AC$405</f>
        <v>1.8484851252176444E-3</v>
      </c>
      <c r="E77" s="1074">
        <f>+E76/Print_Mois!$Z$405</f>
        <v>1.8484851252176444E-3</v>
      </c>
      <c r="F77" s="1074">
        <f>+F76/Print_Mois!$AL$405</f>
        <v>-1.5681175209310286E-2</v>
      </c>
      <c r="G77" s="993">
        <f t="shared" si="34"/>
        <v>3.0257907861227784E-2</v>
      </c>
      <c r="H77" s="994">
        <f t="shared" si="34"/>
        <v>3.0257907861227784E-2</v>
      </c>
      <c r="I77" s="995">
        <f t="shared" si="34"/>
        <v>4.778756819575572E-2</v>
      </c>
      <c r="J77" s="1054">
        <f t="shared" si="35"/>
        <v>16.369029671074664</v>
      </c>
      <c r="K77" s="1055">
        <f t="shared" si="36"/>
        <v>16.369029671074664</v>
      </c>
      <c r="L77" s="1056">
        <f t="shared" si="37"/>
        <v>3.0474481381588738</v>
      </c>
      <c r="M77" s="1278"/>
    </row>
    <row r="79" spans="2:13">
      <c r="B79" s="1147" t="s">
        <v>2978</v>
      </c>
      <c r="C79" s="1270">
        <v>73989</v>
      </c>
    </row>
    <row r="80" spans="2:13">
      <c r="C80" s="1270">
        <f>C76-C79</f>
        <v>42072.059999999852</v>
      </c>
    </row>
    <row r="82" spans="2:3">
      <c r="B82" s="1147"/>
      <c r="C82" s="1149"/>
    </row>
    <row r="83" spans="2:3">
      <c r="C83" s="1148"/>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zoomScale="55" zoomScaleNormal="55" zoomScaleSheetLayoutView="55" workbookViewId="0">
      <pane xSplit="2" ySplit="1" topLeftCell="C2" activePane="bottomRight" state="frozen"/>
      <selection activeCell="F508" sqref="F508"/>
      <selection pane="topRight" activeCell="F508" sqref="F508"/>
      <selection pane="bottomLeft" activeCell="F508" sqref="F508"/>
      <selection pane="bottomRight" activeCell="B5" sqref="B5"/>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274" t="str">
        <f>"Budget 2022 Mensuel Révisé"&amp;" "&amp;Parametres!$B$1</f>
        <v>Budget 2022 Mensuel Révisé Volks</v>
      </c>
      <c r="C1" s="1274"/>
      <c r="D1" s="1274"/>
      <c r="E1" s="1274"/>
      <c r="F1" s="1274"/>
      <c r="G1" s="1274"/>
      <c r="H1" s="1274"/>
      <c r="I1" s="1274"/>
      <c r="J1" s="1274"/>
      <c r="K1" s="1274"/>
      <c r="L1" s="1274"/>
      <c r="M1" s="1274"/>
      <c r="N1" s="1274"/>
      <c r="O1" s="1274"/>
      <c r="P1" s="1274"/>
      <c r="Q1" s="1274"/>
      <c r="R1" s="1274"/>
      <c r="S1" s="1274"/>
      <c r="T1" s="1274"/>
      <c r="U1" s="1274"/>
      <c r="V1" s="1274"/>
      <c r="W1" s="1274"/>
      <c r="X1" s="1274"/>
      <c r="Y1" s="1274"/>
      <c r="Z1" s="1274"/>
      <c r="AA1" s="1274"/>
      <c r="AB1" s="1274"/>
      <c r="AC1" s="1274"/>
      <c r="AD1" s="1274"/>
      <c r="AE1" s="1274"/>
      <c r="AF1" s="1274"/>
      <c r="AG1" s="1274"/>
      <c r="AH1" s="1274"/>
      <c r="AI1" s="1274"/>
      <c r="AJ1" s="1274"/>
      <c r="AK1" s="1274"/>
      <c r="AL1" s="1274"/>
      <c r="AM1" s="1274"/>
      <c r="AN1" s="1274"/>
      <c r="AO1" s="1274"/>
    </row>
    <row r="2" spans="1:219" ht="41.25" customHeight="1">
      <c r="B2" s="615" t="s">
        <v>1932</v>
      </c>
      <c r="C2" s="616"/>
      <c r="D2" s="616"/>
      <c r="E2" s="616"/>
      <c r="F2" s="616" t="str">
        <f>+IF(Parametres!$B$3=F$6,"X","")</f>
        <v>X</v>
      </c>
      <c r="G2" s="616" t="str">
        <f>+IF(Parametres!$B$3=F$6,"O","")</f>
        <v>O</v>
      </c>
      <c r="H2" s="616" t="str">
        <f>+IF(Parametres!$B$3=F$6,"U","")</f>
        <v>U</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
      </c>
      <c r="AB2" s="616" t="str">
        <f>+IF(Parametres!$B$3=AA$6,"O","")</f>
        <v/>
      </c>
      <c r="AC2" s="616" t="str">
        <f>+IF(Parametres!$B$3=AA$6,"U","")</f>
        <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1943</v>
      </c>
      <c r="C3" s="621"/>
      <c r="D3" s="621"/>
      <c r="E3" s="621"/>
      <c r="F3" s="621" t="str">
        <f>+IF(VLOOKUP(F$6,Parametres!$K$3:$N$14,4,0)="X","X","")</f>
        <v>X</v>
      </c>
      <c r="G3" s="621" t="str">
        <f>+IF(VLOOKUP(F$6,Parametres!$K$3:$N$14,4,0)="X","O","")</f>
        <v>O</v>
      </c>
      <c r="H3" s="621" t="str">
        <f>+IF(VLOOKUP(F$6,Parametres!$K$3:$N$14,4,0)="X","U","")</f>
        <v>U</v>
      </c>
      <c r="I3" s="621" t="str">
        <f>+IF(VLOOKUP(I$6,Parametres!$K$3:$N$14,4,0)="X","X","")</f>
        <v/>
      </c>
      <c r="J3" s="621" t="str">
        <f>+IF(VLOOKUP(I$6,Parametres!$K$3:$N$14,4,0)="X","O","")</f>
        <v/>
      </c>
      <c r="K3" s="621" t="str">
        <f>+IF(VLOOKUP(I$6,Parametres!$K$3:$N$14,4,0)="X","U","")</f>
        <v/>
      </c>
      <c r="L3" s="621" t="str">
        <f>+IF(VLOOKUP(L$6,Parametres!$K$3:$N$14,4,0)="X","X","")</f>
        <v/>
      </c>
      <c r="M3" s="621" t="str">
        <f>+IF(VLOOKUP(L$6,Parametres!$K$3:$N$14,4,0)="X","O","")</f>
        <v/>
      </c>
      <c r="N3" s="621" t="str">
        <f>+IF(VLOOKUP(L$6,Parametres!$K$3:$N$14,4,0)="X","U","")</f>
        <v/>
      </c>
      <c r="O3" s="621" t="str">
        <f>+IF(VLOOKUP(O$6,Parametres!$K$3:$N$14,4,0)="X","X","")</f>
        <v/>
      </c>
      <c r="P3" s="621" t="str">
        <f>+IF(VLOOKUP(O$6,Parametres!$K$3:$N$14,4,0)="X","O","")</f>
        <v/>
      </c>
      <c r="Q3" s="621" t="str">
        <f>+IF(VLOOKUP(O$6,Parametres!$K$3:$N$14,4,0)="X","U","")</f>
        <v/>
      </c>
      <c r="R3" s="621" t="str">
        <f>+IF(VLOOKUP(R$6,Parametres!$K$3:$N$14,4,0)="X","X","")</f>
        <v/>
      </c>
      <c r="S3" s="621" t="str">
        <f>+IF(VLOOKUP(R$6,Parametres!$K$3:$N$14,4,0)="X","O","")</f>
        <v/>
      </c>
      <c r="T3" s="621" t="str">
        <f>+IF(VLOOKUP(R$6,Parametres!$K$3:$N$14,4,0)="X","U","")</f>
        <v/>
      </c>
      <c r="U3" s="621" t="str">
        <f>+IF(VLOOKUP(U$6,Parametres!$K$3:$N$14,4,0)="X","X","")</f>
        <v/>
      </c>
      <c r="V3" s="621" t="str">
        <f>+IF(VLOOKUP(U$6,Parametres!$K$3:$N$14,4,0)="X","O","")</f>
        <v/>
      </c>
      <c r="W3" s="621" t="str">
        <f>+IF(VLOOKUP(U$6,Parametres!$K$3:$N$14,4,0)="X","U","")</f>
        <v/>
      </c>
      <c r="X3" s="621" t="str">
        <f>+IF(VLOOKUP(X$6,Parametres!$K$3:$N$14,4,0)="X","X","")</f>
        <v/>
      </c>
      <c r="Y3" s="621" t="str">
        <f>+IF(VLOOKUP(X$6,Parametres!$K$3:$N$14,4,0)="X","O","")</f>
        <v/>
      </c>
      <c r="Z3" s="621" t="str">
        <f>+IF(VLOOKUP(X$6,Parametres!$K$3:$N$14,4,0)="X","U","")</f>
        <v/>
      </c>
      <c r="AA3" s="621" t="str">
        <f>+IF(VLOOKUP(AA$6,Parametres!$K$3:$N$14,4,0)="X","X","")</f>
        <v/>
      </c>
      <c r="AB3" s="621" t="str">
        <f>+IF(VLOOKUP(AA$6,Parametres!$K$3:$N$14,4,0)="X","O","")</f>
        <v/>
      </c>
      <c r="AC3" s="621" t="str">
        <f>+IF(VLOOKUP(AA$6,Parametres!$K$3:$N$14,4,0)="X","U","")</f>
        <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3154</v>
      </c>
      <c r="C4" s="1275" t="s">
        <v>75</v>
      </c>
      <c r="D4" s="1275"/>
      <c r="E4" s="1275"/>
      <c r="F4" s="1275"/>
      <c r="G4" s="1275"/>
      <c r="H4" s="1275"/>
      <c r="I4" s="1275"/>
      <c r="J4" s="1275"/>
      <c r="K4" s="1275"/>
      <c r="L4" s="1275"/>
      <c r="M4" s="1275"/>
      <c r="N4" s="1275"/>
      <c r="O4" s="1275"/>
      <c r="P4" s="1275"/>
      <c r="Q4" s="1275"/>
      <c r="R4" s="1275"/>
      <c r="S4" s="1275"/>
      <c r="T4" s="1275"/>
      <c r="U4" s="1275"/>
      <c r="V4" s="1275"/>
      <c r="W4" s="1275"/>
      <c r="X4" s="1275"/>
      <c r="Y4" s="1275"/>
      <c r="Z4" s="1275"/>
      <c r="AA4" s="1275"/>
      <c r="AB4" s="1275"/>
      <c r="AC4" s="1275"/>
      <c r="AD4" s="1275"/>
      <c r="AE4" s="1275"/>
      <c r="AF4" s="1275"/>
      <c r="AG4" s="1275"/>
      <c r="AH4" s="1275"/>
      <c r="AI4" s="1275"/>
      <c r="AJ4" s="1275"/>
      <c r="AK4" s="1275"/>
      <c r="AL4" s="1275"/>
      <c r="AM4" s="1275"/>
      <c r="AN4" s="1275"/>
      <c r="AO4" s="1275"/>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1932</v>
      </c>
      <c r="C6" s="1271">
        <v>2022</v>
      </c>
      <c r="D6" s="1272"/>
      <c r="E6" s="1273"/>
      <c r="F6" s="1024" t="s">
        <v>1933</v>
      </c>
      <c r="G6" s="1025"/>
      <c r="H6" s="1026"/>
      <c r="I6" s="1024" t="s">
        <v>1934</v>
      </c>
      <c r="J6" s="1025"/>
      <c r="K6" s="1026"/>
      <c r="L6" s="1024" t="s">
        <v>1935</v>
      </c>
      <c r="M6" s="1025"/>
      <c r="N6" s="1026"/>
      <c r="O6" s="1024" t="s">
        <v>1936</v>
      </c>
      <c r="P6" s="1025"/>
      <c r="Q6" s="1026"/>
      <c r="R6" s="1024" t="s">
        <v>1937</v>
      </c>
      <c r="S6" s="1025"/>
      <c r="T6" s="1026"/>
      <c r="U6" s="1024" t="s">
        <v>1916</v>
      </c>
      <c r="V6" s="1025"/>
      <c r="W6" s="1026"/>
      <c r="X6" s="1024" t="s">
        <v>1938</v>
      </c>
      <c r="Y6" s="1025"/>
      <c r="Z6" s="1026"/>
      <c r="AA6" s="1024" t="s">
        <v>1939</v>
      </c>
      <c r="AB6" s="1025"/>
      <c r="AC6" s="1026"/>
      <c r="AD6" s="1024" t="s">
        <v>3</v>
      </c>
      <c r="AE6" s="1025"/>
      <c r="AF6" s="1026"/>
      <c r="AG6" s="1024" t="s">
        <v>1940</v>
      </c>
      <c r="AH6" s="1025"/>
      <c r="AI6" s="1026"/>
      <c r="AJ6" s="1024" t="s">
        <v>1941</v>
      </c>
      <c r="AK6" s="1025"/>
      <c r="AL6" s="1026"/>
      <c r="AM6" s="1024" t="s">
        <v>1942</v>
      </c>
      <c r="AN6" s="1025"/>
      <c r="AO6" s="1026"/>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32920311.02781979</v>
      </c>
      <c r="F8" s="706"/>
      <c r="G8" s="707"/>
      <c r="H8" s="709">
        <v>1528310.4172760069</v>
      </c>
      <c r="I8" s="706"/>
      <c r="J8" s="707"/>
      <c r="K8" s="709">
        <v>1587458.9436431748</v>
      </c>
      <c r="L8" s="706"/>
      <c r="M8" s="707"/>
      <c r="N8" s="709">
        <v>2936799.0457398733</v>
      </c>
      <c r="O8" s="706"/>
      <c r="P8" s="707"/>
      <c r="Q8" s="709">
        <v>3254290.8344685077</v>
      </c>
      <c r="R8" s="706"/>
      <c r="S8" s="707"/>
      <c r="T8" s="709">
        <v>3809901.4647436189</v>
      </c>
      <c r="U8" s="706"/>
      <c r="V8" s="707"/>
      <c r="W8" s="709">
        <v>2936799.0457398733</v>
      </c>
      <c r="X8" s="706"/>
      <c r="Y8" s="707"/>
      <c r="Z8" s="709">
        <v>3373350.2552417461</v>
      </c>
      <c r="AA8" s="706"/>
      <c r="AB8" s="707"/>
      <c r="AC8" s="709">
        <v>3254290.8344685077</v>
      </c>
      <c r="AD8" s="706"/>
      <c r="AE8" s="707"/>
      <c r="AF8" s="709">
        <v>2857426.0985577144</v>
      </c>
      <c r="AG8" s="706"/>
      <c r="AH8" s="707"/>
      <c r="AI8" s="709">
        <v>3055858.4665131117</v>
      </c>
      <c r="AJ8" s="706"/>
      <c r="AK8" s="707"/>
      <c r="AL8" s="709">
        <v>2738366.6777844764</v>
      </c>
      <c r="AM8" s="706"/>
      <c r="AN8" s="707"/>
      <c r="AO8" s="709">
        <v>1587458.9436431748</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168</v>
      </c>
      <c r="D9" s="712">
        <f>IF(C9=0,0,E9/C9)</f>
        <v>1450.6297619047618</v>
      </c>
      <c r="E9" s="713">
        <f t="shared" si="0"/>
        <v>243705.8</v>
      </c>
      <c r="F9" s="714">
        <v>7.8939759036144581</v>
      </c>
      <c r="G9" s="712">
        <f>IF(F9=0,0,H9/F9)</f>
        <v>1450.6297619047618</v>
      </c>
      <c r="H9" s="715">
        <v>11451.236385542168</v>
      </c>
      <c r="I9" s="714">
        <v>8.0963855421686759</v>
      </c>
      <c r="J9" s="712">
        <f t="shared" ref="J9:J15" si="3">IF(I9=0,0,K9/I9)</f>
        <v>1450.6297619047618</v>
      </c>
      <c r="K9" s="715">
        <v>11744.857831325302</v>
      </c>
      <c r="L9" s="714">
        <v>14.978313253012049</v>
      </c>
      <c r="M9" s="712">
        <f t="shared" ref="M9:M15" si="4">IF(L9=0,0,N9/L9)</f>
        <v>1450.6297619047618</v>
      </c>
      <c r="N9" s="715">
        <v>21727.986987951808</v>
      </c>
      <c r="O9" s="714">
        <v>16.597590361445782</v>
      </c>
      <c r="P9" s="712">
        <f t="shared" ref="P9:P15" si="5">IF(O9=0,0,Q9/O9)</f>
        <v>1450.6297619047618</v>
      </c>
      <c r="Q9" s="715">
        <v>24076.958554216864</v>
      </c>
      <c r="R9" s="714">
        <v>19.431325301204819</v>
      </c>
      <c r="S9" s="712">
        <f t="shared" ref="S9:S15" si="6">IF(R9=0,0,T9/R9)</f>
        <v>1450.6297619047618</v>
      </c>
      <c r="T9" s="715">
        <v>28187.65879518072</v>
      </c>
      <c r="U9" s="714">
        <v>14.978313253012049</v>
      </c>
      <c r="V9" s="712">
        <f t="shared" ref="V9:V15" si="7">IF(U9=0,0,W9/U9)</f>
        <v>1450.6297619047618</v>
      </c>
      <c r="W9" s="715">
        <v>21727.986987951808</v>
      </c>
      <c r="X9" s="714">
        <v>17.204819277108435</v>
      </c>
      <c r="Y9" s="712">
        <f t="shared" ref="Y9:Y15" si="8">IF(X9=0,0,Z9/X9)</f>
        <v>1450.6297619047618</v>
      </c>
      <c r="Z9" s="715">
        <v>24957.822891566266</v>
      </c>
      <c r="AA9" s="714">
        <v>16.597590361445782</v>
      </c>
      <c r="AB9" s="712">
        <f t="shared" ref="AB9:AB15" si="9">IF(AA9=0,0,AC9/AA9)</f>
        <v>1450.6297619047618</v>
      </c>
      <c r="AC9" s="715">
        <v>24076.958554216864</v>
      </c>
      <c r="AD9" s="714">
        <v>14.573493975903615</v>
      </c>
      <c r="AE9" s="712">
        <f t="shared" ref="AE9:AE15" si="10">IF(AD9=0,0,AF9/AD9)</f>
        <v>1450.6297619047618</v>
      </c>
      <c r="AF9" s="715">
        <v>21140.744096385541</v>
      </c>
      <c r="AG9" s="714">
        <v>15.585542168674699</v>
      </c>
      <c r="AH9" s="712">
        <f t="shared" ref="AH9:AH15" si="11">IF(AG9=0,0,AI9/AG9)</f>
        <v>1450.6297619047618</v>
      </c>
      <c r="AI9" s="715">
        <v>22608.851325301206</v>
      </c>
      <c r="AJ9" s="714">
        <v>13.966265060240964</v>
      </c>
      <c r="AK9" s="712">
        <f t="shared" ref="AK9:AK15" si="12">IF(AJ9=0,0,AL9/AJ9)</f>
        <v>1450.6297619047618</v>
      </c>
      <c r="AL9" s="715">
        <v>20259.879759036143</v>
      </c>
      <c r="AM9" s="714">
        <v>8.0963855421686759</v>
      </c>
      <c r="AN9" s="712">
        <f t="shared" ref="AN9:AN15" si="13">IF(AM9=0,0,AO9/AM9)</f>
        <v>1450.6297619047618</v>
      </c>
      <c r="AO9" s="715">
        <v>11744.857831325302</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580</v>
      </c>
      <c r="D10" s="712">
        <f>IF(C10=0,0,E10/C10)</f>
        <v>2081.8275862068967</v>
      </c>
      <c r="E10" s="713">
        <f t="shared" si="0"/>
        <v>1207460</v>
      </c>
      <c r="F10" s="714">
        <v>27.253012048192772</v>
      </c>
      <c r="G10" s="712">
        <f>IF(F10=0,0,H10/F10)</f>
        <v>2081.8275862068967</v>
      </c>
      <c r="H10" s="715">
        <v>56736.072289156633</v>
      </c>
      <c r="I10" s="714">
        <v>27.951807228915666</v>
      </c>
      <c r="J10" s="712">
        <f t="shared" si="3"/>
        <v>2081.8275862068967</v>
      </c>
      <c r="K10" s="715">
        <v>58190.84337349399</v>
      </c>
      <c r="L10" s="714">
        <v>51.710843373493979</v>
      </c>
      <c r="M10" s="712">
        <f t="shared" si="4"/>
        <v>2081.8275862068967</v>
      </c>
      <c r="N10" s="715">
        <v>107653.06024096387</v>
      </c>
      <c r="O10" s="714">
        <v>57.301204819277103</v>
      </c>
      <c r="P10" s="712">
        <f t="shared" si="5"/>
        <v>2081.8275862068967</v>
      </c>
      <c r="Q10" s="715">
        <v>119291.22891566265</v>
      </c>
      <c r="R10" s="714">
        <v>67.084337349397586</v>
      </c>
      <c r="S10" s="712">
        <f t="shared" si="6"/>
        <v>2081.8275862068967</v>
      </c>
      <c r="T10" s="715">
        <v>139658.02409638555</v>
      </c>
      <c r="U10" s="714">
        <v>51.710843373493979</v>
      </c>
      <c r="V10" s="712">
        <f t="shared" si="7"/>
        <v>2081.8275862068967</v>
      </c>
      <c r="W10" s="715">
        <v>107653.06024096387</v>
      </c>
      <c r="X10" s="714">
        <v>59.397590361445779</v>
      </c>
      <c r="Y10" s="712">
        <f t="shared" si="8"/>
        <v>2081.8275862068967</v>
      </c>
      <c r="Z10" s="715">
        <v>123655.5421686747</v>
      </c>
      <c r="AA10" s="714">
        <v>57.301204819277103</v>
      </c>
      <c r="AB10" s="712">
        <f t="shared" si="9"/>
        <v>2081.8275862068967</v>
      </c>
      <c r="AC10" s="715">
        <v>119291.22891566265</v>
      </c>
      <c r="AD10" s="714">
        <v>50.313253012048193</v>
      </c>
      <c r="AE10" s="712">
        <f t="shared" si="10"/>
        <v>2081.8275862068967</v>
      </c>
      <c r="AF10" s="715">
        <v>104743.51807228917</v>
      </c>
      <c r="AG10" s="714">
        <v>53.807228915662655</v>
      </c>
      <c r="AH10" s="712">
        <f t="shared" si="11"/>
        <v>2081.8275862068967</v>
      </c>
      <c r="AI10" s="715">
        <v>112017.37349397593</v>
      </c>
      <c r="AJ10" s="714">
        <v>48.216867469879517</v>
      </c>
      <c r="AK10" s="712">
        <f t="shared" si="12"/>
        <v>2081.8275862068967</v>
      </c>
      <c r="AL10" s="715">
        <v>100379.20481927712</v>
      </c>
      <c r="AM10" s="714">
        <v>27.951807228915666</v>
      </c>
      <c r="AN10" s="712">
        <f t="shared" si="13"/>
        <v>2081.8275862068967</v>
      </c>
      <c r="AO10" s="715">
        <v>58190.84337349399</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v>0</v>
      </c>
      <c r="G11" s="712">
        <f>IF(F11=0,0,H11/F11)</f>
        <v>0</v>
      </c>
      <c r="H11" s="715">
        <v>0</v>
      </c>
      <c r="I11" s="714">
        <v>0</v>
      </c>
      <c r="J11" s="712">
        <f t="shared" si="3"/>
        <v>0</v>
      </c>
      <c r="K11" s="715">
        <v>0</v>
      </c>
      <c r="L11" s="714">
        <v>0</v>
      </c>
      <c r="M11" s="712">
        <f t="shared" si="4"/>
        <v>0</v>
      </c>
      <c r="N11" s="715">
        <v>0</v>
      </c>
      <c r="O11" s="714">
        <v>0</v>
      </c>
      <c r="P11" s="712">
        <f t="shared" si="5"/>
        <v>0</v>
      </c>
      <c r="Q11" s="715">
        <v>0</v>
      </c>
      <c r="R11" s="714">
        <v>0</v>
      </c>
      <c r="S11" s="712">
        <f t="shared" si="6"/>
        <v>0</v>
      </c>
      <c r="T11" s="715">
        <v>0</v>
      </c>
      <c r="U11" s="714">
        <v>0</v>
      </c>
      <c r="V11" s="712">
        <f t="shared" si="7"/>
        <v>0</v>
      </c>
      <c r="W11" s="715">
        <v>0</v>
      </c>
      <c r="X11" s="714">
        <v>0</v>
      </c>
      <c r="Y11" s="712">
        <f t="shared" si="8"/>
        <v>0</v>
      </c>
      <c r="Z11" s="715">
        <v>0</v>
      </c>
      <c r="AA11" s="714">
        <v>0</v>
      </c>
      <c r="AB11" s="712">
        <f t="shared" si="9"/>
        <v>0</v>
      </c>
      <c r="AC11" s="715">
        <v>0</v>
      </c>
      <c r="AD11" s="714">
        <v>0</v>
      </c>
      <c r="AE11" s="712">
        <f t="shared" si="10"/>
        <v>0</v>
      </c>
      <c r="AF11" s="715">
        <v>0</v>
      </c>
      <c r="AG11" s="714">
        <v>0</v>
      </c>
      <c r="AH11" s="712">
        <f t="shared" si="11"/>
        <v>0</v>
      </c>
      <c r="AI11" s="715">
        <v>0</v>
      </c>
      <c r="AJ11" s="714">
        <v>0</v>
      </c>
      <c r="AK11" s="712">
        <f t="shared" si="12"/>
        <v>0</v>
      </c>
      <c r="AL11" s="715">
        <v>0</v>
      </c>
      <c r="AM11" s="714">
        <v>0</v>
      </c>
      <c r="AN11" s="712">
        <f t="shared" si="13"/>
        <v>0</v>
      </c>
      <c r="AO11" s="715">
        <v>0</v>
      </c>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14">IF(C12=0,0,E12/C12)</f>
        <v>0</v>
      </c>
      <c r="E12" s="713">
        <f t="shared" si="0"/>
        <v>0</v>
      </c>
      <c r="F12" s="714">
        <v>0</v>
      </c>
      <c r="G12" s="712">
        <f t="shared" ref="G12:G15" si="15">IF(F12=0,0,H12/F12)</f>
        <v>0</v>
      </c>
      <c r="H12" s="715">
        <v>0</v>
      </c>
      <c r="I12" s="714">
        <v>0</v>
      </c>
      <c r="J12" s="712">
        <f t="shared" si="3"/>
        <v>0</v>
      </c>
      <c r="K12" s="715">
        <v>0</v>
      </c>
      <c r="L12" s="714">
        <v>0</v>
      </c>
      <c r="M12" s="712">
        <f t="shared" si="4"/>
        <v>0</v>
      </c>
      <c r="N12" s="715">
        <v>0</v>
      </c>
      <c r="O12" s="714">
        <v>0</v>
      </c>
      <c r="P12" s="712">
        <f t="shared" si="5"/>
        <v>0</v>
      </c>
      <c r="Q12" s="715">
        <v>0</v>
      </c>
      <c r="R12" s="714">
        <v>0</v>
      </c>
      <c r="S12" s="712">
        <f t="shared" si="6"/>
        <v>0</v>
      </c>
      <c r="T12" s="715">
        <v>0</v>
      </c>
      <c r="U12" s="714">
        <v>0</v>
      </c>
      <c r="V12" s="712">
        <f t="shared" si="7"/>
        <v>0</v>
      </c>
      <c r="W12" s="715">
        <v>0</v>
      </c>
      <c r="X12" s="714">
        <v>0</v>
      </c>
      <c r="Y12" s="712">
        <f t="shared" si="8"/>
        <v>0</v>
      </c>
      <c r="Z12" s="715">
        <v>0</v>
      </c>
      <c r="AA12" s="714">
        <v>0</v>
      </c>
      <c r="AB12" s="712">
        <f t="shared" si="9"/>
        <v>0</v>
      </c>
      <c r="AC12" s="715">
        <v>0</v>
      </c>
      <c r="AD12" s="714">
        <v>0</v>
      </c>
      <c r="AE12" s="712">
        <f t="shared" si="10"/>
        <v>0</v>
      </c>
      <c r="AF12" s="715">
        <v>0</v>
      </c>
      <c r="AG12" s="714">
        <v>0</v>
      </c>
      <c r="AH12" s="712">
        <f t="shared" si="11"/>
        <v>0</v>
      </c>
      <c r="AI12" s="715">
        <v>0</v>
      </c>
      <c r="AJ12" s="714">
        <v>0</v>
      </c>
      <c r="AK12" s="712">
        <f t="shared" si="12"/>
        <v>0</v>
      </c>
      <c r="AL12" s="715">
        <v>0</v>
      </c>
      <c r="AM12" s="714">
        <v>0</v>
      </c>
      <c r="AN12" s="712">
        <f t="shared" si="13"/>
        <v>0</v>
      </c>
      <c r="AO12" s="715">
        <v>0</v>
      </c>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14"/>
        <v>0</v>
      </c>
      <c r="E13" s="713">
        <f t="shared" si="0"/>
        <v>0</v>
      </c>
      <c r="F13" s="711"/>
      <c r="G13" s="712">
        <f t="shared" si="15"/>
        <v>0</v>
      </c>
      <c r="H13" s="713"/>
      <c r="I13" s="711"/>
      <c r="J13" s="712">
        <f t="shared" si="3"/>
        <v>0</v>
      </c>
      <c r="K13" s="713"/>
      <c r="L13" s="711"/>
      <c r="M13" s="712">
        <f t="shared" si="4"/>
        <v>0</v>
      </c>
      <c r="N13" s="713"/>
      <c r="O13" s="711"/>
      <c r="P13" s="712">
        <f t="shared" si="5"/>
        <v>0</v>
      </c>
      <c r="Q13" s="713"/>
      <c r="R13" s="711"/>
      <c r="S13" s="712">
        <f t="shared" si="6"/>
        <v>0</v>
      </c>
      <c r="T13" s="713"/>
      <c r="U13" s="711"/>
      <c r="V13" s="712">
        <f t="shared" si="7"/>
        <v>0</v>
      </c>
      <c r="W13" s="713"/>
      <c r="X13" s="711"/>
      <c r="Y13" s="712">
        <f t="shared" si="8"/>
        <v>0</v>
      </c>
      <c r="Z13" s="713"/>
      <c r="AA13" s="711"/>
      <c r="AB13" s="712">
        <f t="shared" si="9"/>
        <v>0</v>
      </c>
      <c r="AC13" s="713"/>
      <c r="AD13" s="711"/>
      <c r="AE13" s="712">
        <f t="shared" si="10"/>
        <v>0</v>
      </c>
      <c r="AF13" s="713"/>
      <c r="AG13" s="711"/>
      <c r="AH13" s="712">
        <f t="shared" si="11"/>
        <v>0</v>
      </c>
      <c r="AI13" s="713"/>
      <c r="AJ13" s="711"/>
      <c r="AK13" s="712">
        <f t="shared" si="12"/>
        <v>0</v>
      </c>
      <c r="AL13" s="713"/>
      <c r="AM13" s="711"/>
      <c r="AN13" s="712">
        <f t="shared" si="13"/>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14"/>
        <v>0</v>
      </c>
      <c r="E14" s="713">
        <f t="shared" si="0"/>
        <v>0</v>
      </c>
      <c r="F14" s="711"/>
      <c r="G14" s="712">
        <f t="shared" si="15"/>
        <v>0</v>
      </c>
      <c r="H14" s="713"/>
      <c r="I14" s="711"/>
      <c r="J14" s="712">
        <f t="shared" si="3"/>
        <v>0</v>
      </c>
      <c r="K14" s="713"/>
      <c r="L14" s="711"/>
      <c r="M14" s="712">
        <f t="shared" si="4"/>
        <v>0</v>
      </c>
      <c r="N14" s="713"/>
      <c r="O14" s="711"/>
      <c r="P14" s="712">
        <f t="shared" si="5"/>
        <v>0</v>
      </c>
      <c r="Q14" s="713"/>
      <c r="R14" s="711"/>
      <c r="S14" s="712">
        <f t="shared" si="6"/>
        <v>0</v>
      </c>
      <c r="T14" s="713"/>
      <c r="U14" s="711"/>
      <c r="V14" s="712">
        <f t="shared" si="7"/>
        <v>0</v>
      </c>
      <c r="W14" s="713"/>
      <c r="X14" s="711"/>
      <c r="Y14" s="712">
        <f t="shared" si="8"/>
        <v>0</v>
      </c>
      <c r="Z14" s="713"/>
      <c r="AA14" s="711"/>
      <c r="AB14" s="712">
        <f t="shared" si="9"/>
        <v>0</v>
      </c>
      <c r="AC14" s="713"/>
      <c r="AD14" s="711"/>
      <c r="AE14" s="712">
        <f t="shared" si="10"/>
        <v>0</v>
      </c>
      <c r="AF14" s="713"/>
      <c r="AG14" s="711"/>
      <c r="AH14" s="712">
        <f t="shared" si="11"/>
        <v>0</v>
      </c>
      <c r="AI14" s="713"/>
      <c r="AJ14" s="711"/>
      <c r="AK14" s="712">
        <f t="shared" si="12"/>
        <v>0</v>
      </c>
      <c r="AL14" s="713"/>
      <c r="AM14" s="711"/>
      <c r="AN14" s="712">
        <f t="shared" si="13"/>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14"/>
        <v>0</v>
      </c>
      <c r="E15" s="713">
        <f t="shared" si="0"/>
        <v>0</v>
      </c>
      <c r="F15" s="711"/>
      <c r="G15" s="712">
        <f t="shared" si="15"/>
        <v>0</v>
      </c>
      <c r="H15" s="713"/>
      <c r="I15" s="711"/>
      <c r="J15" s="712">
        <f t="shared" si="3"/>
        <v>0</v>
      </c>
      <c r="K15" s="713"/>
      <c r="L15" s="711"/>
      <c r="M15" s="712">
        <f t="shared" si="4"/>
        <v>0</v>
      </c>
      <c r="N15" s="713"/>
      <c r="O15" s="711"/>
      <c r="P15" s="712">
        <f t="shared" si="5"/>
        <v>0</v>
      </c>
      <c r="Q15" s="713"/>
      <c r="R15" s="711"/>
      <c r="S15" s="712">
        <f t="shared" si="6"/>
        <v>0</v>
      </c>
      <c r="T15" s="713"/>
      <c r="U15" s="711"/>
      <c r="V15" s="712">
        <f t="shared" si="7"/>
        <v>0</v>
      </c>
      <c r="W15" s="713"/>
      <c r="X15" s="711"/>
      <c r="Y15" s="712">
        <f t="shared" si="8"/>
        <v>0</v>
      </c>
      <c r="Z15" s="713"/>
      <c r="AA15" s="711"/>
      <c r="AB15" s="712">
        <f t="shared" si="9"/>
        <v>0</v>
      </c>
      <c r="AC15" s="713"/>
      <c r="AD15" s="711"/>
      <c r="AE15" s="712">
        <f t="shared" si="10"/>
        <v>0</v>
      </c>
      <c r="AF15" s="713"/>
      <c r="AG15" s="711"/>
      <c r="AH15" s="712">
        <f t="shared" si="11"/>
        <v>0</v>
      </c>
      <c r="AI15" s="713"/>
      <c r="AJ15" s="711"/>
      <c r="AK15" s="712">
        <f t="shared" si="12"/>
        <v>0</v>
      </c>
      <c r="AL15" s="713"/>
      <c r="AM15" s="711"/>
      <c r="AN15" s="712">
        <f t="shared" si="13"/>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748</v>
      </c>
      <c r="D16" s="718">
        <f>IF(C16&lt;=0,0,E16/C16)</f>
        <v>1940.0612299465242</v>
      </c>
      <c r="E16" s="719">
        <f>+SUM(E9:E15)</f>
        <v>1451165.8</v>
      </c>
      <c r="F16" s="717">
        <f>+SUM(F9:F15)</f>
        <v>35.146987951807233</v>
      </c>
      <c r="G16" s="718">
        <f>IF(F16&lt;=0,0,H16/F16)</f>
        <v>1940.0612299465238</v>
      </c>
      <c r="H16" s="719">
        <f>+SUM(H9:H15)</f>
        <v>68187.308674698797</v>
      </c>
      <c r="I16" s="717">
        <f t="shared" ref="I16" si="16">+SUM(I9:I15)</f>
        <v>36.048192771084345</v>
      </c>
      <c r="J16" s="718">
        <f t="shared" ref="J16" si="17">IF(I16&lt;=0,0,K16/I16)</f>
        <v>1940.0612299465238</v>
      </c>
      <c r="K16" s="719">
        <f t="shared" ref="K16:L16" si="18">+SUM(K9:K15)</f>
        <v>69935.701204819285</v>
      </c>
      <c r="L16" s="717">
        <f t="shared" si="18"/>
        <v>66.689156626506033</v>
      </c>
      <c r="M16" s="718">
        <f t="shared" ref="M16" si="19">IF(L16&lt;=0,0,N16/L16)</f>
        <v>1940.061229946524</v>
      </c>
      <c r="N16" s="719">
        <f t="shared" ref="N16:O16" si="20">+SUM(N9:N15)</f>
        <v>129381.04722891568</v>
      </c>
      <c r="O16" s="717">
        <f t="shared" si="20"/>
        <v>73.898795180722885</v>
      </c>
      <c r="P16" s="718">
        <f t="shared" ref="P16" si="21">IF(O16&lt;=0,0,Q16/O16)</f>
        <v>1940.0612299465242</v>
      </c>
      <c r="Q16" s="719">
        <f t="shared" ref="Q16:R16" si="22">+SUM(Q9:Q15)</f>
        <v>143368.18746987951</v>
      </c>
      <c r="R16" s="717">
        <f t="shared" si="22"/>
        <v>86.515662650602408</v>
      </c>
      <c r="S16" s="718">
        <f t="shared" ref="S16" si="23">IF(R16&lt;=0,0,T16/R16)</f>
        <v>1940.0612299465242</v>
      </c>
      <c r="T16" s="719">
        <f t="shared" ref="T16:U16" si="24">+SUM(T9:T15)</f>
        <v>167845.68289156628</v>
      </c>
      <c r="U16" s="717">
        <f t="shared" si="24"/>
        <v>66.689156626506033</v>
      </c>
      <c r="V16" s="718">
        <f t="shared" ref="V16" si="25">IF(U16&lt;=0,0,W16/U16)</f>
        <v>1940.061229946524</v>
      </c>
      <c r="W16" s="719">
        <f t="shared" ref="W16:X16" si="26">+SUM(W9:W15)</f>
        <v>129381.04722891568</v>
      </c>
      <c r="X16" s="717">
        <f t="shared" si="26"/>
        <v>76.602409638554207</v>
      </c>
      <c r="Y16" s="718">
        <f t="shared" ref="Y16" si="27">IF(X16&lt;=0,0,Z16/X16)</f>
        <v>1940.0612299465242</v>
      </c>
      <c r="Z16" s="719">
        <f t="shared" ref="Z16:AA16" si="28">+SUM(Z9:Z15)</f>
        <v>148613.36506024096</v>
      </c>
      <c r="AA16" s="717">
        <f t="shared" si="28"/>
        <v>73.898795180722885</v>
      </c>
      <c r="AB16" s="718">
        <f t="shared" ref="AB16" si="29">IF(AA16&lt;=0,0,AC16/AA16)</f>
        <v>1940.0612299465242</v>
      </c>
      <c r="AC16" s="719">
        <f t="shared" ref="AC16:AD16" si="30">+SUM(AC9:AC15)</f>
        <v>143368.18746987951</v>
      </c>
      <c r="AD16" s="717">
        <f t="shared" si="30"/>
        <v>64.88674698795181</v>
      </c>
      <c r="AE16" s="718">
        <f t="shared" ref="AE16" si="31">IF(AD16&lt;=0,0,AF16/AD16)</f>
        <v>1940.061229946524</v>
      </c>
      <c r="AF16" s="719">
        <f t="shared" ref="AF16:AG16" si="32">+SUM(AF9:AF15)</f>
        <v>125884.2621686747</v>
      </c>
      <c r="AG16" s="717">
        <f t="shared" si="32"/>
        <v>69.392771084337355</v>
      </c>
      <c r="AH16" s="718">
        <f t="shared" ref="AH16" si="33">IF(AG16&lt;=0,0,AI16/AG16)</f>
        <v>1940.061229946524</v>
      </c>
      <c r="AI16" s="719">
        <f t="shared" ref="AI16:AJ16" si="34">+SUM(AI9:AI15)</f>
        <v>134626.22481927712</v>
      </c>
      <c r="AJ16" s="717">
        <f t="shared" si="34"/>
        <v>62.183132530120481</v>
      </c>
      <c r="AK16" s="718">
        <f t="shared" ref="AK16" si="35">IF(AJ16&lt;=0,0,AL16/AJ16)</f>
        <v>1940.061229946524</v>
      </c>
      <c r="AL16" s="719">
        <f t="shared" ref="AL16:AM16" si="36">+SUM(AL9:AL15)</f>
        <v>120639.08457831325</v>
      </c>
      <c r="AM16" s="717">
        <f t="shared" si="36"/>
        <v>36.048192771084345</v>
      </c>
      <c r="AN16" s="718">
        <f t="shared" ref="AN16" si="37">IF(AM16&lt;=0,0,AO16/AM16)</f>
        <v>1940.0612299465238</v>
      </c>
      <c r="AO16" s="719">
        <f t="shared" ref="AO16" si="38">+SUM(AO9:AO15)</f>
        <v>69935.701204819285</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69.999999999999986</v>
      </c>
      <c r="D18" s="723">
        <f>IF(C18=0,0,E18/C18)</f>
        <v>1386.1016187312016</v>
      </c>
      <c r="E18" s="724">
        <f>+SUM(H18,K18,N18,Q18,T18,W18,Z18,AC18,AF18,AI18,AL18,AO18)</f>
        <v>97027.11331118409</v>
      </c>
      <c r="F18" s="725">
        <v>3.2891566265060241</v>
      </c>
      <c r="G18" s="723">
        <f>IF(F18=0,0,H18/F18)</f>
        <v>1386.1016187312014</v>
      </c>
      <c r="H18" s="726">
        <v>4559.1053242604576</v>
      </c>
      <c r="I18" s="725">
        <v>3.3734939759036147</v>
      </c>
      <c r="J18" s="723">
        <f t="shared" ref="J18" si="39">IF(I18=0,0,K18/I18)</f>
        <v>1386.1016187312014</v>
      </c>
      <c r="K18" s="726">
        <v>4676.0054607799566</v>
      </c>
      <c r="L18" s="725">
        <v>6.2409638554216871</v>
      </c>
      <c r="M18" s="723">
        <f t="shared" ref="M18" si="40">IF(L18=0,0,N18/L18)</f>
        <v>1386.1016187312011</v>
      </c>
      <c r="N18" s="726">
        <v>8650.610102442919</v>
      </c>
      <c r="O18" s="725">
        <v>6.9156626506024095</v>
      </c>
      <c r="P18" s="723">
        <f t="shared" ref="P18" si="41">IF(O18=0,0,Q18/O18)</f>
        <v>1386.1016187312016</v>
      </c>
      <c r="Q18" s="726">
        <v>9585.8111945989112</v>
      </c>
      <c r="R18" s="725">
        <v>8.0963855421686741</v>
      </c>
      <c r="S18" s="723">
        <f t="shared" ref="S18" si="42">IF(R18=0,0,T18/R18)</f>
        <v>1386.1016187312014</v>
      </c>
      <c r="T18" s="726">
        <v>11222.413105871894</v>
      </c>
      <c r="U18" s="725">
        <v>6.2409638554216871</v>
      </c>
      <c r="V18" s="723">
        <f t="shared" ref="V18" si="43">IF(U18=0,0,W18/U18)</f>
        <v>1386.1016187312011</v>
      </c>
      <c r="W18" s="726">
        <v>8650.610102442919</v>
      </c>
      <c r="X18" s="725">
        <v>7.1686746987951802</v>
      </c>
      <c r="Y18" s="723">
        <f t="shared" ref="Y18" si="44">IF(X18=0,0,Z18/X18)</f>
        <v>1386.1016187312014</v>
      </c>
      <c r="Z18" s="726">
        <v>9936.5116041574074</v>
      </c>
      <c r="AA18" s="725">
        <v>6.9156626506024095</v>
      </c>
      <c r="AB18" s="723">
        <f t="shared" ref="AB18" si="45">IF(AA18=0,0,AC18/AA18)</f>
        <v>1386.1016187312016</v>
      </c>
      <c r="AC18" s="726">
        <v>9585.8111945989112</v>
      </c>
      <c r="AD18" s="725">
        <v>6.072289156626506</v>
      </c>
      <c r="AE18" s="723">
        <f t="shared" ref="AE18" si="46">IF(AD18=0,0,AF18/AD18)</f>
        <v>1386.1016187312014</v>
      </c>
      <c r="AF18" s="726">
        <v>8416.809829403921</v>
      </c>
      <c r="AG18" s="725">
        <v>6.4939759036144578</v>
      </c>
      <c r="AH18" s="723">
        <f t="shared" ref="AH18" si="47">IF(AG18=0,0,AI18/AG18)</f>
        <v>1386.1016187312011</v>
      </c>
      <c r="AI18" s="726">
        <v>9001.3105120014152</v>
      </c>
      <c r="AJ18" s="725">
        <v>5.8192771084337345</v>
      </c>
      <c r="AK18" s="723">
        <f t="shared" ref="AK18" si="48">IF(AJ18=0,0,AL18/AJ18)</f>
        <v>1386.1016187312014</v>
      </c>
      <c r="AL18" s="726">
        <v>8066.1094198454239</v>
      </c>
      <c r="AM18" s="725">
        <v>3.3734939759036147</v>
      </c>
      <c r="AN18" s="723">
        <f t="shared" ref="AN18" si="49">IF(AM18=0,0,AO18/AM18)</f>
        <v>1386.1016187312014</v>
      </c>
      <c r="AO18" s="726">
        <v>4676.0054607799566</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12</v>
      </c>
      <c r="D20" s="712">
        <f>IF(C20=0,0,E20/C20)</f>
        <v>1938.8731623598242</v>
      </c>
      <c r="E20" s="713">
        <f>+SUM(H20,K20,N20,Q20,T20,W20,Z20,AC20,AF20,AI20,AL20,AO20)</f>
        <v>23266.47794831789</v>
      </c>
      <c r="F20" s="714">
        <v>0</v>
      </c>
      <c r="G20" s="712">
        <f>IF(F20=0,0,H20/F20)</f>
        <v>0</v>
      </c>
      <c r="H20" s="715">
        <v>0</v>
      </c>
      <c r="I20" s="714">
        <v>0.60682680151706703</v>
      </c>
      <c r="J20" s="712">
        <f t="shared" ref="J20" si="50">IF(I20=0,0,K20/I20)</f>
        <v>1938.8731623598242</v>
      </c>
      <c r="K20" s="715">
        <v>1176.5601996620931</v>
      </c>
      <c r="L20" s="714">
        <v>1.122629582806574</v>
      </c>
      <c r="M20" s="712">
        <f t="shared" ref="M20" si="51">IF(L20=0,0,N20/L20)</f>
        <v>1938.8731623598242</v>
      </c>
      <c r="N20" s="715">
        <v>2176.6363693748722</v>
      </c>
      <c r="O20" s="714">
        <v>1.2439949431099873</v>
      </c>
      <c r="P20" s="712">
        <f t="shared" ref="P20" si="52">IF(O20=0,0,Q20/O20)</f>
        <v>1938.8731623598242</v>
      </c>
      <c r="Q20" s="715">
        <v>2411.9484093072906</v>
      </c>
      <c r="R20" s="714">
        <v>1.456384323640961</v>
      </c>
      <c r="S20" s="712">
        <f t="shared" ref="S20" si="53">IF(R20=0,0,T20/R20)</f>
        <v>1938.8731623598242</v>
      </c>
      <c r="T20" s="715">
        <v>2823.7444791890239</v>
      </c>
      <c r="U20" s="714">
        <v>1.122629582806574</v>
      </c>
      <c r="V20" s="712">
        <f t="shared" ref="V20" si="54">IF(U20=0,0,W20/U20)</f>
        <v>1938.8731623598242</v>
      </c>
      <c r="W20" s="715">
        <v>2176.6363693748722</v>
      </c>
      <c r="X20" s="714">
        <v>1.2895069532237673</v>
      </c>
      <c r="Y20" s="712">
        <f t="shared" ref="Y20" si="55">IF(X20=0,0,Z20/X20)</f>
        <v>1938.8731623598239</v>
      </c>
      <c r="Z20" s="715">
        <v>2500.1904242819473</v>
      </c>
      <c r="AA20" s="714">
        <v>1.2439949431099873</v>
      </c>
      <c r="AB20" s="712">
        <f t="shared" ref="AB20" si="56">IF(AA20=0,0,AC20/AA20)</f>
        <v>1938.8731623598242</v>
      </c>
      <c r="AC20" s="715">
        <v>2411.9484093072906</v>
      </c>
      <c r="AD20" s="714">
        <v>1.0922882427307206</v>
      </c>
      <c r="AE20" s="712">
        <f t="shared" ref="AE20" si="57">IF(AD20=0,0,AF20/AD20)</f>
        <v>1938.8731623598239</v>
      </c>
      <c r="AF20" s="715">
        <v>2117.8083593917672</v>
      </c>
      <c r="AG20" s="714">
        <v>1.168141592920354</v>
      </c>
      <c r="AH20" s="712">
        <f t="shared" ref="AH20" si="58">IF(AG20=0,0,AI20/AG20)</f>
        <v>1938.8731623598244</v>
      </c>
      <c r="AI20" s="715">
        <v>2264.8783843495294</v>
      </c>
      <c r="AJ20" s="714">
        <v>1.0467762326169407</v>
      </c>
      <c r="AK20" s="712">
        <f t="shared" ref="AK20" si="59">IF(AJ20=0,0,AL20/AJ20)</f>
        <v>1938.8731623598242</v>
      </c>
      <c r="AL20" s="715">
        <v>2029.5663444171109</v>
      </c>
      <c r="AM20" s="714">
        <v>0.60682680151706703</v>
      </c>
      <c r="AN20" s="712">
        <f t="shared" ref="AN20" si="60">IF(AM20=0,0,AO20/AM20)</f>
        <v>1938.8731623598242</v>
      </c>
      <c r="AO20" s="715">
        <v>1176.5601996620931</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70133.657999999996</v>
      </c>
      <c r="F22" s="711"/>
      <c r="G22" s="712"/>
      <c r="H22" s="715">
        <v>3506.6828999999993</v>
      </c>
      <c r="I22" s="711"/>
      <c r="J22" s="712"/>
      <c r="K22" s="715">
        <v>3506.6828999999993</v>
      </c>
      <c r="L22" s="711"/>
      <c r="M22" s="712"/>
      <c r="N22" s="715">
        <v>8416.038959999998</v>
      </c>
      <c r="O22" s="711"/>
      <c r="P22" s="712"/>
      <c r="Q22" s="715">
        <v>8416.038959999998</v>
      </c>
      <c r="R22" s="711"/>
      <c r="S22" s="712"/>
      <c r="T22" s="715">
        <v>8416.038959999998</v>
      </c>
      <c r="U22" s="711"/>
      <c r="V22" s="712"/>
      <c r="W22" s="715">
        <v>8416.038959999998</v>
      </c>
      <c r="X22" s="711"/>
      <c r="Y22" s="712"/>
      <c r="Z22" s="715">
        <v>7013.3657999999987</v>
      </c>
      <c r="AA22" s="711"/>
      <c r="AB22" s="712"/>
      <c r="AC22" s="715">
        <v>4909.3560599999992</v>
      </c>
      <c r="AD22" s="711"/>
      <c r="AE22" s="712"/>
      <c r="AF22" s="715">
        <v>4909.3560599999992</v>
      </c>
      <c r="AG22" s="711"/>
      <c r="AH22" s="712"/>
      <c r="AI22" s="715">
        <v>4208.019479999999</v>
      </c>
      <c r="AJ22" s="711"/>
      <c r="AK22" s="712"/>
      <c r="AL22" s="715">
        <v>4208.019479999999</v>
      </c>
      <c r="AM22" s="711"/>
      <c r="AN22" s="712"/>
      <c r="AO22" s="715">
        <v>4208.019479999999</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29.923762875104618</v>
      </c>
      <c r="E24" s="713">
        <f>+SUM(H24,K24,N24,Q24,T24,W24,Z24,AC24,AF24,AI24,AL24,AO24)</f>
        <v>24477.638031835577</v>
      </c>
      <c r="F24" s="714"/>
      <c r="G24" s="712">
        <f>IF(F16=0,0,H24/(F16+F18))</f>
        <v>29.923762875104618</v>
      </c>
      <c r="H24" s="715">
        <v>1150.154076194684</v>
      </c>
      <c r="I24" s="714"/>
      <c r="J24" s="712">
        <f t="shared" ref="J24" si="61">IF(I16=0,0,K24/(I16+I18))</f>
        <v>29.923762875104622</v>
      </c>
      <c r="K24" s="715">
        <v>1179.6452063535221</v>
      </c>
      <c r="L24" s="714"/>
      <c r="M24" s="712">
        <f t="shared" ref="M24" si="62">IF(L16=0,0,N24/(L16+L18))</f>
        <v>29.923762875104618</v>
      </c>
      <c r="N24" s="715">
        <v>2182.3436317540154</v>
      </c>
      <c r="O24" s="714"/>
      <c r="P24" s="712">
        <f t="shared" ref="P24" si="63">IF(O16=0,0,Q24/(O16+O18))</f>
        <v>29.923762875104618</v>
      </c>
      <c r="Q24" s="715">
        <v>2418.2726730247196</v>
      </c>
      <c r="R24" s="714"/>
      <c r="S24" s="712">
        <f t="shared" ref="S24" si="64">IF(R16=0,0,T24/(R16+R18))</f>
        <v>29.923762875104618</v>
      </c>
      <c r="T24" s="715">
        <v>2831.1484952484525</v>
      </c>
      <c r="U24" s="714"/>
      <c r="V24" s="712">
        <f t="shared" ref="V24" si="65">IF(U16=0,0,W24/(U16+U18))</f>
        <v>29.923762875104618</v>
      </c>
      <c r="W24" s="715">
        <v>2182.3436317540154</v>
      </c>
      <c r="X24" s="714"/>
      <c r="Y24" s="712">
        <f t="shared" ref="Y24" si="66">IF(X16=0,0,Z24/(X16+X18))</f>
        <v>29.923762875104615</v>
      </c>
      <c r="Z24" s="715">
        <v>2506.7460635012335</v>
      </c>
      <c r="AA24" s="714"/>
      <c r="AB24" s="712">
        <f t="shared" ref="AB24" si="67">IF(AA16=0,0,AC24/(AA16+AA18))</f>
        <v>29.923762875104618</v>
      </c>
      <c r="AC24" s="715">
        <v>2418.2726730247196</v>
      </c>
      <c r="AD24" s="714"/>
      <c r="AE24" s="712">
        <f t="shared" ref="AE24" si="68">IF(AD16=0,0,AF24/(AD16+AD18))</f>
        <v>29.923762875104622</v>
      </c>
      <c r="AF24" s="715">
        <v>2123.3613714363396</v>
      </c>
      <c r="AG24" s="714"/>
      <c r="AH24" s="712">
        <f t="shared" ref="AH24" si="69">IF(AG16=0,0,AI24/(AG16+AG18))</f>
        <v>29.923762875104615</v>
      </c>
      <c r="AI24" s="715">
        <v>2270.8170222305293</v>
      </c>
      <c r="AJ24" s="714"/>
      <c r="AK24" s="712">
        <f t="shared" ref="AK24" si="70">IF(AJ16=0,0,AL24/(AJ16+AJ18))</f>
        <v>29.923762875104618</v>
      </c>
      <c r="AL24" s="715">
        <v>2034.887980959825</v>
      </c>
      <c r="AM24" s="714"/>
      <c r="AN24" s="712">
        <f t="shared" ref="AN24" si="71">IF(AM16=0,0,AO24/(AM16+AM18))</f>
        <v>29.923762875104622</v>
      </c>
      <c r="AO24" s="715">
        <v>1179.6452063535221</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800.26938793029672</v>
      </c>
      <c r="E25" s="713">
        <f>+SUM(H25,K25,N25,Q25,T25,W25,Z25,AC25,AF25,AI25,AL25,AO25)</f>
        <v>654620.35932698275</v>
      </c>
      <c r="F25" s="714"/>
      <c r="G25" s="712">
        <f>IF(F16=0,0,H25/(F16+F18))</f>
        <v>800.26938793029683</v>
      </c>
      <c r="H25" s="715">
        <v>30759.269896087149</v>
      </c>
      <c r="I25" s="714"/>
      <c r="J25" s="712">
        <f t="shared" ref="J25" si="72">IF(I16=0,0,K25/(I16+I18))</f>
        <v>800.26938793029683</v>
      </c>
      <c r="K25" s="715">
        <v>31547.969124191946</v>
      </c>
      <c r="L25" s="714"/>
      <c r="M25" s="712">
        <f t="shared" ref="M25" si="73">IF(L16=0,0,N25/(L16+L18))</f>
        <v>800.26938793029683</v>
      </c>
      <c r="N25" s="715">
        <v>58363.742879755097</v>
      </c>
      <c r="O25" s="714"/>
      <c r="P25" s="712">
        <f t="shared" ref="P25" si="74">IF(O16=0,0,Q25/(O16+O18))</f>
        <v>800.26938793029683</v>
      </c>
      <c r="Q25" s="715">
        <v>64673.336704593479</v>
      </c>
      <c r="R25" s="714"/>
      <c r="S25" s="712">
        <f t="shared" ref="S25" si="75">IF(R16=0,0,T25/(R16+R18))</f>
        <v>800.26938793029683</v>
      </c>
      <c r="T25" s="715">
        <v>75715.125898060665</v>
      </c>
      <c r="U25" s="714"/>
      <c r="V25" s="712">
        <f t="shared" ref="V25" si="76">IF(U16=0,0,W25/(U16+U18))</f>
        <v>800.26938793029683</v>
      </c>
      <c r="W25" s="715">
        <v>58363.742879755097</v>
      </c>
      <c r="X25" s="714"/>
      <c r="Y25" s="712">
        <f t="shared" ref="Y25" si="77">IF(X16=0,0,Z25/(X16+X18))</f>
        <v>800.26938793029683</v>
      </c>
      <c r="Z25" s="715">
        <v>67039.434388907874</v>
      </c>
      <c r="AA25" s="714"/>
      <c r="AB25" s="712">
        <f t="shared" ref="AB25" si="78">IF(AA16=0,0,AC25/(AA16+AA18))</f>
        <v>800.26938793029683</v>
      </c>
      <c r="AC25" s="715">
        <v>64673.336704593479</v>
      </c>
      <c r="AD25" s="714"/>
      <c r="AE25" s="712">
        <f t="shared" ref="AE25" si="79">IF(AD16=0,0,AF25/(AD16+AD18))</f>
        <v>800.26938793029683</v>
      </c>
      <c r="AF25" s="715">
        <v>56786.344423545503</v>
      </c>
      <c r="AG25" s="714"/>
      <c r="AH25" s="712">
        <f t="shared" ref="AH25" si="80">IF(AG16=0,0,AI25/(AG16+AG18))</f>
        <v>800.26938793029683</v>
      </c>
      <c r="AI25" s="715">
        <v>60729.840564069491</v>
      </c>
      <c r="AJ25" s="714"/>
      <c r="AK25" s="712">
        <f t="shared" ref="AK25" si="81">IF(AJ16=0,0,AL25/(AJ16+AJ18))</f>
        <v>800.26938793029683</v>
      </c>
      <c r="AL25" s="715">
        <v>54420.246739231094</v>
      </c>
      <c r="AM25" s="714"/>
      <c r="AN25" s="712">
        <f t="shared" ref="AN25" si="82">IF(AM16=0,0,AO25/(AM16+AM18))</f>
        <v>800.26938793029683</v>
      </c>
      <c r="AO25" s="715">
        <v>31547.969124191946</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19.806849194598477</v>
      </c>
      <c r="E26" s="713">
        <f>+SUM(H26,K26,N26,Q26,T26,W26,Z26,AC26,AF26,AI26,AL26,AO26)</f>
        <v>16202.002641181554</v>
      </c>
      <c r="F26" s="714"/>
      <c r="G26" s="712">
        <f>IF(F16=0,0,H26/(F16+F18))</f>
        <v>19.806849194598477</v>
      </c>
      <c r="H26" s="715">
        <v>761.29891928443465</v>
      </c>
      <c r="I26" s="714"/>
      <c r="J26" s="712">
        <f t="shared" ref="J26" si="83">IF(I16=0,0,K26/(I16+I18))</f>
        <v>19.806849194598477</v>
      </c>
      <c r="K26" s="715">
        <v>780.81940439429195</v>
      </c>
      <c r="L26" s="714"/>
      <c r="M26" s="712">
        <f t="shared" ref="M26" si="84">IF(L16=0,0,N26/(L16+L18))</f>
        <v>19.806849194598477</v>
      </c>
      <c r="N26" s="715">
        <v>1444.5158981294398</v>
      </c>
      <c r="O26" s="714"/>
      <c r="P26" s="712">
        <f t="shared" ref="P26" si="85">IF(O16=0,0,Q26/(O16+O18))</f>
        <v>19.806849194598477</v>
      </c>
      <c r="Q26" s="715">
        <v>1600.6797790082981</v>
      </c>
      <c r="R26" s="714"/>
      <c r="S26" s="712">
        <f t="shared" ref="S26" si="86">IF(R16=0,0,T26/(R16+R18))</f>
        <v>19.806849194598477</v>
      </c>
      <c r="T26" s="715">
        <v>1873.9665705463003</v>
      </c>
      <c r="U26" s="714"/>
      <c r="V26" s="712">
        <f t="shared" ref="V26" si="87">IF(U16=0,0,W26/(U16+U18))</f>
        <v>19.806849194598477</v>
      </c>
      <c r="W26" s="715">
        <v>1444.5158981294398</v>
      </c>
      <c r="X26" s="714"/>
      <c r="Y26" s="712">
        <f t="shared" ref="Y26" si="88">IF(X16=0,0,Z26/(X16+X18))</f>
        <v>19.806849194598477</v>
      </c>
      <c r="Z26" s="715">
        <v>1659.2412343378699</v>
      </c>
      <c r="AA26" s="714"/>
      <c r="AB26" s="712">
        <f t="shared" ref="AB26" si="89">IF(AA16=0,0,AC26/(AA16+AA18))</f>
        <v>19.806849194598477</v>
      </c>
      <c r="AC26" s="715">
        <v>1600.6797790082981</v>
      </c>
      <c r="AD26" s="714"/>
      <c r="AE26" s="712">
        <f t="shared" ref="AE26" si="90">IF(AD16=0,0,AF26/(AD16+AD18))</f>
        <v>19.806849194598477</v>
      </c>
      <c r="AF26" s="715">
        <v>1405.4749279097255</v>
      </c>
      <c r="AG26" s="714"/>
      <c r="AH26" s="712">
        <f t="shared" ref="AH26" si="91">IF(AG16=0,0,AI26/(AG16+AG18))</f>
        <v>19.806849194598477</v>
      </c>
      <c r="AI26" s="715">
        <v>1503.0773534590116</v>
      </c>
      <c r="AJ26" s="714"/>
      <c r="AK26" s="712">
        <f t="shared" ref="AK26" si="92">IF(AJ16=0,0,AL26/(AJ16+AJ18))</f>
        <v>19.806849194598477</v>
      </c>
      <c r="AL26" s="715">
        <v>1346.9134725801532</v>
      </c>
      <c r="AM26" s="714"/>
      <c r="AN26" s="712">
        <f t="shared" ref="AN26" si="93">IF(AM16=0,0,AO26/(AM16+AM18))</f>
        <v>19.806849194598477</v>
      </c>
      <c r="AO26" s="715">
        <v>780.81940439429195</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818</v>
      </c>
      <c r="D27" s="718">
        <f>IF(C27&lt;=0,0,E27/C27)</f>
        <v>849.99999999999989</v>
      </c>
      <c r="E27" s="719">
        <f>E24+E25+E26</f>
        <v>695299.99999999988</v>
      </c>
      <c r="F27" s="717">
        <f>+F18+F16</f>
        <v>38.436144578313261</v>
      </c>
      <c r="G27" s="718">
        <f>IF(F27&lt;=0,0,H27/F27)</f>
        <v>850</v>
      </c>
      <c r="H27" s="719">
        <f>H24+H25+H26</f>
        <v>32670.722891566271</v>
      </c>
      <c r="I27" s="717">
        <f t="shared" ref="I27" si="94">+I18+I16</f>
        <v>39.421686746987959</v>
      </c>
      <c r="J27" s="718">
        <f t="shared" ref="J27" si="95">IF(I27&lt;=0,0,K27/I27)</f>
        <v>849.99999999999989</v>
      </c>
      <c r="K27" s="719">
        <f t="shared" ref="K27" si="96">K24+K25+K26</f>
        <v>33508.433734939761</v>
      </c>
      <c r="L27" s="717">
        <f t="shared" ref="L27" si="97">+L18+L16</f>
        <v>72.930120481927716</v>
      </c>
      <c r="M27" s="718">
        <f t="shared" ref="M27" si="98">IF(L27&lt;=0,0,N27/L27)</f>
        <v>849.99999999999989</v>
      </c>
      <c r="N27" s="719">
        <f t="shared" ref="N27" si="99">N24+N25+N26</f>
        <v>61990.602409638552</v>
      </c>
      <c r="O27" s="717">
        <f t="shared" ref="O27" si="100">+O18+O16</f>
        <v>80.814457831325299</v>
      </c>
      <c r="P27" s="718">
        <f t="shared" ref="P27" si="101">IF(O27&lt;=0,0,Q27/O27)</f>
        <v>849.99999999999977</v>
      </c>
      <c r="Q27" s="719">
        <f t="shared" ref="Q27" si="102">Q24+Q25+Q26</f>
        <v>68692.289156626488</v>
      </c>
      <c r="R27" s="717">
        <f t="shared" ref="R27" si="103">+R18+R16</f>
        <v>94.612048192771084</v>
      </c>
      <c r="S27" s="718">
        <f t="shared" ref="S27" si="104">IF(R27&lt;=0,0,T27/R27)</f>
        <v>849.99999999999989</v>
      </c>
      <c r="T27" s="719">
        <f t="shared" ref="T27" si="105">T24+T25+T26</f>
        <v>80420.240963855409</v>
      </c>
      <c r="U27" s="717">
        <f t="shared" ref="U27" si="106">+U18+U16</f>
        <v>72.930120481927716</v>
      </c>
      <c r="V27" s="718">
        <f t="shared" ref="V27" si="107">IF(U27&lt;=0,0,W27/U27)</f>
        <v>849.99999999999989</v>
      </c>
      <c r="W27" s="719">
        <f t="shared" ref="W27" si="108">W24+W25+W26</f>
        <v>61990.602409638552</v>
      </c>
      <c r="X27" s="717">
        <f t="shared" ref="X27" si="109">+X18+X16</f>
        <v>83.771084337349393</v>
      </c>
      <c r="Y27" s="718">
        <f t="shared" ref="Y27" si="110">IF(X27&lt;=0,0,Z27/X27)</f>
        <v>850</v>
      </c>
      <c r="Z27" s="719">
        <f t="shared" ref="Z27" si="111">Z24+Z25+Z26</f>
        <v>71205.42168674698</v>
      </c>
      <c r="AA27" s="717">
        <f t="shared" ref="AA27" si="112">+AA18+AA16</f>
        <v>80.814457831325299</v>
      </c>
      <c r="AB27" s="718">
        <f t="shared" ref="AB27" si="113">IF(AA27&lt;=0,0,AC27/AA27)</f>
        <v>849.99999999999977</v>
      </c>
      <c r="AC27" s="719">
        <f t="shared" ref="AC27" si="114">AC24+AC25+AC26</f>
        <v>68692.289156626488</v>
      </c>
      <c r="AD27" s="717">
        <f t="shared" ref="AD27" si="115">+AD18+AD16</f>
        <v>70.95903614457832</v>
      </c>
      <c r="AE27" s="718">
        <f t="shared" ref="AE27" si="116">IF(AD27&lt;=0,0,AF27/AD27)</f>
        <v>849.99999999999989</v>
      </c>
      <c r="AF27" s="719">
        <f t="shared" ref="AF27" si="117">AF24+AF25+AF26</f>
        <v>60315.180722891564</v>
      </c>
      <c r="AG27" s="717">
        <f t="shared" ref="AG27" si="118">+AG18+AG16</f>
        <v>75.88674698795181</v>
      </c>
      <c r="AH27" s="718">
        <f t="shared" ref="AH27" si="119">IF(AG27&lt;=0,0,AI27/AG27)</f>
        <v>849.99999999999989</v>
      </c>
      <c r="AI27" s="719">
        <f t="shared" ref="AI27" si="120">AI24+AI25+AI26</f>
        <v>64503.73493975903</v>
      </c>
      <c r="AJ27" s="717">
        <f t="shared" ref="AJ27" si="121">+AJ18+AJ16</f>
        <v>68.002409638554212</v>
      </c>
      <c r="AK27" s="718">
        <f t="shared" ref="AK27" si="122">IF(AJ27&lt;=0,0,AL27/AJ27)</f>
        <v>849.99999999999989</v>
      </c>
      <c r="AL27" s="719">
        <f t="shared" ref="AL27" si="123">AL24+AL25+AL26</f>
        <v>57802.048192771072</v>
      </c>
      <c r="AM27" s="717">
        <f t="shared" ref="AM27" si="124">+AM18+AM16</f>
        <v>39.421686746987959</v>
      </c>
      <c r="AN27" s="718">
        <f t="shared" ref="AN27" si="125">IF(AM27&lt;=0,0,AO27/AM27)</f>
        <v>849.99999999999989</v>
      </c>
      <c r="AO27" s="719">
        <f t="shared" ref="AO27" si="126">AO24+AO25+AO26</f>
        <v>33508.433734939761</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830</v>
      </c>
      <c r="D30" s="736">
        <f>IF(C30&lt;=0,0,E30/C30)</f>
        <v>2815.5337942885567</v>
      </c>
      <c r="E30" s="737">
        <f>E16+E20+E27+E22+E18</f>
        <v>2336893.049259502</v>
      </c>
      <c r="F30" s="735">
        <f>+F16+F18+F20</f>
        <v>38.436144578313261</v>
      </c>
      <c r="G30" s="736">
        <f>IF(F30&lt;=0,0,H30/F30)</f>
        <v>2833.8903650597508</v>
      </c>
      <c r="H30" s="737">
        <f>H16+H20+H27+H22+H18</f>
        <v>108923.81979052552</v>
      </c>
      <c r="I30" s="735">
        <f t="shared" ref="I30" si="127">+I16+I18+I20</f>
        <v>40.028513548505025</v>
      </c>
      <c r="J30" s="736">
        <f t="shared" ref="J30" si="128">IF(I30&lt;=0,0,K30/I30)</f>
        <v>2818.0757540124559</v>
      </c>
      <c r="K30" s="737">
        <f t="shared" ref="K30" si="129">K16+K20+K27+K22+K18</f>
        <v>112803.3835002011</v>
      </c>
      <c r="L30" s="735">
        <f t="shared" ref="L30" si="130">+L16+L18+L20</f>
        <v>74.052750064734283</v>
      </c>
      <c r="M30" s="736">
        <f t="shared" ref="M30" si="131">IF(L30&lt;=0,0,N30/L30)</f>
        <v>2844.1203721166321</v>
      </c>
      <c r="N30" s="737">
        <f t="shared" ref="N30" si="132">N16+N20+N27+N22+N18</f>
        <v>210614.93507037201</v>
      </c>
      <c r="O30" s="735">
        <f t="shared" ref="O30" si="133">+O16+O18+O20</f>
        <v>82.058452774435281</v>
      </c>
      <c r="P30" s="736">
        <f t="shared" ref="P30" si="134">IF(O30&lt;=0,0,Q30/O30)</f>
        <v>2833.0326411277147</v>
      </c>
      <c r="Q30" s="737">
        <f t="shared" ref="Q30" si="135">Q16+Q20+Q27+Q22+Q18</f>
        <v>232474.27519041221</v>
      </c>
      <c r="R30" s="735">
        <f t="shared" ref="R30" si="136">+R16+R18+R20</f>
        <v>96.068432516412045</v>
      </c>
      <c r="S30" s="736">
        <f t="shared" ref="S30" si="137">IF(R30&lt;=0,0,T30/R30)</f>
        <v>2818.0757540124559</v>
      </c>
      <c r="T30" s="737">
        <f t="shared" ref="T30" si="138">T16+T20+T27+T22+T18</f>
        <v>270728.12040048261</v>
      </c>
      <c r="U30" s="735">
        <f t="shared" ref="U30" si="139">+U16+U18+U20</f>
        <v>74.052750064734283</v>
      </c>
      <c r="V30" s="736">
        <f t="shared" ref="V30" si="140">IF(U30&lt;=0,0,W30/U30)</f>
        <v>2844.1203721166321</v>
      </c>
      <c r="W30" s="737">
        <f t="shared" ref="W30" si="141">W16+W20+W27+W22+W18</f>
        <v>210614.93507037201</v>
      </c>
      <c r="X30" s="735">
        <f t="shared" ref="X30" si="142">+X16+X18+X20</f>
        <v>85.060591290573157</v>
      </c>
      <c r="Y30" s="736">
        <f t="shared" ref="Y30" si="143">IF(X30&lt;=0,0,Z30/X30)</f>
        <v>2812.9225408046782</v>
      </c>
      <c r="Z30" s="737">
        <f t="shared" ref="Z30" si="144">Z16+Z20+Z27+Z22+Z18</f>
        <v>239268.85457542731</v>
      </c>
      <c r="AA30" s="735">
        <f t="shared" ref="AA30" si="145">+AA16+AA18+AA20</f>
        <v>82.058452774435281</v>
      </c>
      <c r="AB30" s="736">
        <f t="shared" ref="AB30" si="146">IF(AA30&lt;=0,0,AC30/AA30)</f>
        <v>2790.2986779412613</v>
      </c>
      <c r="AC30" s="737">
        <f t="shared" ref="AC30" si="147">AC16+AC20+AC27+AC22+AC18</f>
        <v>228967.5922904122</v>
      </c>
      <c r="AD30" s="735">
        <f t="shared" ref="AD30" si="148">+AD16+AD18+AD20</f>
        <v>72.051324387309037</v>
      </c>
      <c r="AE30" s="736">
        <f t="shared" ref="AE30" si="149">IF(AD30&lt;=0,0,AF30/AD30)</f>
        <v>2798.6080596719603</v>
      </c>
      <c r="AF30" s="737">
        <f t="shared" ref="AF30" si="150">AF16+AF20+AF27+AF22+AF18</f>
        <v>201643.41714036194</v>
      </c>
      <c r="AG30" s="735">
        <f t="shared" ref="AG30" si="151">+AG16+AG18+AG20</f>
        <v>77.054888580872159</v>
      </c>
      <c r="AH30" s="736">
        <f t="shared" ref="AH30" si="152">IF(AG30&lt;=0,0,AI30/AG30)</f>
        <v>2785.0818045133046</v>
      </c>
      <c r="AI30" s="737">
        <f t="shared" ref="AI30" si="153">AI16+AI20+AI27+AI22+AI18</f>
        <v>214604.16813538707</v>
      </c>
      <c r="AJ30" s="735">
        <f t="shared" ref="AJ30" si="154">+AJ16+AJ18+AJ20</f>
        <v>69.049185871171147</v>
      </c>
      <c r="AK30" s="736">
        <f t="shared" ref="AK30" si="155">IF(AJ30&lt;=0,0,AL30/AJ30)</f>
        <v>2791.4134769809079</v>
      </c>
      <c r="AL30" s="737">
        <f t="shared" ref="AL30" si="156">AL16+AL20+AL27+AL22+AL18</f>
        <v>192744.82801534684</v>
      </c>
      <c r="AM30" s="735">
        <f t="shared" ref="AM30" si="157">+AM16+AM18+AM20</f>
        <v>40.028513548505025</v>
      </c>
      <c r="AN30" s="736">
        <f t="shared" ref="AN30" si="158">IF(AM30&lt;=0,0,AO30/AM30)</f>
        <v>2835.5966789189015</v>
      </c>
      <c r="AO30" s="737">
        <f t="shared" ref="AO30" si="159">AO16+AO20+AO27+AO22+AO18</f>
        <v>113504.72008020111</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0.33115354606053737</v>
      </c>
      <c r="D34" s="747">
        <f t="shared" ref="D34:D43" si="160">IF(E34=0,0,E34/C$27)</f>
        <v>626.75986947285173</v>
      </c>
      <c r="E34" s="733">
        <f t="shared" ref="E34:E43" si="161">+SUM(H34,K34,N34,Q34,T34,W34,Z34,AC34,AF34,AI34,AL34,AO34)</f>
        <v>512689.57322879275</v>
      </c>
      <c r="F34" s="746">
        <f>H34/(H16+H18)</f>
        <v>0.37878062400115425</v>
      </c>
      <c r="G34" s="747">
        <f t="shared" ref="G34:G43" si="162">IF(H34=0,0,H34/F$27)</f>
        <v>716.90156207600876</v>
      </c>
      <c r="H34" s="748">
        <v>27554.93208837209</v>
      </c>
      <c r="I34" s="746">
        <f t="shared" ref="I34" si="163">K34/(K16+K18)</f>
        <v>0.37507774182146886</v>
      </c>
      <c r="J34" s="747">
        <f t="shared" ref="J34:J43" si="164">IF(K34=0,0,K34/I$27)</f>
        <v>709.89327851926646</v>
      </c>
      <c r="K34" s="748">
        <v>27985.190449578797</v>
      </c>
      <c r="L34" s="746">
        <f t="shared" ref="L34" si="165">N34/(N16+N18)</f>
        <v>0.32918247313834192</v>
      </c>
      <c r="M34" s="747">
        <f t="shared" ref="M34:M43" si="166">IF(N34=0,0,N34/L$27)</f>
        <v>623.02930574453569</v>
      </c>
      <c r="N34" s="748">
        <v>45437.602331720766</v>
      </c>
      <c r="O34" s="746">
        <f t="shared" ref="O34" si="167">Q34/(Q16+Q18)</f>
        <v>0.31966892561529131</v>
      </c>
      <c r="P34" s="747">
        <f t="shared" ref="P34:P43" si="168">IF(Q34=0,0,Q34/O$27)</f>
        <v>605.02342939290224</v>
      </c>
      <c r="Q34" s="748">
        <v>48894.640421636519</v>
      </c>
      <c r="R34" s="746">
        <f t="shared" ref="R34" si="169">T34/(T16+T18)</f>
        <v>0.3128667715313766</v>
      </c>
      <c r="S34" s="747">
        <f t="shared" ref="S34:S43" si="170">IF(T34=0,0,T34/R$27)</f>
        <v>592.1492891142135</v>
      </c>
      <c r="T34" s="748">
        <v>56024.4570789891</v>
      </c>
      <c r="U34" s="746">
        <f t="shared" ref="U34" si="171">W34/(W16+W18)</f>
        <v>0.32744374157023609</v>
      </c>
      <c r="V34" s="747">
        <f t="shared" ref="V34:V43" si="172">IF(W34=0,0,W34/U$27)</f>
        <v>619.7384843608047</v>
      </c>
      <c r="W34" s="748">
        <v>45197.602331720766</v>
      </c>
      <c r="X34" s="746">
        <f t="shared" ref="X34" si="173">Z34/(Z16+Z18)</f>
        <v>0.3176983215948822</v>
      </c>
      <c r="Y34" s="747">
        <f t="shared" ref="Y34:Y43" si="174">IF(Z34=0,0,Z34/X$27)</f>
        <v>601.29375313454045</v>
      </c>
      <c r="Z34" s="748">
        <v>50371.029705354937</v>
      </c>
      <c r="AA34" s="746">
        <f t="shared" ref="AA34" si="175">AC34/(AC16+AC18)</f>
        <v>0.32280712405528722</v>
      </c>
      <c r="AB34" s="747">
        <f t="shared" ref="AB34:AB43" si="176">IF(AC34=0,0,AC34/AA$27)</f>
        <v>610.96296067085564</v>
      </c>
      <c r="AC34" s="748">
        <v>49374.640421636519</v>
      </c>
      <c r="AD34" s="746">
        <f t="shared" ref="AD34" si="177">AF34/(AF16+AF18)</f>
        <v>0.32921064702949188</v>
      </c>
      <c r="AE34" s="747">
        <f t="shared" ref="AE34:AE43" si="178">IF(AF34=0,0,AF34/AD$27)</f>
        <v>623.08262923917948</v>
      </c>
      <c r="AF34" s="748">
        <v>44213.342809241833</v>
      </c>
      <c r="AG34" s="746">
        <f t="shared" ref="AG34" si="179">AI34/(AI16+AI18)</f>
        <v>0.3232944957827108</v>
      </c>
      <c r="AH34" s="747">
        <f t="shared" ref="AH34:AH43" si="180">IF(AI34=0,0,AI34/AG$27)</f>
        <v>611.8853878769014</v>
      </c>
      <c r="AI34" s="748">
        <v>46433.991615439176</v>
      </c>
      <c r="AJ34" s="746">
        <f t="shared" ref="AJ34" si="181">AL34/(AL16+AL18)</f>
        <v>0.33205306015959885</v>
      </c>
      <c r="AK34" s="747">
        <f t="shared" ref="AK34:AK43" si="182">IF(AL34=0,0,AL34/AJ$27)</f>
        <v>628.46234056526066</v>
      </c>
      <c r="AL34" s="748">
        <v>42736.953525523422</v>
      </c>
      <c r="AM34" s="746">
        <f t="shared" ref="AM34" si="183">AO34/(AO16+AO18)</f>
        <v>0.38151104862346041</v>
      </c>
      <c r="AN34" s="747">
        <f t="shared" ref="AN34:AN43" si="184">IF(AO34=0,0,AO34/AM$27)</f>
        <v>722.06931763907085</v>
      </c>
      <c r="AO34" s="748">
        <v>28465.190449578797</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0.3</v>
      </c>
      <c r="D35" s="750">
        <f t="shared" si="160"/>
        <v>254.99999999999997</v>
      </c>
      <c r="E35" s="751">
        <f t="shared" si="161"/>
        <v>208589.99999999997</v>
      </c>
      <c r="F35" s="749">
        <f>H35/H27</f>
        <v>0.3</v>
      </c>
      <c r="G35" s="750">
        <f t="shared" si="162"/>
        <v>254.99999999999997</v>
      </c>
      <c r="H35" s="752">
        <v>9801.2168674698805</v>
      </c>
      <c r="I35" s="749">
        <f t="shared" ref="I35" si="185">K35/K27</f>
        <v>0.3</v>
      </c>
      <c r="J35" s="750">
        <f t="shared" si="164"/>
        <v>254.99999999999997</v>
      </c>
      <c r="K35" s="752">
        <v>10052.530120481928</v>
      </c>
      <c r="L35" s="749">
        <f t="shared" ref="L35" si="186">N35/N27</f>
        <v>0.3</v>
      </c>
      <c r="M35" s="750">
        <f t="shared" si="166"/>
        <v>254.99999999999994</v>
      </c>
      <c r="N35" s="752">
        <v>18597.180722891564</v>
      </c>
      <c r="O35" s="749">
        <f t="shared" ref="O35" si="187">Q35/Q27</f>
        <v>0.3</v>
      </c>
      <c r="P35" s="750">
        <f t="shared" si="168"/>
        <v>254.99999999999994</v>
      </c>
      <c r="Q35" s="752">
        <v>20607.686746987947</v>
      </c>
      <c r="R35" s="749">
        <f t="shared" ref="R35" si="188">T35/T27</f>
        <v>0.3</v>
      </c>
      <c r="S35" s="750">
        <f t="shared" si="170"/>
        <v>254.99999999999994</v>
      </c>
      <c r="T35" s="752">
        <v>24126.072289156622</v>
      </c>
      <c r="U35" s="749">
        <f t="shared" ref="U35" si="189">W35/W27</f>
        <v>0.3</v>
      </c>
      <c r="V35" s="750">
        <f t="shared" si="172"/>
        <v>254.99999999999994</v>
      </c>
      <c r="W35" s="752">
        <v>18597.180722891564</v>
      </c>
      <c r="X35" s="749">
        <f t="shared" ref="X35" si="190">Z35/Z27</f>
        <v>0.3</v>
      </c>
      <c r="Y35" s="750">
        <f t="shared" si="174"/>
        <v>255</v>
      </c>
      <c r="Z35" s="752">
        <v>21361.626506024095</v>
      </c>
      <c r="AA35" s="749">
        <f t="shared" ref="AA35" si="191">AC35/AC27</f>
        <v>0.3</v>
      </c>
      <c r="AB35" s="750">
        <f t="shared" si="176"/>
        <v>254.99999999999994</v>
      </c>
      <c r="AC35" s="752">
        <v>20607.686746987947</v>
      </c>
      <c r="AD35" s="749">
        <f t="shared" ref="AD35" si="192">AF35/AF27</f>
        <v>0.3</v>
      </c>
      <c r="AE35" s="750">
        <f t="shared" si="178"/>
        <v>254.99999999999997</v>
      </c>
      <c r="AF35" s="752">
        <v>18094.554216867469</v>
      </c>
      <c r="AG35" s="749">
        <f t="shared" ref="AG35" si="193">AI35/AI27</f>
        <v>0.3</v>
      </c>
      <c r="AH35" s="750">
        <f t="shared" si="180"/>
        <v>254.99999999999994</v>
      </c>
      <c r="AI35" s="752">
        <v>19351.120481927708</v>
      </c>
      <c r="AJ35" s="749">
        <f t="shared" ref="AJ35" si="194">AL35/AL27</f>
        <v>0.3</v>
      </c>
      <c r="AK35" s="750">
        <f t="shared" si="182"/>
        <v>254.99999999999997</v>
      </c>
      <c r="AL35" s="752">
        <v>17340.614457831321</v>
      </c>
      <c r="AM35" s="749">
        <f t="shared" ref="AM35" si="195">AO35/AO27</f>
        <v>0.3</v>
      </c>
      <c r="AN35" s="750">
        <f t="shared" si="184"/>
        <v>254.99999999999997</v>
      </c>
      <c r="AO35" s="752">
        <v>10052.530120481928</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0"/>
        <v>167.84930226439229</v>
      </c>
      <c r="E36" s="733">
        <f t="shared" si="161"/>
        <v>137300.7292522729</v>
      </c>
      <c r="F36" s="710"/>
      <c r="G36" s="747">
        <f t="shared" si="162"/>
        <v>167.84930226439226</v>
      </c>
      <c r="H36" s="748">
        <v>6451.4800492031845</v>
      </c>
      <c r="I36" s="710"/>
      <c r="J36" s="747">
        <f t="shared" si="164"/>
        <v>167.84930226439229</v>
      </c>
      <c r="K36" s="748">
        <v>6616.9026145673697</v>
      </c>
      <c r="L36" s="710"/>
      <c r="M36" s="747">
        <f t="shared" si="166"/>
        <v>167.84930226439229</v>
      </c>
      <c r="N36" s="748">
        <v>12241.269836949632</v>
      </c>
      <c r="O36" s="710"/>
      <c r="P36" s="747">
        <f t="shared" si="168"/>
        <v>167.84930226439229</v>
      </c>
      <c r="Q36" s="748">
        <v>13564.650359863104</v>
      </c>
      <c r="R36" s="710"/>
      <c r="S36" s="747">
        <f t="shared" si="170"/>
        <v>167.84930226439229</v>
      </c>
      <c r="T36" s="748">
        <v>15880.566274961684</v>
      </c>
      <c r="U36" s="710"/>
      <c r="V36" s="747">
        <f t="shared" si="172"/>
        <v>167.84930226439229</v>
      </c>
      <c r="W36" s="748">
        <v>12241.269836949632</v>
      </c>
      <c r="X36" s="710"/>
      <c r="Y36" s="747">
        <f t="shared" si="174"/>
        <v>167.84930226439232</v>
      </c>
      <c r="Z36" s="748">
        <v>14060.918055955659</v>
      </c>
      <c r="AA36" s="710"/>
      <c r="AB36" s="747">
        <f t="shared" si="176"/>
        <v>167.84930226439229</v>
      </c>
      <c r="AC36" s="748">
        <v>13564.650359863104</v>
      </c>
      <c r="AD36" s="710"/>
      <c r="AE36" s="747">
        <f t="shared" si="178"/>
        <v>167.84930226439229</v>
      </c>
      <c r="AF36" s="748">
        <v>11910.424706221263</v>
      </c>
      <c r="AG36" s="710"/>
      <c r="AH36" s="747">
        <f t="shared" si="180"/>
        <v>167.84930226439229</v>
      </c>
      <c r="AI36" s="748">
        <v>12737.537533042185</v>
      </c>
      <c r="AJ36" s="710"/>
      <c r="AK36" s="747">
        <f t="shared" si="182"/>
        <v>167.84930226439229</v>
      </c>
      <c r="AL36" s="748">
        <v>11414.157010128711</v>
      </c>
      <c r="AM36" s="710"/>
      <c r="AN36" s="747">
        <f t="shared" si="184"/>
        <v>167.84930226439229</v>
      </c>
      <c r="AO36" s="748">
        <v>6616.9026145673697</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0"/>
        <v>7.3548076275245782</v>
      </c>
      <c r="E37" s="733">
        <f t="shared" si="161"/>
        <v>6016.2326393151052</v>
      </c>
      <c r="F37" s="710"/>
      <c r="G37" s="747">
        <f>IF(H37=0,0,H37/F$27)</f>
        <v>7.3548076275245764</v>
      </c>
      <c r="H37" s="748">
        <v>282.69044931721578</v>
      </c>
      <c r="I37" s="710"/>
      <c r="J37" s="747">
        <f t="shared" si="164"/>
        <v>7.3548076275245791</v>
      </c>
      <c r="K37" s="748">
        <v>289.93892237663164</v>
      </c>
      <c r="L37" s="710"/>
      <c r="M37" s="747">
        <f t="shared" si="166"/>
        <v>7.3548076275245791</v>
      </c>
      <c r="N37" s="748">
        <v>536.38700639676847</v>
      </c>
      <c r="O37" s="710"/>
      <c r="P37" s="747">
        <f t="shared" si="168"/>
        <v>7.3548076275245773</v>
      </c>
      <c r="Q37" s="748">
        <v>594.37479087209465</v>
      </c>
      <c r="R37" s="710"/>
      <c r="S37" s="747">
        <f t="shared" si="170"/>
        <v>7.3548076275245782</v>
      </c>
      <c r="T37" s="748">
        <v>695.85341370391575</v>
      </c>
      <c r="U37" s="710"/>
      <c r="V37" s="747">
        <f t="shared" si="172"/>
        <v>7.3548076275245791</v>
      </c>
      <c r="W37" s="748">
        <v>536.38700639676847</v>
      </c>
      <c r="X37" s="710"/>
      <c r="Y37" s="747">
        <f t="shared" si="174"/>
        <v>7.3548076275245799</v>
      </c>
      <c r="Z37" s="748">
        <v>616.12021005034217</v>
      </c>
      <c r="AA37" s="710"/>
      <c r="AB37" s="747">
        <f t="shared" si="176"/>
        <v>7.3548076275245773</v>
      </c>
      <c r="AC37" s="748">
        <v>594.37479087209465</v>
      </c>
      <c r="AD37" s="710"/>
      <c r="AE37" s="747">
        <f t="shared" si="178"/>
        <v>7.3548076275245782</v>
      </c>
      <c r="AF37" s="748">
        <v>521.89006027793687</v>
      </c>
      <c r="AG37" s="710"/>
      <c r="AH37" s="747">
        <f t="shared" si="180"/>
        <v>7.3548076275245782</v>
      </c>
      <c r="AI37" s="748">
        <v>558.13242557501576</v>
      </c>
      <c r="AJ37" s="710"/>
      <c r="AK37" s="747">
        <f t="shared" si="182"/>
        <v>7.3548076275245782</v>
      </c>
      <c r="AL37" s="748">
        <v>500.14464109968941</v>
      </c>
      <c r="AM37" s="710"/>
      <c r="AN37" s="747">
        <f t="shared" si="184"/>
        <v>7.3548076275245791</v>
      </c>
      <c r="AO37" s="748">
        <v>289.93892237663164</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0"/>
        <v>17.733118212476484</v>
      </c>
      <c r="E38" s="751">
        <f t="shared" si="161"/>
        <v>14505.690697805765</v>
      </c>
      <c r="F38" s="705"/>
      <c r="G38" s="750">
        <f t="shared" si="162"/>
        <v>17.73311821247648</v>
      </c>
      <c r="H38" s="752">
        <v>681.59269543906601</v>
      </c>
      <c r="I38" s="705"/>
      <c r="J38" s="750">
        <f t="shared" si="164"/>
        <v>17.733118212476484</v>
      </c>
      <c r="K38" s="752">
        <v>699.06943121955499</v>
      </c>
      <c r="L38" s="705"/>
      <c r="M38" s="750">
        <f t="shared" si="166"/>
        <v>17.733118212476484</v>
      </c>
      <c r="N38" s="752">
        <v>1293.2784477561765</v>
      </c>
      <c r="O38" s="705"/>
      <c r="P38" s="750">
        <f t="shared" si="168"/>
        <v>17.733118212476484</v>
      </c>
      <c r="Q38" s="752">
        <v>1433.0923340000875</v>
      </c>
      <c r="R38" s="705"/>
      <c r="S38" s="750">
        <f t="shared" si="170"/>
        <v>17.733118212476484</v>
      </c>
      <c r="T38" s="752">
        <v>1677.7666349269316</v>
      </c>
      <c r="U38" s="705"/>
      <c r="V38" s="750">
        <f t="shared" si="172"/>
        <v>17.733118212476484</v>
      </c>
      <c r="W38" s="752">
        <v>1293.2784477561765</v>
      </c>
      <c r="X38" s="705"/>
      <c r="Y38" s="750">
        <f t="shared" si="174"/>
        <v>17.733118212476487</v>
      </c>
      <c r="Z38" s="752">
        <v>1485.5225413415542</v>
      </c>
      <c r="AA38" s="705"/>
      <c r="AB38" s="750">
        <f t="shared" si="176"/>
        <v>17.733118212476484</v>
      </c>
      <c r="AC38" s="752">
        <v>1433.0923340000875</v>
      </c>
      <c r="AD38" s="705"/>
      <c r="AE38" s="750">
        <f t="shared" si="178"/>
        <v>17.733118212476484</v>
      </c>
      <c r="AF38" s="752">
        <v>1258.3249761951988</v>
      </c>
      <c r="AG38" s="705"/>
      <c r="AH38" s="750">
        <f t="shared" si="180"/>
        <v>17.733118212476484</v>
      </c>
      <c r="AI38" s="752">
        <v>1345.7086550976433</v>
      </c>
      <c r="AJ38" s="705"/>
      <c r="AK38" s="750">
        <f t="shared" si="182"/>
        <v>17.733118212476484</v>
      </c>
      <c r="AL38" s="752">
        <v>1205.8947688537321</v>
      </c>
      <c r="AM38" s="705"/>
      <c r="AN38" s="750">
        <f t="shared" si="184"/>
        <v>17.733118212476484</v>
      </c>
      <c r="AO38" s="752">
        <v>699.06943121955499</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0"/>
        <v>195.93765281173592</v>
      </c>
      <c r="E39" s="733">
        <f t="shared" si="161"/>
        <v>160276.99999999997</v>
      </c>
      <c r="F39" s="710"/>
      <c r="G39" s="747">
        <f t="shared" si="162"/>
        <v>195.93765281173592</v>
      </c>
      <c r="H39" s="748">
        <v>7531.0879518072297</v>
      </c>
      <c r="I39" s="710"/>
      <c r="J39" s="747">
        <f t="shared" si="164"/>
        <v>195.93765281173592</v>
      </c>
      <c r="K39" s="748">
        <v>7724.1927710843374</v>
      </c>
      <c r="L39" s="710"/>
      <c r="M39" s="747">
        <f t="shared" si="166"/>
        <v>195.93765281173594</v>
      </c>
      <c r="N39" s="748">
        <v>14289.756626506025</v>
      </c>
      <c r="O39" s="710"/>
      <c r="P39" s="747">
        <f t="shared" si="168"/>
        <v>195.93765281173592</v>
      </c>
      <c r="Q39" s="748">
        <v>15834.595180722888</v>
      </c>
      <c r="R39" s="710"/>
      <c r="S39" s="747">
        <f t="shared" si="170"/>
        <v>195.93765281173589</v>
      </c>
      <c r="T39" s="748">
        <v>18538.062650602405</v>
      </c>
      <c r="U39" s="710"/>
      <c r="V39" s="747">
        <f t="shared" si="172"/>
        <v>195.93765281173594</v>
      </c>
      <c r="W39" s="748">
        <v>14289.756626506025</v>
      </c>
      <c r="X39" s="710"/>
      <c r="Y39" s="747">
        <f t="shared" si="174"/>
        <v>195.93765281173592</v>
      </c>
      <c r="Z39" s="748">
        <v>16413.909638554214</v>
      </c>
      <c r="AA39" s="710"/>
      <c r="AB39" s="747">
        <f t="shared" si="176"/>
        <v>195.93765281173592</v>
      </c>
      <c r="AC39" s="748">
        <v>15834.595180722888</v>
      </c>
      <c r="AD39" s="710"/>
      <c r="AE39" s="747">
        <f t="shared" si="178"/>
        <v>195.93765281173592</v>
      </c>
      <c r="AF39" s="748">
        <v>13903.546987951806</v>
      </c>
      <c r="AG39" s="710"/>
      <c r="AH39" s="747">
        <f t="shared" si="180"/>
        <v>195.93765281173592</v>
      </c>
      <c r="AI39" s="748">
        <v>14869.071084337349</v>
      </c>
      <c r="AJ39" s="710"/>
      <c r="AK39" s="747">
        <f t="shared" si="182"/>
        <v>195.93765281173592</v>
      </c>
      <c r="AL39" s="748">
        <v>13324.23253012048</v>
      </c>
      <c r="AM39" s="710"/>
      <c r="AN39" s="747">
        <f t="shared" si="184"/>
        <v>195.93765281173592</v>
      </c>
      <c r="AO39" s="748">
        <v>7724.1927710843374</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0"/>
        <v>102.420035379194</v>
      </c>
      <c r="E40" s="733">
        <f t="shared" si="161"/>
        <v>83779.588940180693</v>
      </c>
      <c r="F40" s="710"/>
      <c r="G40" s="747">
        <f t="shared" si="162"/>
        <v>146.62808861093757</v>
      </c>
      <c r="H40" s="748">
        <v>5635.8184130917243</v>
      </c>
      <c r="I40" s="710"/>
      <c r="J40" s="747">
        <f t="shared" si="164"/>
        <v>162.72860693726801</v>
      </c>
      <c r="K40" s="748">
        <v>6415.0361674547112</v>
      </c>
      <c r="L40" s="710"/>
      <c r="M40" s="747">
        <f t="shared" si="166"/>
        <v>100.88500005504704</v>
      </c>
      <c r="N40" s="748">
        <v>7357.5552088338654</v>
      </c>
      <c r="O40" s="710"/>
      <c r="P40" s="747">
        <f t="shared" si="168"/>
        <v>101.02946150005018</v>
      </c>
      <c r="Q40" s="748">
        <v>8164.6411561173072</v>
      </c>
      <c r="R40" s="710"/>
      <c r="S40" s="747">
        <f t="shared" si="170"/>
        <v>83.856314119243052</v>
      </c>
      <c r="T40" s="748">
        <v>7933.8176327179735</v>
      </c>
      <c r="U40" s="710"/>
      <c r="V40" s="747">
        <f t="shared" si="172"/>
        <v>95.743291953600405</v>
      </c>
      <c r="W40" s="748">
        <v>6982.569817512458</v>
      </c>
      <c r="X40" s="710"/>
      <c r="Y40" s="747">
        <f t="shared" si="174"/>
        <v>86.22482588607167</v>
      </c>
      <c r="Z40" s="748">
        <v>7223.1471612753776</v>
      </c>
      <c r="AA40" s="710"/>
      <c r="AB40" s="747">
        <f t="shared" si="176"/>
        <v>96.028900150622192</v>
      </c>
      <c r="AC40" s="748">
        <v>7760.5235018110052</v>
      </c>
      <c r="AD40" s="710"/>
      <c r="AE40" s="747">
        <f t="shared" si="178"/>
        <v>117.38963347813737</v>
      </c>
      <c r="AF40" s="748">
        <v>8329.8552449739509</v>
      </c>
      <c r="AG40" s="710"/>
      <c r="AH40" s="747">
        <f t="shared" si="180"/>
        <v>97.587388321981066</v>
      </c>
      <c r="AI40" s="748">
        <v>7405.5894468051802</v>
      </c>
      <c r="AJ40" s="710"/>
      <c r="AK40" s="747">
        <f t="shared" si="182"/>
        <v>79.550134148929601</v>
      </c>
      <c r="AL40" s="748">
        <v>5409.6008091974509</v>
      </c>
      <c r="AM40" s="710"/>
      <c r="AN40" s="747">
        <f t="shared" si="184"/>
        <v>130.92880610401687</v>
      </c>
      <c r="AO40" s="748">
        <v>5161.4343803896782</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0"/>
        <v>0</v>
      </c>
      <c r="E41" s="733">
        <f t="shared" si="161"/>
        <v>0</v>
      </c>
      <c r="F41" s="710"/>
      <c r="G41" s="747">
        <f t="shared" si="162"/>
        <v>0</v>
      </c>
      <c r="H41" s="733"/>
      <c r="I41" s="710"/>
      <c r="J41" s="747">
        <f t="shared" si="164"/>
        <v>0</v>
      </c>
      <c r="K41" s="733"/>
      <c r="L41" s="710"/>
      <c r="M41" s="747">
        <f t="shared" si="166"/>
        <v>0</v>
      </c>
      <c r="N41" s="733"/>
      <c r="O41" s="710"/>
      <c r="P41" s="747">
        <f t="shared" si="168"/>
        <v>0</v>
      </c>
      <c r="Q41" s="733"/>
      <c r="R41" s="710"/>
      <c r="S41" s="747">
        <f t="shared" si="170"/>
        <v>0</v>
      </c>
      <c r="T41" s="733"/>
      <c r="U41" s="710"/>
      <c r="V41" s="747">
        <f t="shared" si="172"/>
        <v>0</v>
      </c>
      <c r="W41" s="733"/>
      <c r="X41" s="710"/>
      <c r="Y41" s="747">
        <f t="shared" si="174"/>
        <v>0</v>
      </c>
      <c r="Z41" s="733"/>
      <c r="AA41" s="710"/>
      <c r="AB41" s="747">
        <f t="shared" si="176"/>
        <v>0</v>
      </c>
      <c r="AC41" s="733"/>
      <c r="AD41" s="710"/>
      <c r="AE41" s="747">
        <f t="shared" si="178"/>
        <v>0</v>
      </c>
      <c r="AF41" s="733"/>
      <c r="AG41" s="710"/>
      <c r="AH41" s="747">
        <f t="shared" si="180"/>
        <v>0</v>
      </c>
      <c r="AI41" s="733"/>
      <c r="AJ41" s="710"/>
      <c r="AK41" s="747">
        <f t="shared" si="182"/>
        <v>0</v>
      </c>
      <c r="AL41" s="733"/>
      <c r="AM41" s="710"/>
      <c r="AN41" s="747">
        <f t="shared" si="184"/>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0"/>
        <v>0</v>
      </c>
      <c r="E42" s="733">
        <f t="shared" si="161"/>
        <v>0</v>
      </c>
      <c r="F42" s="710"/>
      <c r="G42" s="747">
        <f t="shared" si="162"/>
        <v>0</v>
      </c>
      <c r="H42" s="733"/>
      <c r="I42" s="710"/>
      <c r="J42" s="747">
        <f t="shared" si="164"/>
        <v>0</v>
      </c>
      <c r="K42" s="733"/>
      <c r="L42" s="710"/>
      <c r="M42" s="747">
        <f t="shared" si="166"/>
        <v>0</v>
      </c>
      <c r="N42" s="733"/>
      <c r="O42" s="710"/>
      <c r="P42" s="747">
        <f t="shared" si="168"/>
        <v>0</v>
      </c>
      <c r="Q42" s="733"/>
      <c r="R42" s="710"/>
      <c r="S42" s="747">
        <f t="shared" si="170"/>
        <v>0</v>
      </c>
      <c r="T42" s="733"/>
      <c r="U42" s="710"/>
      <c r="V42" s="747">
        <f t="shared" si="172"/>
        <v>0</v>
      </c>
      <c r="W42" s="733"/>
      <c r="X42" s="710"/>
      <c r="Y42" s="747">
        <f t="shared" si="174"/>
        <v>0</v>
      </c>
      <c r="Z42" s="733"/>
      <c r="AA42" s="710"/>
      <c r="AB42" s="747">
        <f t="shared" si="176"/>
        <v>0</v>
      </c>
      <c r="AC42" s="733"/>
      <c r="AD42" s="710"/>
      <c r="AE42" s="747">
        <f t="shared" si="178"/>
        <v>0</v>
      </c>
      <c r="AF42" s="733"/>
      <c r="AG42" s="710"/>
      <c r="AH42" s="747">
        <f t="shared" si="180"/>
        <v>0</v>
      </c>
      <c r="AI42" s="733"/>
      <c r="AJ42" s="710"/>
      <c r="AK42" s="747">
        <f t="shared" si="182"/>
        <v>0</v>
      </c>
      <c r="AL42" s="733"/>
      <c r="AM42" s="710"/>
      <c r="AN42" s="747">
        <f t="shared" si="184"/>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0"/>
        <v>0</v>
      </c>
      <c r="E43" s="733">
        <f t="shared" si="161"/>
        <v>0</v>
      </c>
      <c r="F43" s="705"/>
      <c r="G43" s="747">
        <f t="shared" si="162"/>
        <v>0</v>
      </c>
      <c r="H43" s="733"/>
      <c r="I43" s="705"/>
      <c r="J43" s="747">
        <f t="shared" si="164"/>
        <v>0</v>
      </c>
      <c r="K43" s="733"/>
      <c r="L43" s="705"/>
      <c r="M43" s="747">
        <f t="shared" si="166"/>
        <v>0</v>
      </c>
      <c r="N43" s="733"/>
      <c r="O43" s="705"/>
      <c r="P43" s="747">
        <f t="shared" si="168"/>
        <v>0</v>
      </c>
      <c r="Q43" s="733"/>
      <c r="R43" s="705"/>
      <c r="S43" s="747">
        <f t="shared" si="170"/>
        <v>0</v>
      </c>
      <c r="T43" s="733"/>
      <c r="U43" s="705"/>
      <c r="V43" s="747">
        <f t="shared" si="172"/>
        <v>0</v>
      </c>
      <c r="W43" s="733"/>
      <c r="X43" s="705"/>
      <c r="Y43" s="747">
        <f t="shared" si="174"/>
        <v>0</v>
      </c>
      <c r="Z43" s="733"/>
      <c r="AA43" s="705"/>
      <c r="AB43" s="747">
        <f t="shared" si="176"/>
        <v>0</v>
      </c>
      <c r="AC43" s="733"/>
      <c r="AD43" s="705"/>
      <c r="AE43" s="747">
        <f t="shared" si="178"/>
        <v>0</v>
      </c>
      <c r="AF43" s="733"/>
      <c r="AG43" s="705"/>
      <c r="AH43" s="747">
        <f t="shared" si="180"/>
        <v>0</v>
      </c>
      <c r="AI43" s="733"/>
      <c r="AJ43" s="705"/>
      <c r="AK43" s="747">
        <f t="shared" si="182"/>
        <v>0</v>
      </c>
      <c r="AL43" s="733"/>
      <c r="AM43" s="705"/>
      <c r="AN43" s="747">
        <f t="shared" si="184"/>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0.48062054663317422</v>
      </c>
      <c r="E44" s="756">
        <f>SUM(E34:E43)</f>
        <v>1123158.8147583671</v>
      </c>
      <c r="F44" s="754" t="s">
        <v>111</v>
      </c>
      <c r="G44" s="755">
        <f>IFERROR(H44/H$30,0)</f>
        <v>0.53192055352194012</v>
      </c>
      <c r="H44" s="756">
        <f>SUM(H34:H43)</f>
        <v>57938.818514700397</v>
      </c>
      <c r="I44" s="754" t="s">
        <v>111</v>
      </c>
      <c r="J44" s="755">
        <f t="shared" ref="J44" si="196">IFERROR(K44/K$30,0)</f>
        <v>0.5299740009718481</v>
      </c>
      <c r="K44" s="756">
        <f t="shared" ref="K44" si="197">SUM(K34:K43)</f>
        <v>59782.86047676333</v>
      </c>
      <c r="L44" s="754" t="s">
        <v>111</v>
      </c>
      <c r="M44" s="755">
        <f t="shared" ref="M44" si="198">IFERROR(N44/N$30,0)</f>
        <v>0.47362752383977269</v>
      </c>
      <c r="N44" s="756">
        <f t="shared" ref="N44" si="199">SUM(N34:N43)</f>
        <v>99753.030181054797</v>
      </c>
      <c r="O44" s="754" t="s">
        <v>111</v>
      </c>
      <c r="P44" s="755">
        <f t="shared" ref="P44" si="200">IFERROR(Q44/Q$30,0)</f>
        <v>0.46927205558913915</v>
      </c>
      <c r="Q44" s="756">
        <f t="shared" ref="Q44" si="201">SUM(Q34:Q43)</f>
        <v>109093.68099019995</v>
      </c>
      <c r="R44" s="754" t="s">
        <v>111</v>
      </c>
      <c r="S44" s="755">
        <f t="shared" ref="S44" si="202">IFERROR(T44/T$30,0)</f>
        <v>0.46126200629004188</v>
      </c>
      <c r="T44" s="756">
        <f t="shared" ref="T44" si="203">SUM(T34:T43)</f>
        <v>124876.59597505863</v>
      </c>
      <c r="U44" s="754" t="s">
        <v>111</v>
      </c>
      <c r="V44" s="755">
        <f t="shared" ref="V44" si="204">IFERROR(W44/W$30,0)</f>
        <v>0.47070757235999788</v>
      </c>
      <c r="W44" s="756">
        <f t="shared" ref="W44" si="205">SUM(W34:W43)</f>
        <v>99138.044789733394</v>
      </c>
      <c r="X44" s="754" t="s">
        <v>111</v>
      </c>
      <c r="Y44" s="755">
        <f t="shared" ref="Y44" si="206">IFERROR(Z44/Z$30,0)</f>
        <v>0.46613786828405057</v>
      </c>
      <c r="Z44" s="756">
        <f t="shared" ref="Z44" si="207">SUM(Z34:Z43)</f>
        <v>111532.27381855619</v>
      </c>
      <c r="AA44" s="754" t="s">
        <v>111</v>
      </c>
      <c r="AB44" s="755">
        <f t="shared" ref="AB44" si="208">IFERROR(AC44/AC$30,0)</f>
        <v>0.47679045861402036</v>
      </c>
      <c r="AC44" s="756">
        <f t="shared" ref="AC44" si="209">SUM(AC34:AC43)</f>
        <v>109169.56333589366</v>
      </c>
      <c r="AD44" s="754" t="s">
        <v>111</v>
      </c>
      <c r="AE44" s="755">
        <f t="shared" ref="AE44" si="210">IFERROR(AF44/AF$30,0)</f>
        <v>0.48715668676330359</v>
      </c>
      <c r="AF44" s="756">
        <f t="shared" ref="AF44" si="211">SUM(AF34:AF43)</f>
        <v>98231.939001729465</v>
      </c>
      <c r="AG44" s="754" t="s">
        <v>111</v>
      </c>
      <c r="AH44" s="755">
        <f t="shared" ref="AH44" si="212">IFERROR(AI44/AI$30,0)</f>
        <v>0.47856084126676102</v>
      </c>
      <c r="AI44" s="756">
        <f t="shared" ref="AI44" si="213">SUM(AI34:AI43)</f>
        <v>102701.15124222427</v>
      </c>
      <c r="AJ44" s="754" t="s">
        <v>111</v>
      </c>
      <c r="AK44" s="755">
        <f t="shared" ref="AK44" si="214">IFERROR(AL44/AL$30,0)</f>
        <v>0.47696012748749333</v>
      </c>
      <c r="AL44" s="756">
        <f t="shared" ref="AL44" si="215">SUM(AL34:AL43)</f>
        <v>91931.597742754806</v>
      </c>
      <c r="AM44" s="754" t="s">
        <v>111</v>
      </c>
      <c r="AN44" s="755">
        <f t="shared" ref="AN44" si="216">IFERROR(AO44/AO$30,0)</f>
        <v>0.5198837427025329</v>
      </c>
      <c r="AO44" s="756">
        <f t="shared" ref="AO44" si="217">SUM(AO34:AO43)</f>
        <v>59009.258689698298</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218">+SUM(H45,K45,N45,Q45,T45,W45,Z45,AC45,AF45,AI45,AL45,AO45)</f>
        <v>189054.05000000002</v>
      </c>
      <c r="F45" s="710"/>
      <c r="G45" s="732"/>
      <c r="H45" s="748">
        <v>15359.233908045977</v>
      </c>
      <c r="I45" s="710"/>
      <c r="J45" s="732"/>
      <c r="K45" s="748">
        <v>14832.206896551725</v>
      </c>
      <c r="L45" s="710"/>
      <c r="M45" s="732"/>
      <c r="N45" s="748">
        <v>16413.287931034483</v>
      </c>
      <c r="O45" s="710"/>
      <c r="P45" s="732"/>
      <c r="Q45" s="748">
        <v>15359.233908045977</v>
      </c>
      <c r="R45" s="710"/>
      <c r="S45" s="732"/>
      <c r="T45" s="748">
        <v>15886.260919540229</v>
      </c>
      <c r="U45" s="710"/>
      <c r="V45" s="732"/>
      <c r="W45" s="748">
        <v>15886.260919540229</v>
      </c>
      <c r="X45" s="710"/>
      <c r="Y45" s="732"/>
      <c r="Z45" s="748">
        <v>15886.260919540229</v>
      </c>
      <c r="AA45" s="710"/>
      <c r="AB45" s="732"/>
      <c r="AC45" s="748">
        <v>15886.260919540229</v>
      </c>
      <c r="AD45" s="710"/>
      <c r="AE45" s="732"/>
      <c r="AF45" s="748">
        <v>15886.260919540229</v>
      </c>
      <c r="AG45" s="710"/>
      <c r="AH45" s="732"/>
      <c r="AI45" s="748">
        <v>15359.233908045977</v>
      </c>
      <c r="AJ45" s="710"/>
      <c r="AK45" s="732"/>
      <c r="AL45" s="748">
        <v>15886.260919540229</v>
      </c>
      <c r="AM45" s="710"/>
      <c r="AN45" s="732"/>
      <c r="AO45" s="748">
        <v>16413.287931034483</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218"/>
        <v>116556.56817300001</v>
      </c>
      <c r="F46" s="710"/>
      <c r="G46" s="732"/>
      <c r="H46" s="748">
        <v>9386.1060598965523</v>
      </c>
      <c r="I46" s="710"/>
      <c r="J46" s="732"/>
      <c r="K46" s="748">
        <v>8950.1843427586209</v>
      </c>
      <c r="L46" s="710"/>
      <c r="M46" s="732"/>
      <c r="N46" s="748">
        <v>10257.949494172415</v>
      </c>
      <c r="O46" s="710"/>
      <c r="P46" s="732"/>
      <c r="Q46" s="748">
        <v>9386.1060598965523</v>
      </c>
      <c r="R46" s="710"/>
      <c r="S46" s="732"/>
      <c r="T46" s="748">
        <v>9822.0277770344837</v>
      </c>
      <c r="U46" s="710"/>
      <c r="V46" s="732"/>
      <c r="W46" s="748">
        <v>9822.0277770344837</v>
      </c>
      <c r="X46" s="710"/>
      <c r="Y46" s="732"/>
      <c r="Z46" s="748">
        <v>9822.0277770344837</v>
      </c>
      <c r="AA46" s="710"/>
      <c r="AB46" s="732"/>
      <c r="AC46" s="748">
        <v>9822.0277770344837</v>
      </c>
      <c r="AD46" s="710"/>
      <c r="AE46" s="732"/>
      <c r="AF46" s="748">
        <v>9822.0277770344837</v>
      </c>
      <c r="AG46" s="710"/>
      <c r="AH46" s="732"/>
      <c r="AI46" s="748">
        <v>9386.1060598965523</v>
      </c>
      <c r="AJ46" s="710"/>
      <c r="AK46" s="732"/>
      <c r="AL46" s="748">
        <v>9822.0277770344837</v>
      </c>
      <c r="AM46" s="710"/>
      <c r="AN46" s="732"/>
      <c r="AO46" s="748">
        <v>10257.949494172415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218"/>
        <v>105840.27119199999</v>
      </c>
      <c r="F47" s="701"/>
      <c r="G47" s="759"/>
      <c r="H47" s="761">
        <v>8515.883889011493</v>
      </c>
      <c r="I47" s="701"/>
      <c r="J47" s="759"/>
      <c r="K47" s="761">
        <v>8110.365608582375</v>
      </c>
      <c r="L47" s="701"/>
      <c r="M47" s="759"/>
      <c r="N47" s="761">
        <v>9326.9204498697309</v>
      </c>
      <c r="O47" s="701"/>
      <c r="P47" s="759"/>
      <c r="Q47" s="761">
        <v>8515.883889011493</v>
      </c>
      <c r="R47" s="701"/>
      <c r="S47" s="759"/>
      <c r="T47" s="761">
        <v>8921.4021694406129</v>
      </c>
      <c r="U47" s="701"/>
      <c r="V47" s="759"/>
      <c r="W47" s="761">
        <v>8921.4021694406129</v>
      </c>
      <c r="X47" s="701"/>
      <c r="Y47" s="759"/>
      <c r="Z47" s="761">
        <v>8921.4021694406129</v>
      </c>
      <c r="AA47" s="701"/>
      <c r="AB47" s="759"/>
      <c r="AC47" s="761">
        <v>8921.4021694406129</v>
      </c>
      <c r="AD47" s="701"/>
      <c r="AE47" s="759"/>
      <c r="AF47" s="761">
        <v>8921.4021694406129</v>
      </c>
      <c r="AG47" s="701"/>
      <c r="AH47" s="759"/>
      <c r="AI47" s="761">
        <v>8515.883889011493</v>
      </c>
      <c r="AJ47" s="701"/>
      <c r="AK47" s="759"/>
      <c r="AL47" s="761">
        <v>8921.4021694406129</v>
      </c>
      <c r="AM47" s="701"/>
      <c r="AN47" s="759"/>
      <c r="AO47" s="761">
        <v>9326.9204498697309</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218"/>
        <v>0</v>
      </c>
      <c r="F48" s="710"/>
      <c r="G48" s="732"/>
      <c r="H48" s="748">
        <v>0</v>
      </c>
      <c r="I48" s="710"/>
      <c r="J48" s="732"/>
      <c r="K48" s="748">
        <v>0</v>
      </c>
      <c r="L48" s="710"/>
      <c r="M48" s="732"/>
      <c r="N48" s="748">
        <v>0</v>
      </c>
      <c r="O48" s="710"/>
      <c r="P48" s="732"/>
      <c r="Q48" s="748">
        <v>0</v>
      </c>
      <c r="R48" s="710"/>
      <c r="S48" s="732"/>
      <c r="T48" s="748">
        <v>0</v>
      </c>
      <c r="U48" s="710"/>
      <c r="V48" s="732"/>
      <c r="W48" s="748">
        <v>0</v>
      </c>
      <c r="X48" s="710"/>
      <c r="Y48" s="732"/>
      <c r="Z48" s="748">
        <v>0</v>
      </c>
      <c r="AA48" s="710"/>
      <c r="AB48" s="732"/>
      <c r="AC48" s="748">
        <v>0</v>
      </c>
      <c r="AD48" s="710"/>
      <c r="AE48" s="732"/>
      <c r="AF48" s="748">
        <v>0</v>
      </c>
      <c r="AG48" s="710"/>
      <c r="AH48" s="732"/>
      <c r="AI48" s="748">
        <v>0</v>
      </c>
      <c r="AJ48" s="710"/>
      <c r="AK48" s="732"/>
      <c r="AL48" s="748">
        <v>0</v>
      </c>
      <c r="AM48" s="710"/>
      <c r="AN48" s="732"/>
      <c r="AO48" s="748">
        <v>0</v>
      </c>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218"/>
        <v>0</v>
      </c>
      <c r="F49" s="710"/>
      <c r="G49" s="732"/>
      <c r="H49" s="748">
        <v>0</v>
      </c>
      <c r="I49" s="710"/>
      <c r="J49" s="732"/>
      <c r="K49" s="748">
        <v>0</v>
      </c>
      <c r="L49" s="710"/>
      <c r="M49" s="732"/>
      <c r="N49" s="748">
        <v>0</v>
      </c>
      <c r="O49" s="710"/>
      <c r="P49" s="732"/>
      <c r="Q49" s="748">
        <v>0</v>
      </c>
      <c r="R49" s="710"/>
      <c r="S49" s="732"/>
      <c r="T49" s="748">
        <v>0</v>
      </c>
      <c r="U49" s="710"/>
      <c r="V49" s="732"/>
      <c r="W49" s="748">
        <v>0</v>
      </c>
      <c r="X49" s="710"/>
      <c r="Y49" s="732"/>
      <c r="Z49" s="748">
        <v>0</v>
      </c>
      <c r="AA49" s="710"/>
      <c r="AB49" s="732"/>
      <c r="AC49" s="748">
        <v>0</v>
      </c>
      <c r="AD49" s="710"/>
      <c r="AE49" s="732"/>
      <c r="AF49" s="748">
        <v>0</v>
      </c>
      <c r="AG49" s="710"/>
      <c r="AH49" s="732"/>
      <c r="AI49" s="748">
        <v>0</v>
      </c>
      <c r="AJ49" s="710"/>
      <c r="AK49" s="732"/>
      <c r="AL49" s="748">
        <v>0</v>
      </c>
      <c r="AM49" s="710"/>
      <c r="AN49" s="732"/>
      <c r="AO49" s="748">
        <v>0</v>
      </c>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218"/>
        <v>0</v>
      </c>
      <c r="F50" s="710"/>
      <c r="G50" s="732"/>
      <c r="H50" s="748">
        <v>0</v>
      </c>
      <c r="I50" s="710"/>
      <c r="J50" s="732"/>
      <c r="K50" s="748">
        <v>0</v>
      </c>
      <c r="L50" s="710"/>
      <c r="M50" s="732"/>
      <c r="N50" s="748">
        <v>0</v>
      </c>
      <c r="O50" s="710"/>
      <c r="P50" s="732"/>
      <c r="Q50" s="748">
        <v>0</v>
      </c>
      <c r="R50" s="710"/>
      <c r="S50" s="732"/>
      <c r="T50" s="748">
        <v>0</v>
      </c>
      <c r="U50" s="710"/>
      <c r="V50" s="732"/>
      <c r="W50" s="748">
        <v>0</v>
      </c>
      <c r="X50" s="710"/>
      <c r="Y50" s="732"/>
      <c r="Z50" s="748">
        <v>0</v>
      </c>
      <c r="AA50" s="710"/>
      <c r="AB50" s="732"/>
      <c r="AC50" s="748">
        <v>0</v>
      </c>
      <c r="AD50" s="710"/>
      <c r="AE50" s="732"/>
      <c r="AF50" s="748">
        <v>0</v>
      </c>
      <c r="AG50" s="710"/>
      <c r="AH50" s="732"/>
      <c r="AI50" s="748">
        <v>0</v>
      </c>
      <c r="AJ50" s="710"/>
      <c r="AK50" s="732"/>
      <c r="AL50" s="748">
        <v>0</v>
      </c>
      <c r="AM50" s="710"/>
      <c r="AN50" s="732"/>
      <c r="AO50" s="748">
        <v>0</v>
      </c>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218"/>
        <v>0</v>
      </c>
      <c r="F51" s="710"/>
      <c r="G51" s="732"/>
      <c r="H51" s="748">
        <v>0</v>
      </c>
      <c r="I51" s="710"/>
      <c r="J51" s="732"/>
      <c r="K51" s="748">
        <v>0</v>
      </c>
      <c r="L51" s="710"/>
      <c r="M51" s="732"/>
      <c r="N51" s="748">
        <v>0</v>
      </c>
      <c r="O51" s="710"/>
      <c r="P51" s="732"/>
      <c r="Q51" s="748">
        <v>0</v>
      </c>
      <c r="R51" s="710"/>
      <c r="S51" s="732"/>
      <c r="T51" s="748">
        <v>0</v>
      </c>
      <c r="U51" s="710"/>
      <c r="V51" s="732"/>
      <c r="W51" s="748">
        <v>0</v>
      </c>
      <c r="X51" s="710"/>
      <c r="Y51" s="732"/>
      <c r="Z51" s="748">
        <v>0</v>
      </c>
      <c r="AA51" s="710"/>
      <c r="AB51" s="732"/>
      <c r="AC51" s="748">
        <v>0</v>
      </c>
      <c r="AD51" s="710"/>
      <c r="AE51" s="732"/>
      <c r="AF51" s="748">
        <v>0</v>
      </c>
      <c r="AG51" s="710"/>
      <c r="AH51" s="732"/>
      <c r="AI51" s="748">
        <v>0</v>
      </c>
      <c r="AJ51" s="710"/>
      <c r="AK51" s="732"/>
      <c r="AL51" s="748">
        <v>0</v>
      </c>
      <c r="AM51" s="710"/>
      <c r="AN51" s="732"/>
      <c r="AO51" s="748">
        <v>0</v>
      </c>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218"/>
        <v>138467.7498670253</v>
      </c>
      <c r="F52" s="710"/>
      <c r="G52" s="732"/>
      <c r="H52" s="748">
        <v>8813.5959114031139</v>
      </c>
      <c r="I52" s="710"/>
      <c r="J52" s="732"/>
      <c r="K52" s="748">
        <v>8712.106460164996</v>
      </c>
      <c r="L52" s="710"/>
      <c r="M52" s="732"/>
      <c r="N52" s="748">
        <v>12210.247530378065</v>
      </c>
      <c r="O52" s="710"/>
      <c r="P52" s="732"/>
      <c r="Q52" s="748">
        <v>12474.718068530348</v>
      </c>
      <c r="R52" s="710"/>
      <c r="S52" s="732"/>
      <c r="T52" s="748">
        <v>13866.553316713922</v>
      </c>
      <c r="U52" s="710"/>
      <c r="V52" s="732"/>
      <c r="W52" s="748">
        <v>12003.80046228538</v>
      </c>
      <c r="X52" s="710"/>
      <c r="Y52" s="732"/>
      <c r="Z52" s="748">
        <v>12907.843334888759</v>
      </c>
      <c r="AA52" s="710"/>
      <c r="AB52" s="732"/>
      <c r="AC52" s="748">
        <v>12708.498691233923</v>
      </c>
      <c r="AD52" s="710"/>
      <c r="AE52" s="732"/>
      <c r="AF52" s="748">
        <v>11834.459293700969</v>
      </c>
      <c r="AG52" s="710"/>
      <c r="AH52" s="732"/>
      <c r="AI52" s="748">
        <v>12051.365147069317</v>
      </c>
      <c r="AJ52" s="710"/>
      <c r="AK52" s="732"/>
      <c r="AL52" s="748">
        <v>11580.447540824349</v>
      </c>
      <c r="AM52" s="710"/>
      <c r="AN52" s="732"/>
      <c r="AO52" s="748">
        <v>9304.1141098321568</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218"/>
        <v>124012.06374359086</v>
      </c>
      <c r="F53" s="701"/>
      <c r="G53" s="759"/>
      <c r="H53" s="761">
        <v>7893.4785827371907</v>
      </c>
      <c r="I53" s="701"/>
      <c r="J53" s="759"/>
      <c r="K53" s="761">
        <v>7802.5843759032514</v>
      </c>
      <c r="L53" s="701"/>
      <c r="M53" s="759"/>
      <c r="N53" s="761">
        <v>10935.528283780273</v>
      </c>
      <c r="O53" s="701"/>
      <c r="P53" s="759"/>
      <c r="Q53" s="761">
        <v>11172.388760441005</v>
      </c>
      <c r="R53" s="701"/>
      <c r="S53" s="759"/>
      <c r="T53" s="761">
        <v>12418.919896276426</v>
      </c>
      <c r="U53" s="701"/>
      <c r="V53" s="759"/>
      <c r="W53" s="761">
        <v>10750.63377229602</v>
      </c>
      <c r="X53" s="701"/>
      <c r="Y53" s="759"/>
      <c r="Z53" s="761">
        <v>11560.296834286222</v>
      </c>
      <c r="AA53" s="701"/>
      <c r="AB53" s="759"/>
      <c r="AC53" s="761">
        <v>11381.763271925258</v>
      </c>
      <c r="AD53" s="701"/>
      <c r="AE53" s="759"/>
      <c r="AF53" s="761">
        <v>10598.971397388712</v>
      </c>
      <c r="AG53" s="701"/>
      <c r="AH53" s="759"/>
      <c r="AI53" s="761">
        <v>10793.232823172732</v>
      </c>
      <c r="AJ53" s="701"/>
      <c r="AK53" s="759"/>
      <c r="AL53" s="761">
        <v>10371.477835027747</v>
      </c>
      <c r="AM53" s="701"/>
      <c r="AN53" s="759"/>
      <c r="AO53" s="761">
        <v>8332.7879103560099</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218"/>
        <v>98480.168266969209</v>
      </c>
      <c r="F54" s="710"/>
      <c r="G54" s="732"/>
      <c r="H54" s="748">
        <v>6268.3506392324753</v>
      </c>
      <c r="I54" s="710"/>
      <c r="J54" s="732"/>
      <c r="K54" s="748">
        <v>6196.1699455702301</v>
      </c>
      <c r="L54" s="710"/>
      <c r="M54" s="732"/>
      <c r="N54" s="748">
        <v>8684.095990060805</v>
      </c>
      <c r="O54" s="710"/>
      <c r="P54" s="732"/>
      <c r="Q54" s="748">
        <v>8872.1910744678589</v>
      </c>
      <c r="R54" s="710"/>
      <c r="S54" s="732"/>
      <c r="T54" s="748">
        <v>9862.0834470430455</v>
      </c>
      <c r="U54" s="710"/>
      <c r="V54" s="732"/>
      <c r="W54" s="748">
        <v>8537.2679956468401</v>
      </c>
      <c r="X54" s="710"/>
      <c r="Y54" s="732"/>
      <c r="Z54" s="748">
        <v>9180.2357213449432</v>
      </c>
      <c r="AA54" s="710"/>
      <c r="AB54" s="732"/>
      <c r="AC54" s="748">
        <v>9038.4590688818244</v>
      </c>
      <c r="AD54" s="710"/>
      <c r="AE54" s="732"/>
      <c r="AF54" s="748">
        <v>8416.8302273380959</v>
      </c>
      <c r="AG54" s="710"/>
      <c r="AH54" s="732"/>
      <c r="AI54" s="748">
        <v>8571.0966536959932</v>
      </c>
      <c r="AJ54" s="710"/>
      <c r="AK54" s="732"/>
      <c r="AL54" s="748">
        <v>8236.1735748749761</v>
      </c>
      <c r="AM54" s="710"/>
      <c r="AN54" s="732"/>
      <c r="AO54" s="748">
        <v>6617.2139288121261</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218"/>
        <v>40121.550034691158</v>
      </c>
      <c r="F55" s="710"/>
      <c r="G55" s="732"/>
      <c r="H55" s="748">
        <v>2553.7724826502681</v>
      </c>
      <c r="I55" s="710"/>
      <c r="J55" s="732"/>
      <c r="K55" s="748">
        <v>2524.3655333804641</v>
      </c>
      <c r="L55" s="710"/>
      <c r="M55" s="732"/>
      <c r="N55" s="748">
        <v>3537.9650329877359</v>
      </c>
      <c r="O55" s="710"/>
      <c r="P55" s="732"/>
      <c r="Q55" s="748">
        <v>3614.5963636720903</v>
      </c>
      <c r="R55" s="710"/>
      <c r="S55" s="732"/>
      <c r="T55" s="748">
        <v>4017.8858487953148</v>
      </c>
      <c r="U55" s="710"/>
      <c r="V55" s="732"/>
      <c r="W55" s="748">
        <v>3478.1462204487129</v>
      </c>
      <c r="X55" s="710"/>
      <c r="Y55" s="732"/>
      <c r="Z55" s="748">
        <v>3740.0960346220136</v>
      </c>
      <c r="AA55" s="710"/>
      <c r="AB55" s="732"/>
      <c r="AC55" s="748">
        <v>3682.3351762111133</v>
      </c>
      <c r="AD55" s="710"/>
      <c r="AE55" s="732"/>
      <c r="AF55" s="748">
        <v>3429.078981508113</v>
      </c>
      <c r="AG55" s="710"/>
      <c r="AH55" s="732"/>
      <c r="AI55" s="748">
        <v>3491.92826632059</v>
      </c>
      <c r="AJ55" s="710"/>
      <c r="AK55" s="732"/>
      <c r="AL55" s="748">
        <v>3355.4781230972126</v>
      </c>
      <c r="AM55" s="710"/>
      <c r="AN55" s="732"/>
      <c r="AO55" s="748">
        <v>2695.9019709975328</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218"/>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0.34769773547606125</v>
      </c>
      <c r="E57" s="756">
        <f>+SUM(E45:E56)</f>
        <v>812532.42127727647</v>
      </c>
      <c r="F57" s="754" t="s">
        <v>111</v>
      </c>
      <c r="G57" s="755">
        <f>IFERROR(H57/H$30,0)</f>
        <v>0.53973888894126731</v>
      </c>
      <c r="H57" s="756">
        <f>+SUM(H45:H56)</f>
        <v>58790.421472977068</v>
      </c>
      <c r="I57" s="754" t="s">
        <v>111</v>
      </c>
      <c r="J57" s="755">
        <f t="shared" ref="J57" si="219">IFERROR(K57/K$30,0)</f>
        <v>0.50643856053138525</v>
      </c>
      <c r="K57" s="756">
        <f t="shared" ref="K57" si="220">+SUM(K45:K56)</f>
        <v>57127.98316291166</v>
      </c>
      <c r="L57" s="754" t="s">
        <v>111</v>
      </c>
      <c r="M57" s="755">
        <f t="shared" ref="M57" si="221">IFERROR(N57/N$30,0)</f>
        <v>0.33884584057839123</v>
      </c>
      <c r="N57" s="756">
        <f t="shared" ref="N57" si="222">+SUM(N45:N56)</f>
        <v>71365.9947122835</v>
      </c>
      <c r="O57" s="754" t="s">
        <v>111</v>
      </c>
      <c r="P57" s="755">
        <f t="shared" ref="P57" si="223">IFERROR(Q57/Q$30,0)</f>
        <v>0.29850665441251939</v>
      </c>
      <c r="Q57" s="756">
        <f t="shared" ref="Q57" si="224">+SUM(Q45:Q56)</f>
        <v>69395.11812406531</v>
      </c>
      <c r="R57" s="754" t="s">
        <v>111</v>
      </c>
      <c r="S57" s="755">
        <f t="shared" ref="S57" si="225">IFERROR(T57/T$30,0)</f>
        <v>0.27627397281154659</v>
      </c>
      <c r="T57" s="756">
        <f t="shared" ref="T57" si="226">+SUM(T45:T56)</f>
        <v>74795.133374844037</v>
      </c>
      <c r="U57" s="754" t="s">
        <v>111</v>
      </c>
      <c r="V57" s="755">
        <f t="shared" ref="V57" si="227">IFERROR(W57/W$30,0)</f>
        <v>0.32950910766847591</v>
      </c>
      <c r="W57" s="756">
        <f t="shared" ref="W57" si="228">+SUM(W45:W56)</f>
        <v>69399.539316692273</v>
      </c>
      <c r="X57" s="754" t="s">
        <v>111</v>
      </c>
      <c r="Y57" s="755">
        <f t="shared" ref="Y57" si="229">IFERROR(Z57/Z$30,0)</f>
        <v>0.30099263407663535</v>
      </c>
      <c r="Z57" s="756">
        <f t="shared" ref="Z57" si="230">+SUM(Z45:Z56)</f>
        <v>72018.162791157272</v>
      </c>
      <c r="AA57" s="754" t="s">
        <v>111</v>
      </c>
      <c r="AB57" s="755">
        <f t="shared" ref="AB57" si="231">IFERROR(AC57/AC$30,0)</f>
        <v>0.31201248333718434</v>
      </c>
      <c r="AC57" s="756">
        <f t="shared" ref="AC57" si="232">+SUM(AC45:AC56)</f>
        <v>71440.747074267449</v>
      </c>
      <c r="AD57" s="754" t="s">
        <v>111</v>
      </c>
      <c r="AE57" s="755">
        <f t="shared" ref="AE57" si="233">IFERROR(AF57/AF$30,0)</f>
        <v>0.34173707102962025</v>
      </c>
      <c r="AF57" s="756">
        <f t="shared" ref="AF57" si="234">+SUM(AF45:AF56)</f>
        <v>68909.030765951218</v>
      </c>
      <c r="AG57" s="754" t="s">
        <v>111</v>
      </c>
      <c r="AH57" s="755">
        <f t="shared" ref="AH57" si="235">IFERROR(AI57/AI$30,0)</f>
        <v>0.3176492206069691</v>
      </c>
      <c r="AI57" s="756">
        <f t="shared" ref="AI57" si="236">+SUM(AI45:AI56)</f>
        <v>68168.84674721265</v>
      </c>
      <c r="AJ57" s="754" t="s">
        <v>111</v>
      </c>
      <c r="AK57" s="755">
        <f t="shared" ref="AK57" si="237">IFERROR(AL57/AL$30,0)</f>
        <v>0.35369700262157738</v>
      </c>
      <c r="AL57" s="756">
        <f t="shared" ref="AL57" si="238">+SUM(AL45:AL56)</f>
        <v>68173.267939839614</v>
      </c>
      <c r="AM57" s="754" t="s">
        <v>111</v>
      </c>
      <c r="AN57" s="755">
        <f t="shared" ref="AN57" si="239">IFERROR(AO57/AO$30,0)</f>
        <v>0.55458641500191375</v>
      </c>
      <c r="AO57" s="756">
        <f t="shared" ref="AO57" si="240">+SUM(AO45:AO56)</f>
        <v>62948.175795074458</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241">+SUM(H58,K58,N58,Q58,T58,W58,Z58,AC58,AF58,AI58,AL58,AO58)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241"/>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241"/>
        <v>87875.280000000013</v>
      </c>
      <c r="F60" s="764"/>
      <c r="G60" s="765"/>
      <c r="H60" s="767">
        <v>7322.9400000000005</v>
      </c>
      <c r="I60" s="764"/>
      <c r="J60" s="765"/>
      <c r="K60" s="767">
        <v>7322.9400000000005</v>
      </c>
      <c r="L60" s="764"/>
      <c r="M60" s="765"/>
      <c r="N60" s="767">
        <v>7322.9400000000005</v>
      </c>
      <c r="O60" s="764"/>
      <c r="P60" s="765"/>
      <c r="Q60" s="767">
        <v>7322.9400000000005</v>
      </c>
      <c r="R60" s="764"/>
      <c r="S60" s="765"/>
      <c r="T60" s="767">
        <v>7322.9400000000005</v>
      </c>
      <c r="U60" s="764"/>
      <c r="V60" s="765"/>
      <c r="W60" s="767">
        <v>7322.9400000000005</v>
      </c>
      <c r="X60" s="764"/>
      <c r="Y60" s="765"/>
      <c r="Z60" s="767">
        <v>7322.9400000000005</v>
      </c>
      <c r="AA60" s="764"/>
      <c r="AB60" s="765"/>
      <c r="AC60" s="767">
        <v>7322.9400000000005</v>
      </c>
      <c r="AD60" s="764"/>
      <c r="AE60" s="765"/>
      <c r="AF60" s="767">
        <v>7322.9400000000005</v>
      </c>
      <c r="AG60" s="764"/>
      <c r="AH60" s="765"/>
      <c r="AI60" s="767">
        <v>7322.9400000000005</v>
      </c>
      <c r="AJ60" s="764"/>
      <c r="AK60" s="765"/>
      <c r="AL60" s="767">
        <v>7322.9400000000005</v>
      </c>
      <c r="AM60" s="764"/>
      <c r="AN60" s="765"/>
      <c r="AO60" s="767">
        <v>7322.9400000000005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241"/>
        <v>82010.345119999998</v>
      </c>
      <c r="F61" s="710"/>
      <c r="G61" s="732"/>
      <c r="H61" s="748">
        <v>6834.1885933333333</v>
      </c>
      <c r="I61" s="710"/>
      <c r="J61" s="732"/>
      <c r="K61" s="748">
        <v>6834.1885933333333</v>
      </c>
      <c r="L61" s="710"/>
      <c r="M61" s="732"/>
      <c r="N61" s="748">
        <v>6834.1885933333333</v>
      </c>
      <c r="O61" s="710"/>
      <c r="P61" s="732"/>
      <c r="Q61" s="748">
        <v>6834.1885933333333</v>
      </c>
      <c r="R61" s="710"/>
      <c r="S61" s="732"/>
      <c r="T61" s="748">
        <v>6834.1988433333336</v>
      </c>
      <c r="U61" s="710"/>
      <c r="V61" s="732"/>
      <c r="W61" s="748">
        <v>6834.1988433333336</v>
      </c>
      <c r="X61" s="710"/>
      <c r="Y61" s="732"/>
      <c r="Z61" s="748">
        <v>6834.1988433333336</v>
      </c>
      <c r="AA61" s="710"/>
      <c r="AB61" s="732"/>
      <c r="AC61" s="748">
        <v>6834.1988433333336</v>
      </c>
      <c r="AD61" s="710"/>
      <c r="AE61" s="732"/>
      <c r="AF61" s="748">
        <v>6834.1988433333336</v>
      </c>
      <c r="AG61" s="710"/>
      <c r="AH61" s="732"/>
      <c r="AI61" s="748">
        <v>6834.1988433333336</v>
      </c>
      <c r="AJ61" s="710"/>
      <c r="AK61" s="732"/>
      <c r="AL61" s="748">
        <v>6834.1988433333336</v>
      </c>
      <c r="AM61" s="710"/>
      <c r="AN61" s="732"/>
      <c r="AO61" s="748">
        <v>6834.1988433333336</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241"/>
        <v>9505.7016000000021</v>
      </c>
      <c r="F62" s="710"/>
      <c r="G62" s="732"/>
      <c r="H62" s="748">
        <v>792.1418000000001</v>
      </c>
      <c r="I62" s="710"/>
      <c r="J62" s="732"/>
      <c r="K62" s="748">
        <v>792.1418000000001</v>
      </c>
      <c r="L62" s="710"/>
      <c r="M62" s="732"/>
      <c r="N62" s="748">
        <v>792.1418000000001</v>
      </c>
      <c r="O62" s="710"/>
      <c r="P62" s="732"/>
      <c r="Q62" s="748">
        <v>792.1418000000001</v>
      </c>
      <c r="R62" s="710"/>
      <c r="S62" s="732"/>
      <c r="T62" s="748">
        <v>792.1418000000001</v>
      </c>
      <c r="U62" s="710"/>
      <c r="V62" s="732"/>
      <c r="W62" s="748">
        <v>792.1418000000001</v>
      </c>
      <c r="X62" s="710"/>
      <c r="Y62" s="732"/>
      <c r="Z62" s="748">
        <v>792.1418000000001</v>
      </c>
      <c r="AA62" s="710"/>
      <c r="AB62" s="732"/>
      <c r="AC62" s="748">
        <v>792.1418000000001</v>
      </c>
      <c r="AD62" s="710"/>
      <c r="AE62" s="732"/>
      <c r="AF62" s="748">
        <v>792.1418000000001</v>
      </c>
      <c r="AG62" s="710"/>
      <c r="AH62" s="732"/>
      <c r="AI62" s="748">
        <v>792.1418000000001</v>
      </c>
      <c r="AJ62" s="710"/>
      <c r="AK62" s="732"/>
      <c r="AL62" s="748">
        <v>792.1418000000001</v>
      </c>
      <c r="AM62" s="710"/>
      <c r="AN62" s="732"/>
      <c r="AO62" s="748">
        <v>792.1418000000001</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241"/>
        <v>79819.781333333332</v>
      </c>
      <c r="F63" s="764"/>
      <c r="G63" s="765"/>
      <c r="H63" s="767">
        <v>6763.7217777777787</v>
      </c>
      <c r="I63" s="764"/>
      <c r="J63" s="765"/>
      <c r="K63" s="767">
        <v>6916.8097777777784</v>
      </c>
      <c r="L63" s="764"/>
      <c r="M63" s="765"/>
      <c r="N63" s="767">
        <v>6604.1601777777778</v>
      </c>
      <c r="O63" s="764"/>
      <c r="P63" s="765"/>
      <c r="Q63" s="767">
        <v>6627.0465777777781</v>
      </c>
      <c r="R63" s="764"/>
      <c r="S63" s="765"/>
      <c r="T63" s="767">
        <v>6518.7073777777778</v>
      </c>
      <c r="U63" s="764"/>
      <c r="V63" s="765"/>
      <c r="W63" s="767">
        <v>6830.796977777778</v>
      </c>
      <c r="X63" s="764"/>
      <c r="Y63" s="765"/>
      <c r="Z63" s="767">
        <v>6729.5169777777783</v>
      </c>
      <c r="AA63" s="764"/>
      <c r="AB63" s="765"/>
      <c r="AC63" s="767">
        <v>6447.7025777777781</v>
      </c>
      <c r="AD63" s="764"/>
      <c r="AE63" s="765"/>
      <c r="AF63" s="767">
        <v>6468.4769777777783</v>
      </c>
      <c r="AG63" s="764"/>
      <c r="AH63" s="765"/>
      <c r="AI63" s="767">
        <v>6207.1009777777781</v>
      </c>
      <c r="AJ63" s="764"/>
      <c r="AK63" s="765"/>
      <c r="AL63" s="767">
        <v>7079.4401777777784</v>
      </c>
      <c r="AM63" s="764"/>
      <c r="AN63" s="765"/>
      <c r="AO63" s="767">
        <v>6626.3009777777779</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241"/>
        <v>989.00442577648357</v>
      </c>
      <c r="F64" s="710"/>
      <c r="G64" s="732"/>
      <c r="H64" s="748">
        <v>50.536579190711528</v>
      </c>
      <c r="I64" s="710"/>
      <c r="J64" s="732"/>
      <c r="K64" s="748">
        <v>52.169295627645639</v>
      </c>
      <c r="L64" s="710"/>
      <c r="M64" s="732"/>
      <c r="N64" s="748">
        <v>91.038462807095044</v>
      </c>
      <c r="O64" s="710"/>
      <c r="P64" s="732"/>
      <c r="Q64" s="748">
        <v>96.216577192736779</v>
      </c>
      <c r="R64" s="710"/>
      <c r="S64" s="732"/>
      <c r="T64" s="748">
        <v>107.68716037339154</v>
      </c>
      <c r="U64" s="710"/>
      <c r="V64" s="732"/>
      <c r="W64" s="748">
        <v>92.79037772039085</v>
      </c>
      <c r="X64" s="710"/>
      <c r="Y64" s="732"/>
      <c r="Z64" s="748">
        <v>99.362811590243282</v>
      </c>
      <c r="AA64" s="710"/>
      <c r="AB64" s="732"/>
      <c r="AC64" s="748">
        <v>94.464662279440972</v>
      </c>
      <c r="AD64" s="710"/>
      <c r="AE64" s="732"/>
      <c r="AF64" s="748">
        <v>81.641327736691551</v>
      </c>
      <c r="AG64" s="710"/>
      <c r="AH64" s="732"/>
      <c r="AI64" s="748">
        <v>89.804909921362054</v>
      </c>
      <c r="AJ64" s="710"/>
      <c r="AK64" s="732"/>
      <c r="AL64" s="748">
        <v>79.371050795832929</v>
      </c>
      <c r="AM64" s="710"/>
      <c r="AN64" s="732"/>
      <c r="AO64" s="748">
        <v>53.921210540941438</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241"/>
        <v>525.530953125</v>
      </c>
      <c r="F65" s="710"/>
      <c r="G65" s="732"/>
      <c r="H65" s="748">
        <v>26.853809687373364</v>
      </c>
      <c r="I65" s="710"/>
      <c r="J65" s="732"/>
      <c r="K65" s="748">
        <v>27.721392281466581</v>
      </c>
      <c r="L65" s="710"/>
      <c r="M65" s="732"/>
      <c r="N65" s="748">
        <v>48.375445936437309</v>
      </c>
      <c r="O65" s="710"/>
      <c r="P65" s="732"/>
      <c r="Q65" s="748">
        <v>51.126959799825812</v>
      </c>
      <c r="R65" s="710"/>
      <c r="S65" s="732"/>
      <c r="T65" s="748">
        <v>57.222126165837054</v>
      </c>
      <c r="U65" s="710"/>
      <c r="V65" s="732"/>
      <c r="W65" s="748">
        <v>49.306367467405586</v>
      </c>
      <c r="X65" s="710"/>
      <c r="Y65" s="732"/>
      <c r="Z65" s="748">
        <v>52.798786051137185</v>
      </c>
      <c r="AA65" s="710"/>
      <c r="AB65" s="732"/>
      <c r="AC65" s="748">
        <v>50.196038268857535</v>
      </c>
      <c r="AD65" s="710"/>
      <c r="AE65" s="732"/>
      <c r="AF65" s="748">
        <v>43.382055389861925</v>
      </c>
      <c r="AG65" s="710"/>
      <c r="AH65" s="732"/>
      <c r="AI65" s="748">
        <v>47.719968360328004</v>
      </c>
      <c r="AJ65" s="710"/>
      <c r="AK65" s="732"/>
      <c r="AL65" s="748">
        <v>42.175689904034691</v>
      </c>
      <c r="AM65" s="710"/>
      <c r="AN65" s="732"/>
      <c r="AO65" s="748">
        <v>28.652313812434855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241"/>
        <v>7834.3718399999989</v>
      </c>
      <c r="F66" s="710"/>
      <c r="G66" s="732"/>
      <c r="H66" s="748">
        <v>652.86432000000002</v>
      </c>
      <c r="I66" s="710"/>
      <c r="J66" s="732"/>
      <c r="K66" s="748">
        <v>652.86432000000002</v>
      </c>
      <c r="L66" s="710"/>
      <c r="M66" s="732"/>
      <c r="N66" s="748">
        <v>652.86432000000002</v>
      </c>
      <c r="O66" s="710"/>
      <c r="P66" s="732"/>
      <c r="Q66" s="748">
        <v>652.86432000000002</v>
      </c>
      <c r="R66" s="710"/>
      <c r="S66" s="732"/>
      <c r="T66" s="748">
        <v>652.86432000000002</v>
      </c>
      <c r="U66" s="710"/>
      <c r="V66" s="732"/>
      <c r="W66" s="748">
        <v>652.86432000000002</v>
      </c>
      <c r="X66" s="710"/>
      <c r="Y66" s="732"/>
      <c r="Z66" s="748">
        <v>652.86432000000002</v>
      </c>
      <c r="AA66" s="710"/>
      <c r="AB66" s="732"/>
      <c r="AC66" s="748">
        <v>652.86432000000002</v>
      </c>
      <c r="AD66" s="710"/>
      <c r="AE66" s="732"/>
      <c r="AF66" s="748">
        <v>652.86432000000002</v>
      </c>
      <c r="AG66" s="710"/>
      <c r="AH66" s="732"/>
      <c r="AI66" s="748">
        <v>652.86432000000002</v>
      </c>
      <c r="AJ66" s="710"/>
      <c r="AK66" s="732"/>
      <c r="AL66" s="748">
        <v>652.86432000000002</v>
      </c>
      <c r="AM66" s="710"/>
      <c r="AN66" s="732"/>
      <c r="AO66" s="748">
        <v>652.86432000000002</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241"/>
        <v>3617.5743200000002</v>
      </c>
      <c r="F67" s="710"/>
      <c r="G67" s="732"/>
      <c r="H67" s="748">
        <v>301.4645266666667</v>
      </c>
      <c r="I67" s="710"/>
      <c r="J67" s="732"/>
      <c r="K67" s="748">
        <v>301.4645266666667</v>
      </c>
      <c r="L67" s="710"/>
      <c r="M67" s="732"/>
      <c r="N67" s="748">
        <v>301.4645266666667</v>
      </c>
      <c r="O67" s="710"/>
      <c r="P67" s="732"/>
      <c r="Q67" s="748">
        <v>301.4645266666667</v>
      </c>
      <c r="R67" s="710"/>
      <c r="S67" s="732"/>
      <c r="T67" s="748">
        <v>301.4645266666667</v>
      </c>
      <c r="U67" s="710"/>
      <c r="V67" s="732"/>
      <c r="W67" s="748">
        <v>301.4645266666667</v>
      </c>
      <c r="X67" s="710"/>
      <c r="Y67" s="732"/>
      <c r="Z67" s="748">
        <v>301.4645266666667</v>
      </c>
      <c r="AA67" s="710"/>
      <c r="AB67" s="732"/>
      <c r="AC67" s="748">
        <v>301.4645266666667</v>
      </c>
      <c r="AD67" s="710"/>
      <c r="AE67" s="732"/>
      <c r="AF67" s="748">
        <v>301.4645266666667</v>
      </c>
      <c r="AG67" s="710"/>
      <c r="AH67" s="732"/>
      <c r="AI67" s="748">
        <v>301.4645266666667</v>
      </c>
      <c r="AJ67" s="710"/>
      <c r="AK67" s="732"/>
      <c r="AL67" s="748">
        <v>301.4645266666667</v>
      </c>
      <c r="AM67" s="710"/>
      <c r="AN67" s="732"/>
      <c r="AO67" s="748">
        <v>301.4645266666667</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241"/>
        <v>1931.0048799999995</v>
      </c>
      <c r="F68" s="710"/>
      <c r="G68" s="732"/>
      <c r="H68" s="748">
        <v>160.91707333333329</v>
      </c>
      <c r="I68" s="710"/>
      <c r="J68" s="732"/>
      <c r="K68" s="748">
        <v>160.91707333333329</v>
      </c>
      <c r="L68" s="710"/>
      <c r="M68" s="732"/>
      <c r="N68" s="748">
        <v>160.91707333333329</v>
      </c>
      <c r="O68" s="710"/>
      <c r="P68" s="732"/>
      <c r="Q68" s="748">
        <v>160.91707333333329</v>
      </c>
      <c r="R68" s="710"/>
      <c r="S68" s="732"/>
      <c r="T68" s="748">
        <v>160.91707333333329</v>
      </c>
      <c r="U68" s="710"/>
      <c r="V68" s="732"/>
      <c r="W68" s="748">
        <v>160.91707333333329</v>
      </c>
      <c r="X68" s="710"/>
      <c r="Y68" s="732"/>
      <c r="Z68" s="748">
        <v>160.91707333333329</v>
      </c>
      <c r="AA68" s="710"/>
      <c r="AB68" s="732"/>
      <c r="AC68" s="748">
        <v>160.91707333333329</v>
      </c>
      <c r="AD68" s="710"/>
      <c r="AE68" s="732"/>
      <c r="AF68" s="748">
        <v>160.91707333333329</v>
      </c>
      <c r="AG68" s="710"/>
      <c r="AH68" s="732"/>
      <c r="AI68" s="748">
        <v>160.91707333333329</v>
      </c>
      <c r="AJ68" s="710"/>
      <c r="AK68" s="732"/>
      <c r="AL68" s="748">
        <v>160.91707333333329</v>
      </c>
      <c r="AM68" s="710"/>
      <c r="AN68" s="732"/>
      <c r="AO68" s="748">
        <v>160.91707333333329</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241"/>
        <v>9314.8031199999987</v>
      </c>
      <c r="F69" s="710"/>
      <c r="G69" s="732"/>
      <c r="H69" s="748">
        <v>776.23359333333315</v>
      </c>
      <c r="I69" s="710"/>
      <c r="J69" s="732"/>
      <c r="K69" s="748">
        <v>776.23359333333315</v>
      </c>
      <c r="L69" s="710"/>
      <c r="M69" s="732"/>
      <c r="N69" s="748">
        <v>776.23359333333315</v>
      </c>
      <c r="O69" s="710"/>
      <c r="P69" s="732"/>
      <c r="Q69" s="748">
        <v>776.23359333333315</v>
      </c>
      <c r="R69" s="710"/>
      <c r="S69" s="732"/>
      <c r="T69" s="748">
        <v>776.23359333333315</v>
      </c>
      <c r="U69" s="710"/>
      <c r="V69" s="732"/>
      <c r="W69" s="748">
        <v>776.23359333333315</v>
      </c>
      <c r="X69" s="710"/>
      <c r="Y69" s="732"/>
      <c r="Z69" s="748">
        <v>776.23359333333315</v>
      </c>
      <c r="AA69" s="710"/>
      <c r="AB69" s="732"/>
      <c r="AC69" s="748">
        <v>776.23359333333315</v>
      </c>
      <c r="AD69" s="710"/>
      <c r="AE69" s="732"/>
      <c r="AF69" s="748">
        <v>776.23359333333315</v>
      </c>
      <c r="AG69" s="710"/>
      <c r="AH69" s="732"/>
      <c r="AI69" s="748">
        <v>776.23359333333315</v>
      </c>
      <c r="AJ69" s="710"/>
      <c r="AK69" s="732"/>
      <c r="AL69" s="748">
        <v>776.23359333333315</v>
      </c>
      <c r="AM69" s="710"/>
      <c r="AN69" s="732"/>
      <c r="AO69" s="748">
        <v>776.23359333333315</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241"/>
        <v>13839.075200000005</v>
      </c>
      <c r="F70" s="710"/>
      <c r="G70" s="732"/>
      <c r="H70" s="748">
        <v>1153.2562666666668</v>
      </c>
      <c r="I70" s="710"/>
      <c r="J70" s="732"/>
      <c r="K70" s="748">
        <v>1153.2562666666668</v>
      </c>
      <c r="L70" s="710"/>
      <c r="M70" s="732"/>
      <c r="N70" s="748">
        <v>1153.2562666666668</v>
      </c>
      <c r="O70" s="710"/>
      <c r="P70" s="732"/>
      <c r="Q70" s="748">
        <v>1153.2562666666668</v>
      </c>
      <c r="R70" s="710"/>
      <c r="S70" s="732"/>
      <c r="T70" s="748">
        <v>1153.2562666666668</v>
      </c>
      <c r="U70" s="710"/>
      <c r="V70" s="732"/>
      <c r="W70" s="748">
        <v>1153.2562666666668</v>
      </c>
      <c r="X70" s="710"/>
      <c r="Y70" s="732"/>
      <c r="Z70" s="748">
        <v>1153.2562666666668</v>
      </c>
      <c r="AA70" s="710"/>
      <c r="AB70" s="732"/>
      <c r="AC70" s="748">
        <v>1153.2562666666668</v>
      </c>
      <c r="AD70" s="710"/>
      <c r="AE70" s="732"/>
      <c r="AF70" s="748">
        <v>1153.2562666666668</v>
      </c>
      <c r="AG70" s="710"/>
      <c r="AH70" s="732"/>
      <c r="AI70" s="748">
        <v>1153.2562666666668</v>
      </c>
      <c r="AJ70" s="710"/>
      <c r="AK70" s="732"/>
      <c r="AL70" s="748">
        <v>1153.2562666666668</v>
      </c>
      <c r="AM70" s="710"/>
      <c r="AN70" s="732"/>
      <c r="AO70" s="748">
        <v>1153.2562666666668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241"/>
        <v>27969.359317888422</v>
      </c>
      <c r="F71" s="710"/>
      <c r="G71" s="732"/>
      <c r="H71" s="748">
        <v>1683.2372690061954</v>
      </c>
      <c r="I71" s="710"/>
      <c r="J71" s="732"/>
      <c r="K71" s="748">
        <v>1432.451364036832</v>
      </c>
      <c r="L71" s="710"/>
      <c r="M71" s="732"/>
      <c r="N71" s="748">
        <v>1679.4267275131131</v>
      </c>
      <c r="O71" s="710"/>
      <c r="P71" s="732"/>
      <c r="Q71" s="748">
        <v>3359.0495851260935</v>
      </c>
      <c r="R71" s="710"/>
      <c r="S71" s="732"/>
      <c r="T71" s="748">
        <v>3066.8321500849493</v>
      </c>
      <c r="U71" s="710"/>
      <c r="V71" s="732"/>
      <c r="W71" s="748">
        <v>1979.1129895930551</v>
      </c>
      <c r="X71" s="710"/>
      <c r="Y71" s="732"/>
      <c r="Z71" s="748">
        <v>1857.7871567542602</v>
      </c>
      <c r="AA71" s="710"/>
      <c r="AB71" s="732"/>
      <c r="AC71" s="748">
        <v>2062.140136623158</v>
      </c>
      <c r="AD71" s="710"/>
      <c r="AE71" s="732"/>
      <c r="AF71" s="748">
        <v>1527.3239863521153</v>
      </c>
      <c r="AG71" s="710"/>
      <c r="AH71" s="732"/>
      <c r="AI71" s="748">
        <v>2986.7566934421529</v>
      </c>
      <c r="AJ71" s="710"/>
      <c r="AK71" s="732"/>
      <c r="AL71" s="748">
        <v>4410.6482740458005</v>
      </c>
      <c r="AM71" s="710"/>
      <c r="AN71" s="732"/>
      <c r="AO71" s="748">
        <v>1924.5929853106968</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241"/>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241"/>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242">+$C$4&amp;B74</f>
        <v>Véhicules neufs[...]</v>
      </c>
      <c r="B74" s="710" t="s">
        <v>42</v>
      </c>
      <c r="C74" s="705"/>
      <c r="D74" s="763"/>
      <c r="E74" s="733">
        <f t="shared" si="241"/>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242"/>
        <v>Véhicules neufsTOTAL SEMI-FIXES</v>
      </c>
      <c r="B75" s="753" t="s">
        <v>135</v>
      </c>
      <c r="C75" s="754" t="s">
        <v>111</v>
      </c>
      <c r="D75" s="755">
        <f>IFERROR(E75/E$30,0)</f>
        <v>0.13917274999520432</v>
      </c>
      <c r="E75" s="756">
        <f>+SUM(E58:E74)</f>
        <v>325231.83211012336</v>
      </c>
      <c r="F75" s="754" t="s">
        <v>111</v>
      </c>
      <c r="G75" s="755">
        <f>IFERROR(H75/H$30,0)</f>
        <v>0.24345781905182537</v>
      </c>
      <c r="H75" s="756">
        <f>+SUM(H58:H74)</f>
        <v>26518.355608995396</v>
      </c>
      <c r="I75" s="754" t="s">
        <v>111</v>
      </c>
      <c r="J75" s="755">
        <f t="shared" ref="J75" si="243">IFERROR(K75/K$30,0)</f>
        <v>0.23424082845006108</v>
      </c>
      <c r="K75" s="756">
        <f t="shared" ref="K75" si="244">+SUM(K58:K74)</f>
        <v>26423.158003057059</v>
      </c>
      <c r="L75" s="754" t="s">
        <v>111</v>
      </c>
      <c r="M75" s="755">
        <f t="shared" ref="M75" si="245">IFERROR(N75/N$30,0)</f>
        <v>0.12542798533513846</v>
      </c>
      <c r="N75" s="756">
        <f t="shared" ref="N75" si="246">+SUM(N58:N74)</f>
        <v>26417.00698736776</v>
      </c>
      <c r="O75" s="754" t="s">
        <v>111</v>
      </c>
      <c r="P75" s="755">
        <f t="shared" ref="P75" si="247">IFERROR(Q75/Q$30,0)</f>
        <v>0.12099164886175677</v>
      </c>
      <c r="Q75" s="756">
        <f t="shared" ref="Q75" si="248">+SUM(Q58:Q74)</f>
        <v>28127.445873229768</v>
      </c>
      <c r="R75" s="754" t="s">
        <v>111</v>
      </c>
      <c r="S75" s="755">
        <f t="shared" ref="S75" si="249">IFERROR(T75/T$30,0)</f>
        <v>0.10248091405020457</v>
      </c>
      <c r="T75" s="756">
        <f t="shared" ref="T75" si="250">+SUM(T58:T74)</f>
        <v>27744.465237735294</v>
      </c>
      <c r="U75" s="754" t="s">
        <v>111</v>
      </c>
      <c r="V75" s="755">
        <f t="shared" ref="V75" si="251">IFERROR(W75/W$30,0)</f>
        <v>0.12793975473243901</v>
      </c>
      <c r="W75" s="756">
        <f t="shared" ref="W75" si="252">+SUM(W58:W74)</f>
        <v>26946.023135891963</v>
      </c>
      <c r="X75" s="754" t="s">
        <v>111</v>
      </c>
      <c r="Y75" s="755">
        <f t="shared" ref="Y75" si="253">IFERROR(Z75/Z$30,0)</f>
        <v>0.11172988729746802</v>
      </c>
      <c r="Z75" s="756">
        <f t="shared" ref="Z75" si="254">+SUM(Z58:Z74)</f>
        <v>26733.482155506757</v>
      </c>
      <c r="AA75" s="754" t="s">
        <v>111</v>
      </c>
      <c r="AB75" s="755">
        <f t="shared" ref="AB75" si="255">IFERROR(AC75/AC$30,0)</f>
        <v>0.11638555295844133</v>
      </c>
      <c r="AC75" s="756">
        <f t="shared" ref="AC75" si="256">+SUM(AC58:AC74)</f>
        <v>26648.519838282573</v>
      </c>
      <c r="AD75" s="754" t="s">
        <v>111</v>
      </c>
      <c r="AE75" s="755">
        <f t="shared" ref="AE75" si="257">IFERROR(AF75/AF$30,0)</f>
        <v>0.12951000900967427</v>
      </c>
      <c r="AF75" s="756">
        <f t="shared" ref="AF75" si="258">+SUM(AF58:AF74)</f>
        <v>26114.840770589784</v>
      </c>
      <c r="AG75" s="754" t="s">
        <v>111</v>
      </c>
      <c r="AH75" s="755">
        <f t="shared" ref="AH75" si="259">IFERROR(AI75/AI$30,0)</f>
        <v>0.12732930217644334</v>
      </c>
      <c r="AI75" s="756">
        <f t="shared" ref="AI75" si="260">+SUM(AI58:AI74)</f>
        <v>27325.398972834955</v>
      </c>
      <c r="AJ75" s="754" t="s">
        <v>111</v>
      </c>
      <c r="AK75" s="755">
        <f t="shared" ref="AK75" si="261">IFERROR(AL75/AL$30,0)</f>
        <v>0.15360023882715806</v>
      </c>
      <c r="AL75" s="756">
        <f t="shared" ref="AL75" si="262">+SUM(AL58:AL74)</f>
        <v>29605.651615856783</v>
      </c>
      <c r="AM75" s="754" t="s">
        <v>111</v>
      </c>
      <c r="AN75" s="755">
        <f t="shared" ref="AN75" si="263">IFERROR(AO75/AO$30,0)</f>
        <v>0.23459362652020568</v>
      </c>
      <c r="AO75" s="756">
        <f t="shared" ref="AO75" si="264">+SUM(AO58:AO74)</f>
        <v>26627.48391077519</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242"/>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242"/>
        <v>Véhicules neufsTOTAL DES DÉPENSES</v>
      </c>
      <c r="B77" s="768" t="s">
        <v>136</v>
      </c>
      <c r="C77" s="754" t="s">
        <v>111</v>
      </c>
      <c r="D77" s="755">
        <f>IFERROR(E77/E$30,0)</f>
        <v>0.96749103210443976</v>
      </c>
      <c r="E77" s="769">
        <f>E44+E57+E75</f>
        <v>2260923.0681457669</v>
      </c>
      <c r="F77" s="754" t="s">
        <v>111</v>
      </c>
      <c r="G77" s="755">
        <f>IFERROR(H77/H$30,0)</f>
        <v>1.3151172615150328</v>
      </c>
      <c r="H77" s="769">
        <f>H44+H57+H75</f>
        <v>143247.59559667285</v>
      </c>
      <c r="I77" s="754" t="s">
        <v>111</v>
      </c>
      <c r="J77" s="755">
        <f t="shared" ref="J77" si="265">IFERROR(K77/K$30,0)</f>
        <v>1.2706533899532944</v>
      </c>
      <c r="K77" s="769">
        <f t="shared" ref="K77" si="266">K44+K57+K75</f>
        <v>143334.00164273204</v>
      </c>
      <c r="L77" s="754" t="s">
        <v>111</v>
      </c>
      <c r="M77" s="755">
        <f t="shared" ref="M77" si="267">IFERROR(N77/N$30,0)</f>
        <v>0.93790134975330242</v>
      </c>
      <c r="N77" s="769">
        <f t="shared" ref="N77" si="268">N44+N57+N75</f>
        <v>197536.03188070605</v>
      </c>
      <c r="O77" s="754" t="s">
        <v>111</v>
      </c>
      <c r="P77" s="755">
        <f t="shared" ref="P77" si="269">IFERROR(Q77/Q$30,0)</f>
        <v>0.88877035886341527</v>
      </c>
      <c r="Q77" s="769">
        <f t="shared" ref="Q77" si="270">Q44+Q57+Q75</f>
        <v>206616.24498749501</v>
      </c>
      <c r="R77" s="754" t="s">
        <v>111</v>
      </c>
      <c r="S77" s="755">
        <f t="shared" ref="S77" si="271">IFERROR(T77/T$30,0)</f>
        <v>0.84001689315179306</v>
      </c>
      <c r="T77" s="769">
        <f t="shared" ref="T77" si="272">T44+T57+T75</f>
        <v>227416.19458763796</v>
      </c>
      <c r="U77" s="754" t="s">
        <v>111</v>
      </c>
      <c r="V77" s="755">
        <f t="shared" ref="V77" si="273">IFERROR(W77/W$30,0)</f>
        <v>0.92815643476091281</v>
      </c>
      <c r="W77" s="769">
        <f t="shared" ref="W77" si="274">W44+W57+W75</f>
        <v>195483.60724231764</v>
      </c>
      <c r="X77" s="754" t="s">
        <v>111</v>
      </c>
      <c r="Y77" s="755">
        <f t="shared" ref="Y77" si="275">IFERROR(Z77/Z$30,0)</f>
        <v>0.87886038965815405</v>
      </c>
      <c r="Z77" s="769">
        <f t="shared" ref="Z77" si="276">Z44+Z57+Z75</f>
        <v>210283.91876522024</v>
      </c>
      <c r="AA77" s="754" t="s">
        <v>111</v>
      </c>
      <c r="AB77" s="755">
        <f t="shared" ref="AB77" si="277">IFERROR(AC77/AC$30,0)</f>
        <v>0.90518849490964592</v>
      </c>
      <c r="AC77" s="769">
        <f t="shared" ref="AC77" si="278">AC44+AC57+AC75</f>
        <v>207258.83024844367</v>
      </c>
      <c r="AD77" s="754" t="s">
        <v>111</v>
      </c>
      <c r="AE77" s="755">
        <f t="shared" ref="AE77" si="279">IFERROR(AF77/AF$30,0)</f>
        <v>0.95840376680259809</v>
      </c>
      <c r="AF77" s="769">
        <f t="shared" ref="AF77" si="280">AF44+AF57+AF75</f>
        <v>193255.81053827045</v>
      </c>
      <c r="AG77" s="754" t="s">
        <v>111</v>
      </c>
      <c r="AH77" s="755">
        <f t="shared" ref="AH77" si="281">IFERROR(AI77/AI$30,0)</f>
        <v>0.92353936405017345</v>
      </c>
      <c r="AI77" s="769">
        <f t="shared" ref="AI77" si="282">AI44+AI57+AI75</f>
        <v>198195.39696227186</v>
      </c>
      <c r="AJ77" s="754" t="s">
        <v>111</v>
      </c>
      <c r="AK77" s="755">
        <f t="shared" ref="AK77" si="283">IFERROR(AL77/AL$30,0)</f>
        <v>0.98425736893622884</v>
      </c>
      <c r="AL77" s="769">
        <f t="shared" ref="AL77" si="284">AL44+AL57+AL75</f>
        <v>189710.51729845122</v>
      </c>
      <c r="AM77" s="754" t="s">
        <v>111</v>
      </c>
      <c r="AN77" s="755">
        <f t="shared" ref="AN77" si="285">IFERROR(AO77/AO$30,0)</f>
        <v>1.3090637842246524</v>
      </c>
      <c r="AO77" s="769">
        <f t="shared" ref="AO77" si="286">AO44+AO57+AO75</f>
        <v>148584.91839554795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242"/>
        <v>Véhicules neufsProgramme neuf 1</v>
      </c>
      <c r="B78" s="710" t="s">
        <v>137</v>
      </c>
      <c r="C78" s="710"/>
      <c r="D78" s="732"/>
      <c r="E78" s="733">
        <f t="shared" ref="E78:E85" si="287">+SUM(H78,K78,N78,Q78,T78,W78,Z78,AC78,AF78,AI78,AL78,AO78)</f>
        <v>66483</v>
      </c>
      <c r="F78" s="710"/>
      <c r="G78" s="732"/>
      <c r="H78" s="748">
        <v>0</v>
      </c>
      <c r="I78" s="710"/>
      <c r="J78" s="732"/>
      <c r="K78" s="748">
        <v>0</v>
      </c>
      <c r="L78" s="710"/>
      <c r="M78" s="732"/>
      <c r="N78" s="748">
        <v>12255.3</v>
      </c>
      <c r="O78" s="710"/>
      <c r="P78" s="732"/>
      <c r="Q78" s="748">
        <v>0</v>
      </c>
      <c r="R78" s="710"/>
      <c r="S78" s="732"/>
      <c r="T78" s="748">
        <v>0</v>
      </c>
      <c r="U78" s="710"/>
      <c r="V78" s="732"/>
      <c r="W78" s="748">
        <v>20185.2</v>
      </c>
      <c r="X78" s="710"/>
      <c r="Y78" s="732"/>
      <c r="Z78" s="748">
        <v>0</v>
      </c>
      <c r="AA78" s="710"/>
      <c r="AB78" s="732"/>
      <c r="AC78" s="748">
        <v>0</v>
      </c>
      <c r="AD78" s="710"/>
      <c r="AE78" s="732"/>
      <c r="AF78" s="748">
        <v>19143.900000000001</v>
      </c>
      <c r="AG78" s="710"/>
      <c r="AH78" s="732"/>
      <c r="AI78" s="748">
        <v>0</v>
      </c>
      <c r="AJ78" s="710"/>
      <c r="AK78" s="732"/>
      <c r="AL78" s="748">
        <v>0</v>
      </c>
      <c r="AM78" s="710"/>
      <c r="AN78" s="732"/>
      <c r="AO78" s="748">
        <v>14898.599999999999</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242"/>
        <v>Véhicules neufsProgramme neuf 2</v>
      </c>
      <c r="B79" s="710" t="s">
        <v>138</v>
      </c>
      <c r="C79" s="710"/>
      <c r="D79" s="732"/>
      <c r="E79" s="733">
        <f t="shared" si="287"/>
        <v>0</v>
      </c>
      <c r="F79" s="710"/>
      <c r="G79" s="732"/>
      <c r="H79" s="748">
        <v>0</v>
      </c>
      <c r="I79" s="710"/>
      <c r="J79" s="732"/>
      <c r="K79" s="748">
        <v>0</v>
      </c>
      <c r="L79" s="710"/>
      <c r="M79" s="732"/>
      <c r="N79" s="748">
        <v>0</v>
      </c>
      <c r="O79" s="710"/>
      <c r="P79" s="732"/>
      <c r="Q79" s="748">
        <v>0</v>
      </c>
      <c r="R79" s="710"/>
      <c r="S79" s="732"/>
      <c r="T79" s="748">
        <v>0</v>
      </c>
      <c r="U79" s="710"/>
      <c r="V79" s="732"/>
      <c r="W79" s="748">
        <v>0</v>
      </c>
      <c r="X79" s="710"/>
      <c r="Y79" s="732"/>
      <c r="Z79" s="748">
        <v>0</v>
      </c>
      <c r="AA79" s="710"/>
      <c r="AB79" s="732"/>
      <c r="AC79" s="748">
        <v>0</v>
      </c>
      <c r="AD79" s="710"/>
      <c r="AE79" s="732"/>
      <c r="AF79" s="748">
        <v>0</v>
      </c>
      <c r="AG79" s="710"/>
      <c r="AH79" s="732"/>
      <c r="AI79" s="748">
        <v>0</v>
      </c>
      <c r="AJ79" s="710"/>
      <c r="AK79" s="732"/>
      <c r="AL79" s="748">
        <v>0</v>
      </c>
      <c r="AM79" s="710"/>
      <c r="AN79" s="732"/>
      <c r="AO79" s="748">
        <v>0</v>
      </c>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242"/>
        <v>Véhicules neufsProgramme neuf 3</v>
      </c>
      <c r="B80" s="710" t="s">
        <v>139</v>
      </c>
      <c r="C80" s="710"/>
      <c r="D80" s="732"/>
      <c r="E80" s="733">
        <f t="shared" si="287"/>
        <v>0</v>
      </c>
      <c r="F80" s="710"/>
      <c r="G80" s="732"/>
      <c r="H80" s="748">
        <v>0</v>
      </c>
      <c r="I80" s="710"/>
      <c r="J80" s="732"/>
      <c r="K80" s="748">
        <v>0</v>
      </c>
      <c r="L80" s="710"/>
      <c r="M80" s="732"/>
      <c r="N80" s="748">
        <v>0</v>
      </c>
      <c r="O80" s="710"/>
      <c r="P80" s="732"/>
      <c r="Q80" s="748">
        <v>0</v>
      </c>
      <c r="R80" s="710"/>
      <c r="S80" s="732"/>
      <c r="T80" s="748">
        <v>0</v>
      </c>
      <c r="U80" s="710"/>
      <c r="V80" s="732"/>
      <c r="W80" s="748">
        <v>0</v>
      </c>
      <c r="X80" s="710"/>
      <c r="Y80" s="732"/>
      <c r="Z80" s="748">
        <v>0</v>
      </c>
      <c r="AA80" s="710"/>
      <c r="AB80" s="732"/>
      <c r="AC80" s="748">
        <v>0</v>
      </c>
      <c r="AD80" s="710"/>
      <c r="AE80" s="732"/>
      <c r="AF80" s="748">
        <v>0</v>
      </c>
      <c r="AG80" s="710"/>
      <c r="AH80" s="732"/>
      <c r="AI80" s="748">
        <v>0</v>
      </c>
      <c r="AJ80" s="710"/>
      <c r="AK80" s="732"/>
      <c r="AL80" s="748">
        <v>0</v>
      </c>
      <c r="AM80" s="710"/>
      <c r="AN80" s="732"/>
      <c r="AO80" s="748">
        <v>0</v>
      </c>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242"/>
        <v>Véhicules neufsHoldbacks</v>
      </c>
      <c r="B81" s="710" t="s">
        <v>140</v>
      </c>
      <c r="C81" s="710"/>
      <c r="D81" s="732"/>
      <c r="E81" s="733">
        <f t="shared" si="287"/>
        <v>868219.1549999998</v>
      </c>
      <c r="F81" s="710"/>
      <c r="G81" s="732"/>
      <c r="H81" s="748">
        <v>40795.839813252998</v>
      </c>
      <c r="I81" s="710"/>
      <c r="J81" s="732"/>
      <c r="K81" s="748">
        <v>41841.886987951802</v>
      </c>
      <c r="L81" s="710"/>
      <c r="M81" s="732"/>
      <c r="N81" s="748">
        <v>77407.490927710824</v>
      </c>
      <c r="O81" s="710"/>
      <c r="P81" s="732"/>
      <c r="Q81" s="748">
        <v>85775.868325301184</v>
      </c>
      <c r="R81" s="710"/>
      <c r="S81" s="732"/>
      <c r="T81" s="748">
        <v>100420.52877108431</v>
      </c>
      <c r="U81" s="710"/>
      <c r="V81" s="732"/>
      <c r="W81" s="748">
        <v>77407.490927710824</v>
      </c>
      <c r="X81" s="710"/>
      <c r="Y81" s="732"/>
      <c r="Z81" s="748">
        <v>88914.009849397567</v>
      </c>
      <c r="AA81" s="710"/>
      <c r="AB81" s="732"/>
      <c r="AC81" s="748">
        <v>85775.868325301184</v>
      </c>
      <c r="AD81" s="710"/>
      <c r="AE81" s="732"/>
      <c r="AF81" s="748">
        <v>75315.39657831323</v>
      </c>
      <c r="AG81" s="710"/>
      <c r="AH81" s="732"/>
      <c r="AI81" s="748">
        <v>80545.632451807207</v>
      </c>
      <c r="AJ81" s="710"/>
      <c r="AK81" s="732"/>
      <c r="AL81" s="748">
        <v>72177.255054216846</v>
      </c>
      <c r="AM81" s="710"/>
      <c r="AN81" s="732"/>
      <c r="AO81" s="748">
        <v>41841.886987951802</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242"/>
        <v>Véhicules neufs[...]</v>
      </c>
      <c r="B82" s="710" t="s">
        <v>42</v>
      </c>
      <c r="C82" s="710"/>
      <c r="D82" s="732"/>
      <c r="E82" s="733">
        <f t="shared" si="287"/>
        <v>0</v>
      </c>
      <c r="F82" s="710"/>
      <c r="G82" s="732"/>
      <c r="H82" s="748">
        <v>0</v>
      </c>
      <c r="I82" s="710"/>
      <c r="J82" s="732"/>
      <c r="K82" s="748">
        <v>0</v>
      </c>
      <c r="L82" s="710"/>
      <c r="M82" s="732"/>
      <c r="N82" s="748">
        <v>0</v>
      </c>
      <c r="O82" s="710"/>
      <c r="P82" s="732"/>
      <c r="Q82" s="748">
        <v>0</v>
      </c>
      <c r="R82" s="710"/>
      <c r="S82" s="732"/>
      <c r="T82" s="748">
        <v>0</v>
      </c>
      <c r="U82" s="710"/>
      <c r="V82" s="732"/>
      <c r="W82" s="748">
        <v>0</v>
      </c>
      <c r="X82" s="710"/>
      <c r="Y82" s="732"/>
      <c r="Z82" s="748">
        <v>0</v>
      </c>
      <c r="AA82" s="710"/>
      <c r="AB82" s="732"/>
      <c r="AC82" s="748">
        <v>0</v>
      </c>
      <c r="AD82" s="710"/>
      <c r="AE82" s="732"/>
      <c r="AF82" s="748">
        <v>0</v>
      </c>
      <c r="AG82" s="710"/>
      <c r="AH82" s="732"/>
      <c r="AI82" s="748">
        <v>0</v>
      </c>
      <c r="AJ82" s="710"/>
      <c r="AK82" s="732"/>
      <c r="AL82" s="748">
        <v>0</v>
      </c>
      <c r="AM82" s="710"/>
      <c r="AN82" s="732"/>
      <c r="AO82" s="748">
        <v>0</v>
      </c>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242"/>
        <v>Véhicules neufs[...]</v>
      </c>
      <c r="B83" s="710" t="s">
        <v>42</v>
      </c>
      <c r="C83" s="710"/>
      <c r="D83" s="732"/>
      <c r="E83" s="733">
        <f t="shared" si="287"/>
        <v>0</v>
      </c>
      <c r="F83" s="710"/>
      <c r="G83" s="732"/>
      <c r="H83" s="748">
        <v>0</v>
      </c>
      <c r="I83" s="710"/>
      <c r="J83" s="732"/>
      <c r="K83" s="748">
        <v>0</v>
      </c>
      <c r="L83" s="710"/>
      <c r="M83" s="732"/>
      <c r="N83" s="748">
        <v>0</v>
      </c>
      <c r="O83" s="710"/>
      <c r="P83" s="732"/>
      <c r="Q83" s="748">
        <v>0</v>
      </c>
      <c r="R83" s="710"/>
      <c r="S83" s="732"/>
      <c r="T83" s="748">
        <v>0</v>
      </c>
      <c r="U83" s="710"/>
      <c r="V83" s="732"/>
      <c r="W83" s="748">
        <v>0</v>
      </c>
      <c r="X83" s="710"/>
      <c r="Y83" s="732"/>
      <c r="Z83" s="748">
        <v>0</v>
      </c>
      <c r="AA83" s="710"/>
      <c r="AB83" s="732"/>
      <c r="AC83" s="748">
        <v>0</v>
      </c>
      <c r="AD83" s="710"/>
      <c r="AE83" s="732"/>
      <c r="AF83" s="748">
        <v>0</v>
      </c>
      <c r="AG83" s="710"/>
      <c r="AH83" s="732"/>
      <c r="AI83" s="748">
        <v>0</v>
      </c>
      <c r="AJ83" s="710"/>
      <c r="AK83" s="732"/>
      <c r="AL83" s="748">
        <v>0</v>
      </c>
      <c r="AM83" s="710"/>
      <c r="AN83" s="732"/>
      <c r="AO83" s="748">
        <v>0</v>
      </c>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242"/>
        <v>Véhicules neufs[...]</v>
      </c>
      <c r="B84" s="710" t="s">
        <v>42</v>
      </c>
      <c r="C84" s="710"/>
      <c r="D84" s="732"/>
      <c r="E84" s="733">
        <f t="shared" si="287"/>
        <v>0</v>
      </c>
      <c r="F84" s="710"/>
      <c r="G84" s="732"/>
      <c r="H84" s="748">
        <v>0</v>
      </c>
      <c r="I84" s="710"/>
      <c r="J84" s="732"/>
      <c r="K84" s="748">
        <v>0</v>
      </c>
      <c r="L84" s="710"/>
      <c r="M84" s="732"/>
      <c r="N84" s="748">
        <v>0</v>
      </c>
      <c r="O84" s="710"/>
      <c r="P84" s="732"/>
      <c r="Q84" s="748">
        <v>0</v>
      </c>
      <c r="R84" s="710"/>
      <c r="S84" s="732"/>
      <c r="T84" s="748">
        <v>0</v>
      </c>
      <c r="U84" s="710"/>
      <c r="V84" s="732"/>
      <c r="W84" s="748">
        <v>0</v>
      </c>
      <c r="X84" s="710"/>
      <c r="Y84" s="732"/>
      <c r="Z84" s="748">
        <v>0</v>
      </c>
      <c r="AA84" s="710"/>
      <c r="AB84" s="732"/>
      <c r="AC84" s="748">
        <v>0</v>
      </c>
      <c r="AD84" s="710"/>
      <c r="AE84" s="732"/>
      <c r="AF84" s="748">
        <v>0</v>
      </c>
      <c r="AG84" s="710"/>
      <c r="AH84" s="732"/>
      <c r="AI84" s="748">
        <v>0</v>
      </c>
      <c r="AJ84" s="710"/>
      <c r="AK84" s="732"/>
      <c r="AL84" s="748">
        <v>0</v>
      </c>
      <c r="AM84" s="710"/>
      <c r="AN84" s="732"/>
      <c r="AO84" s="748">
        <v>0</v>
      </c>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242"/>
        <v>Véhicules neufsFrais administration</v>
      </c>
      <c r="B85" s="710" t="s">
        <v>141</v>
      </c>
      <c r="C85" s="710"/>
      <c r="D85" s="732"/>
      <c r="E85" s="733">
        <f t="shared" si="287"/>
        <v>298053.00000000006</v>
      </c>
      <c r="F85" s="710"/>
      <c r="G85" s="732"/>
      <c r="H85" s="748">
        <v>13802.419518072289</v>
      </c>
      <c r="I85" s="710"/>
      <c r="J85" s="732"/>
      <c r="K85" s="748">
        <v>14374.239215268155</v>
      </c>
      <c r="L85" s="710"/>
      <c r="M85" s="732"/>
      <c r="N85" s="748">
        <v>26592.342548246081</v>
      </c>
      <c r="O85" s="710"/>
      <c r="P85" s="732"/>
      <c r="Q85" s="748">
        <v>29467.190391299711</v>
      </c>
      <c r="R85" s="710"/>
      <c r="S85" s="732"/>
      <c r="T85" s="748">
        <v>34498.174116643568</v>
      </c>
      <c r="U85" s="710"/>
      <c r="V85" s="732"/>
      <c r="W85" s="748">
        <v>26592.342548246081</v>
      </c>
      <c r="X85" s="710"/>
      <c r="Y85" s="732"/>
      <c r="Z85" s="748">
        <v>30545.258332444828</v>
      </c>
      <c r="AA85" s="710"/>
      <c r="AB85" s="732"/>
      <c r="AC85" s="748">
        <v>29467.190391299711</v>
      </c>
      <c r="AD85" s="710"/>
      <c r="AE85" s="732"/>
      <c r="AF85" s="748">
        <v>25873.630587482676</v>
      </c>
      <c r="AG85" s="710"/>
      <c r="AH85" s="732"/>
      <c r="AI85" s="748">
        <v>27670.410489391194</v>
      </c>
      <c r="AJ85" s="710"/>
      <c r="AK85" s="732"/>
      <c r="AL85" s="748">
        <v>24795.562646337559</v>
      </c>
      <c r="AM85" s="710"/>
      <c r="AN85" s="732"/>
      <c r="AO85" s="748">
        <v>14374.239215268155</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242"/>
        <v>Véhicules neufsAUTRES REVENUS</v>
      </c>
      <c r="B86" s="770" t="s">
        <v>142</v>
      </c>
      <c r="C86" s="771"/>
      <c r="D86" s="772"/>
      <c r="E86" s="773">
        <f>+SUM(E78:E85)</f>
        <v>1232755.1549999998</v>
      </c>
      <c r="F86" s="771"/>
      <c r="G86" s="772"/>
      <c r="H86" s="773">
        <f>+SUM(H78:H85)</f>
        <v>54598.259331325287</v>
      </c>
      <c r="I86" s="771"/>
      <c r="J86" s="772"/>
      <c r="K86" s="773">
        <f t="shared" ref="K86" si="288">+SUM(K78:K85)</f>
        <v>56216.126203219959</v>
      </c>
      <c r="L86" s="771"/>
      <c r="M86" s="772"/>
      <c r="N86" s="773">
        <f t="shared" ref="N86" si="289">+SUM(N78:N85)</f>
        <v>116255.13347595691</v>
      </c>
      <c r="O86" s="771"/>
      <c r="P86" s="772"/>
      <c r="Q86" s="773">
        <f t="shared" ref="Q86" si="290">+SUM(Q78:Q85)</f>
        <v>115243.05871660089</v>
      </c>
      <c r="R86" s="771"/>
      <c r="S86" s="772"/>
      <c r="T86" s="773">
        <f t="shared" ref="T86" si="291">+SUM(T78:T85)</f>
        <v>134918.70288772788</v>
      </c>
      <c r="U86" s="771"/>
      <c r="V86" s="772"/>
      <c r="W86" s="773">
        <f t="shared" ref="W86" si="292">+SUM(W78:W85)</f>
        <v>124185.03347595691</v>
      </c>
      <c r="X86" s="771"/>
      <c r="Y86" s="772"/>
      <c r="Z86" s="773">
        <f t="shared" ref="Z86" si="293">+SUM(Z78:Z85)</f>
        <v>119459.2681818424</v>
      </c>
      <c r="AA86" s="771"/>
      <c r="AB86" s="772"/>
      <c r="AC86" s="773">
        <f t="shared" ref="AC86" si="294">+SUM(AC78:AC85)</f>
        <v>115243.05871660089</v>
      </c>
      <c r="AD86" s="771"/>
      <c r="AE86" s="772"/>
      <c r="AF86" s="773">
        <f t="shared" ref="AF86" si="295">+SUM(AF78:AF85)</f>
        <v>120332.9271657959</v>
      </c>
      <c r="AG86" s="771"/>
      <c r="AH86" s="772"/>
      <c r="AI86" s="773">
        <f t="shared" ref="AI86" si="296">+SUM(AI78:AI85)</f>
        <v>108216.04294119839</v>
      </c>
      <c r="AJ86" s="771"/>
      <c r="AK86" s="772"/>
      <c r="AL86" s="773">
        <f t="shared" ref="AL86" si="297">+SUM(AL78:AL85)</f>
        <v>96972.817700554413</v>
      </c>
      <c r="AM86" s="771"/>
      <c r="AN86" s="772"/>
      <c r="AO86" s="773">
        <f t="shared" ref="AO86" si="298">+SUM(AO78:AO85)</f>
        <v>71114.726203219951</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242"/>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242"/>
        <v>Véhicules neufsPROFIT DÉPARTEMENTAL</v>
      </c>
      <c r="B88" s="777" t="s">
        <v>143</v>
      </c>
      <c r="C88" s="778"/>
      <c r="D88" s="779"/>
      <c r="E88" s="780">
        <f>E30-E77+E86</f>
        <v>1308725.1361137349</v>
      </c>
      <c r="F88" s="778"/>
      <c r="G88" s="779"/>
      <c r="H88" s="780">
        <f>H30-H77+H86</f>
        <v>20274.483525177959</v>
      </c>
      <c r="I88" s="778"/>
      <c r="J88" s="779"/>
      <c r="K88" s="780">
        <f t="shared" ref="K88" si="299">K30-K77+K86</f>
        <v>25685.508060689026</v>
      </c>
      <c r="L88" s="778"/>
      <c r="M88" s="779"/>
      <c r="N88" s="780">
        <f t="shared" ref="N88" si="300">N30-N77+N86</f>
        <v>129334.03666562287</v>
      </c>
      <c r="O88" s="778"/>
      <c r="P88" s="779"/>
      <c r="Q88" s="780">
        <f t="shared" ref="Q88" si="301">Q30-Q77+Q86</f>
        <v>141101.08891951811</v>
      </c>
      <c r="R88" s="778"/>
      <c r="S88" s="779"/>
      <c r="T88" s="780">
        <f t="shared" ref="T88" si="302">T30-T77+T86</f>
        <v>178230.62870057253</v>
      </c>
      <c r="U88" s="778"/>
      <c r="V88" s="779"/>
      <c r="W88" s="780">
        <f t="shared" ref="W88" si="303">W30-W77+W86</f>
        <v>139316.36130401128</v>
      </c>
      <c r="X88" s="778"/>
      <c r="Y88" s="779"/>
      <c r="Z88" s="780">
        <f t="shared" ref="Z88" si="304">Z30-Z77+Z86</f>
        <v>148444.20399204947</v>
      </c>
      <c r="AA88" s="778"/>
      <c r="AB88" s="779"/>
      <c r="AC88" s="780">
        <f t="shared" ref="AC88" si="305">AC30-AC77+AC86</f>
        <v>136951.8207585694</v>
      </c>
      <c r="AD88" s="778"/>
      <c r="AE88" s="779"/>
      <c r="AF88" s="780">
        <f t="shared" ref="AF88" si="306">AF30-AF77+AF86</f>
        <v>128720.53376788739</v>
      </c>
      <c r="AG88" s="778"/>
      <c r="AH88" s="779"/>
      <c r="AI88" s="780">
        <f t="shared" ref="AI88" si="307">AI30-AI77+AI86</f>
        <v>124624.8141143136</v>
      </c>
      <c r="AJ88" s="778"/>
      <c r="AK88" s="779"/>
      <c r="AL88" s="780">
        <f t="shared" ref="AL88" si="308">AL30-AL77+AL86</f>
        <v>100007.12841745003</v>
      </c>
      <c r="AM88" s="778"/>
      <c r="AN88" s="779"/>
      <c r="AO88" s="780">
        <f t="shared" ref="AO88" si="309">AO30-AO77+AO86</f>
        <v>36034.527887873104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 xml:space="preserve">Budget 2022  </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1932</v>
      </c>
      <c r="C94" s="1271">
        <v>2022</v>
      </c>
      <c r="D94" s="1272"/>
      <c r="E94" s="1273"/>
      <c r="F94" s="1024" t="s">
        <v>1933</v>
      </c>
      <c r="G94" s="1025"/>
      <c r="H94" s="1026"/>
      <c r="I94" s="1024" t="s">
        <v>1934</v>
      </c>
      <c r="J94" s="1025"/>
      <c r="K94" s="1026"/>
      <c r="L94" s="1024" t="s">
        <v>1935</v>
      </c>
      <c r="M94" s="1025"/>
      <c r="N94" s="1026"/>
      <c r="O94" s="1024" t="s">
        <v>1936</v>
      </c>
      <c r="P94" s="1025"/>
      <c r="Q94" s="1026"/>
      <c r="R94" s="1024" t="s">
        <v>1937</v>
      </c>
      <c r="S94" s="1025"/>
      <c r="T94" s="1026"/>
      <c r="U94" s="1024" t="s">
        <v>1916</v>
      </c>
      <c r="V94" s="1025"/>
      <c r="W94" s="1026"/>
      <c r="X94" s="1024" t="s">
        <v>1938</v>
      </c>
      <c r="Y94" s="1025"/>
      <c r="Z94" s="1026"/>
      <c r="AA94" s="1024" t="s">
        <v>1939</v>
      </c>
      <c r="AB94" s="1025"/>
      <c r="AC94" s="1026"/>
      <c r="AD94" s="1024" t="s">
        <v>3</v>
      </c>
      <c r="AE94" s="1025"/>
      <c r="AF94" s="1026"/>
      <c r="AG94" s="1024" t="s">
        <v>1940</v>
      </c>
      <c r="AH94" s="1025"/>
      <c r="AI94" s="1026"/>
      <c r="AJ94" s="1024" t="s">
        <v>1941</v>
      </c>
      <c r="AK94" s="1025"/>
      <c r="AL94" s="1026"/>
      <c r="AM94" s="1024" t="s">
        <v>1942</v>
      </c>
      <c r="AN94" s="1025"/>
      <c r="AO94" s="1026"/>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14579072.827323647</v>
      </c>
      <c r="F96" s="706"/>
      <c r="G96" s="707"/>
      <c r="H96" s="789">
        <v>849266.37829069817</v>
      </c>
      <c r="I96" s="706"/>
      <c r="J96" s="707"/>
      <c r="K96" s="789">
        <v>884652.47738614376</v>
      </c>
      <c r="L96" s="706"/>
      <c r="M96" s="707"/>
      <c r="N96" s="789">
        <v>1415443.9638178302</v>
      </c>
      <c r="O96" s="706"/>
      <c r="P96" s="707"/>
      <c r="Q96" s="789">
        <v>1380057.8647223846</v>
      </c>
      <c r="R96" s="706"/>
      <c r="S96" s="707"/>
      <c r="T96" s="789">
        <v>1415443.9638178302</v>
      </c>
      <c r="U96" s="706"/>
      <c r="V96" s="707"/>
      <c r="W96" s="789">
        <v>1486216.1620087216</v>
      </c>
      <c r="X96" s="706"/>
      <c r="Y96" s="707"/>
      <c r="Z96" s="789">
        <v>1415443.9638178302</v>
      </c>
      <c r="AA96" s="706"/>
      <c r="AB96" s="707"/>
      <c r="AC96" s="789">
        <v>1309285.666531493</v>
      </c>
      <c r="AD96" s="706"/>
      <c r="AE96" s="707"/>
      <c r="AF96" s="789">
        <v>1096969.0719588182</v>
      </c>
      <c r="AG96" s="706"/>
      <c r="AH96" s="707"/>
      <c r="AI96" s="789">
        <v>1273899.5674360471</v>
      </c>
      <c r="AJ96" s="706"/>
      <c r="AK96" s="707"/>
      <c r="AL96" s="789">
        <v>1096969.0719588182</v>
      </c>
      <c r="AM96" s="706"/>
      <c r="AN96" s="707"/>
      <c r="AO96" s="789">
        <v>955424.67557703529</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310">+$C$92&amp;B97</f>
        <v>Véhicules usagésCertifié</v>
      </c>
      <c r="B97" s="710" t="s">
        <v>146</v>
      </c>
      <c r="C97" s="711">
        <f>+SUM(F97,I97,L97,O97,R97,U97,X97,AA97,AD97,AG97,AJ97,AM97)</f>
        <v>445</v>
      </c>
      <c r="D97" s="712">
        <f>IF(C97=0,0,E97/C97)</f>
        <v>1299.9999999999998</v>
      </c>
      <c r="E97" s="713">
        <f>+SUM(H97,K97,N97,Q97,T97,W97,Z97,AC97,AF97,AI97,AL97,AO97)</f>
        <v>578499.99999999988</v>
      </c>
      <c r="F97" s="714">
        <v>25.922330097087379</v>
      </c>
      <c r="G97" s="712">
        <f>IF(F97=0,0,H97/F97)</f>
        <v>1300</v>
      </c>
      <c r="H97" s="715">
        <v>33699.029126213594</v>
      </c>
      <c r="I97" s="714">
        <v>27.002427184466018</v>
      </c>
      <c r="J97" s="712">
        <f t="shared" ref="J97:J98" si="311">IF(I97=0,0,K97/I97)</f>
        <v>1300</v>
      </c>
      <c r="K97" s="715">
        <v>35103.155339805824</v>
      </c>
      <c r="L97" s="714">
        <v>43.203883495145632</v>
      </c>
      <c r="M97" s="712">
        <f t="shared" ref="M97:M98" si="312">IF(L97=0,0,N97/L97)</f>
        <v>1300</v>
      </c>
      <c r="N97" s="715">
        <v>56165.048543689321</v>
      </c>
      <c r="O97" s="714">
        <v>42.123786407766993</v>
      </c>
      <c r="P97" s="712">
        <f t="shared" ref="P97:P98" si="313">IF(O97=0,0,Q97/O97)</f>
        <v>1300</v>
      </c>
      <c r="Q97" s="715">
        <v>54760.922330097092</v>
      </c>
      <c r="R97" s="714">
        <v>43.203883495145632</v>
      </c>
      <c r="S97" s="712">
        <f t="shared" ref="S97:S98" si="314">IF(R97=0,0,T97/R97)</f>
        <v>1300</v>
      </c>
      <c r="T97" s="715">
        <v>56165.048543689321</v>
      </c>
      <c r="U97" s="714">
        <v>45.364077669902912</v>
      </c>
      <c r="V97" s="712">
        <f t="shared" ref="V97:V98" si="315">IF(U97=0,0,W97/U97)</f>
        <v>1300</v>
      </c>
      <c r="W97" s="715">
        <v>58973.300970873788</v>
      </c>
      <c r="X97" s="714">
        <v>43.203883495145632</v>
      </c>
      <c r="Y97" s="712">
        <f t="shared" ref="Y97:Y98" si="316">IF(X97=0,0,Z97/X97)</f>
        <v>1300</v>
      </c>
      <c r="Z97" s="715">
        <v>56165.048543689321</v>
      </c>
      <c r="AA97" s="714">
        <v>39.963592233009706</v>
      </c>
      <c r="AB97" s="712">
        <f t="shared" ref="AB97:AB98" si="317">IF(AA97=0,0,AC97/AA97)</f>
        <v>1300</v>
      </c>
      <c r="AC97" s="715">
        <v>51952.669902912618</v>
      </c>
      <c r="AD97" s="714">
        <v>33.48300970873786</v>
      </c>
      <c r="AE97" s="712">
        <f t="shared" ref="AE97:AE98" si="318">IF(AD97=0,0,AF97/AD97)</f>
        <v>1300</v>
      </c>
      <c r="AF97" s="715">
        <v>43527.912621359217</v>
      </c>
      <c r="AG97" s="714">
        <v>38.883495145631066</v>
      </c>
      <c r="AH97" s="712">
        <f t="shared" ref="AH97:AH98" si="319">IF(AG97=0,0,AI97/AG97)</f>
        <v>1300</v>
      </c>
      <c r="AI97" s="715">
        <v>50548.543689320388</v>
      </c>
      <c r="AJ97" s="714">
        <v>33.48300970873786</v>
      </c>
      <c r="AK97" s="712">
        <f t="shared" ref="AK97:AK98" si="320">IF(AJ97=0,0,AL97/AJ97)</f>
        <v>1300</v>
      </c>
      <c r="AL97" s="715">
        <v>43527.912621359217</v>
      </c>
      <c r="AM97" s="714">
        <v>29.162621359223301</v>
      </c>
      <c r="AN97" s="712">
        <f t="shared" ref="AN97:AN98" si="321">IF(AM97=0,0,AO97/AM97)</f>
        <v>1300</v>
      </c>
      <c r="AO97" s="715">
        <v>37911.407766990291</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310"/>
        <v>Véhicules usagésNon Certifié</v>
      </c>
      <c r="B98" s="710" t="s">
        <v>147</v>
      </c>
      <c r="C98" s="711">
        <f>+SUM(F98,I98,L98,O98,R98,U98,X98,AA98,AD98,AG98,AJ98,AM98)</f>
        <v>24.999999999999996</v>
      </c>
      <c r="D98" s="712">
        <f>IF(C98=0,0,E98/C98)</f>
        <v>900</v>
      </c>
      <c r="E98" s="713">
        <f>+SUM(H98,K98,N98,Q98,T98,W98,Z98,AC98,AF98,AI98,AL98,AO98)</f>
        <v>22499.999999999996</v>
      </c>
      <c r="F98" s="714">
        <v>1.4563106796116505</v>
      </c>
      <c r="G98" s="712">
        <f>IF(F98=0,0,H98/F98)</f>
        <v>900</v>
      </c>
      <c r="H98" s="715">
        <v>1310.6796116504854</v>
      </c>
      <c r="I98" s="714">
        <v>1.516990291262136</v>
      </c>
      <c r="J98" s="712">
        <f t="shared" si="311"/>
        <v>900</v>
      </c>
      <c r="K98" s="715">
        <v>1365.2912621359224</v>
      </c>
      <c r="L98" s="714">
        <v>2.4271844660194173</v>
      </c>
      <c r="M98" s="712">
        <f t="shared" si="312"/>
        <v>900.00000000000011</v>
      </c>
      <c r="N98" s="715">
        <v>2184.4660194174758</v>
      </c>
      <c r="O98" s="714">
        <v>2.366504854368932</v>
      </c>
      <c r="P98" s="712">
        <f t="shared" si="313"/>
        <v>899.99999999999989</v>
      </c>
      <c r="Q98" s="715">
        <v>2129.8543689320386</v>
      </c>
      <c r="R98" s="714">
        <v>2.4271844660194173</v>
      </c>
      <c r="S98" s="712">
        <f t="shared" si="314"/>
        <v>900.00000000000011</v>
      </c>
      <c r="T98" s="715">
        <v>2184.4660194174758</v>
      </c>
      <c r="U98" s="714">
        <v>2.5485436893203883</v>
      </c>
      <c r="V98" s="712">
        <f t="shared" si="315"/>
        <v>900.00000000000011</v>
      </c>
      <c r="W98" s="715">
        <v>2293.6893203883496</v>
      </c>
      <c r="X98" s="714">
        <v>2.4271844660194173</v>
      </c>
      <c r="Y98" s="712">
        <f t="shared" si="316"/>
        <v>900.00000000000011</v>
      </c>
      <c r="Z98" s="715">
        <v>2184.4660194174758</v>
      </c>
      <c r="AA98" s="714">
        <v>2.2451456310679614</v>
      </c>
      <c r="AB98" s="712">
        <f t="shared" si="317"/>
        <v>900</v>
      </c>
      <c r="AC98" s="715">
        <v>2020.6310679611652</v>
      </c>
      <c r="AD98" s="714">
        <v>1.8810679611650485</v>
      </c>
      <c r="AE98" s="712">
        <f t="shared" si="318"/>
        <v>900</v>
      </c>
      <c r="AF98" s="715">
        <v>1692.9611650485435</v>
      </c>
      <c r="AG98" s="714">
        <v>2.1844660194174756</v>
      </c>
      <c r="AH98" s="712">
        <f t="shared" si="319"/>
        <v>900</v>
      </c>
      <c r="AI98" s="715">
        <v>1966.019417475728</v>
      </c>
      <c r="AJ98" s="714">
        <v>1.8810679611650485</v>
      </c>
      <c r="AK98" s="712">
        <f t="shared" si="320"/>
        <v>900</v>
      </c>
      <c r="AL98" s="715">
        <v>1692.9611650485435</v>
      </c>
      <c r="AM98" s="714">
        <v>1.6383495145631068</v>
      </c>
      <c r="AN98" s="712">
        <f t="shared" si="321"/>
        <v>900</v>
      </c>
      <c r="AO98" s="715">
        <v>1474.5145631067962</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310"/>
        <v>Véhicules usagésTotal Usagés</v>
      </c>
      <c r="B99" s="716" t="s">
        <v>148</v>
      </c>
      <c r="C99" s="717">
        <f>+C97+C98</f>
        <v>470</v>
      </c>
      <c r="D99" s="718">
        <f>IF(C99&lt;=0,0,E99/C99)</f>
        <v>1278.7234042553189</v>
      </c>
      <c r="E99" s="719">
        <f>+E97+E98</f>
        <v>600999.99999999988</v>
      </c>
      <c r="F99" s="717">
        <f>+F97+F98</f>
        <v>27.378640776699029</v>
      </c>
      <c r="G99" s="718">
        <f>IF(F99&lt;=0,0,H99/F99)</f>
        <v>1278.7234042553191</v>
      </c>
      <c r="H99" s="719">
        <f>+H97+H98</f>
        <v>35009.708737864079</v>
      </c>
      <c r="I99" s="717">
        <f t="shared" ref="I99" si="322">+I97+I98</f>
        <v>28.519417475728154</v>
      </c>
      <c r="J99" s="718">
        <f t="shared" ref="J99" si="323">IF(I99&lt;=0,0,K99/I99)</f>
        <v>1278.7234042553191</v>
      </c>
      <c r="K99" s="719">
        <f t="shared" ref="K99:L99" si="324">+K97+K98</f>
        <v>36468.446601941745</v>
      </c>
      <c r="L99" s="717">
        <f t="shared" si="324"/>
        <v>45.631067961165051</v>
      </c>
      <c r="M99" s="718">
        <f t="shared" ref="M99" si="325">IF(L99&lt;=0,0,N99/L99)</f>
        <v>1278.7234042553191</v>
      </c>
      <c r="N99" s="719">
        <f t="shared" ref="N99:O99" si="326">+N97+N98</f>
        <v>58349.514563106801</v>
      </c>
      <c r="O99" s="717">
        <f t="shared" si="326"/>
        <v>44.490291262135926</v>
      </c>
      <c r="P99" s="718">
        <f t="shared" ref="P99" si="327">IF(O99&lt;=0,0,Q99/O99)</f>
        <v>1278.7234042553191</v>
      </c>
      <c r="Q99" s="719">
        <f t="shared" ref="Q99:R99" si="328">+Q97+Q98</f>
        <v>56890.776699029127</v>
      </c>
      <c r="R99" s="717">
        <f t="shared" si="328"/>
        <v>45.631067961165051</v>
      </c>
      <c r="S99" s="718">
        <f t="shared" ref="S99" si="329">IF(R99&lt;=0,0,T99/R99)</f>
        <v>1278.7234042553191</v>
      </c>
      <c r="T99" s="719">
        <f t="shared" ref="T99:U99" si="330">+T97+T98</f>
        <v>58349.514563106801</v>
      </c>
      <c r="U99" s="717">
        <f t="shared" si="330"/>
        <v>47.912621359223301</v>
      </c>
      <c r="V99" s="718">
        <f t="shared" ref="V99" si="331">IF(U99&lt;=0,0,W99/U99)</f>
        <v>1278.7234042553191</v>
      </c>
      <c r="W99" s="719">
        <f t="shared" ref="W99:X99" si="332">+W97+W98</f>
        <v>61266.99029126214</v>
      </c>
      <c r="X99" s="717">
        <f t="shared" si="332"/>
        <v>45.631067961165051</v>
      </c>
      <c r="Y99" s="718">
        <f t="shared" ref="Y99" si="333">IF(X99&lt;=0,0,Z99/X99)</f>
        <v>1278.7234042553191</v>
      </c>
      <c r="Z99" s="719">
        <f t="shared" ref="Z99:AA99" si="334">+Z97+Z98</f>
        <v>58349.514563106801</v>
      </c>
      <c r="AA99" s="717">
        <f t="shared" si="334"/>
        <v>42.208737864077669</v>
      </c>
      <c r="AB99" s="718">
        <f t="shared" ref="AB99" si="335">IF(AA99&lt;=0,0,AC99/AA99)</f>
        <v>1278.7234042553191</v>
      </c>
      <c r="AC99" s="719">
        <f t="shared" ref="AC99:AD99" si="336">+AC97+AC98</f>
        <v>53973.300970873781</v>
      </c>
      <c r="AD99" s="717">
        <f t="shared" si="336"/>
        <v>35.364077669902912</v>
      </c>
      <c r="AE99" s="718">
        <f t="shared" ref="AE99" si="337">IF(AD99&lt;=0,0,AF99/AD99)</f>
        <v>1278.7234042553191</v>
      </c>
      <c r="AF99" s="719">
        <f t="shared" ref="AF99:AG99" si="338">+AF97+AF98</f>
        <v>45220.873786407763</v>
      </c>
      <c r="AG99" s="717">
        <f t="shared" si="338"/>
        <v>41.067961165048544</v>
      </c>
      <c r="AH99" s="718">
        <f t="shared" ref="AH99" si="339">IF(AG99&lt;=0,0,AI99/AG99)</f>
        <v>1278.7234042553191</v>
      </c>
      <c r="AI99" s="719">
        <f t="shared" ref="AI99:AJ99" si="340">+AI97+AI98</f>
        <v>52514.563106796115</v>
      </c>
      <c r="AJ99" s="717">
        <f t="shared" si="340"/>
        <v>35.364077669902912</v>
      </c>
      <c r="AK99" s="718">
        <f t="shared" ref="AK99" si="341">IF(AJ99&lt;=0,0,AL99/AJ99)</f>
        <v>1278.7234042553191</v>
      </c>
      <c r="AL99" s="719">
        <f t="shared" ref="AL99:AM99" si="342">+AL97+AL98</f>
        <v>45220.873786407763</v>
      </c>
      <c r="AM99" s="717">
        <f t="shared" si="342"/>
        <v>30.800970873786408</v>
      </c>
      <c r="AN99" s="718">
        <f t="shared" ref="AN99" si="343">IF(AM99&lt;=0,0,AO99/AM99)</f>
        <v>1278.7234042553191</v>
      </c>
      <c r="AO99" s="719">
        <f t="shared" ref="AO99" si="344">+AO97+AO98</f>
        <v>39385.922330097084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310"/>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310"/>
        <v>Véhicules usagés</v>
      </c>
      <c r="B101" s="710"/>
      <c r="C101" s="710"/>
      <c r="D101" s="732"/>
      <c r="E101" s="720"/>
      <c r="F101" s="710">
        <v>0</v>
      </c>
      <c r="G101" s="732"/>
      <c r="H101" s="720">
        <v>0</v>
      </c>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310"/>
        <v>Véhicules usagésVentes au Gros</v>
      </c>
      <c r="B102" s="710" t="s">
        <v>150</v>
      </c>
      <c r="C102" s="711">
        <f>+SUM(F102,I102,L102,O102,R102,U102,X102,AA102,AD102,AG102,AJ102,AM102)</f>
        <v>408.99067004492514</v>
      </c>
      <c r="D102" s="712">
        <f>IF(C102=0,0,E102/C102)</f>
        <v>212.00000000000003</v>
      </c>
      <c r="E102" s="713">
        <f>+SUM(H102,K102,N102,Q102,T102,W102,Z102,AC102,AF102,AI102,AL102,AO102)</f>
        <v>86706.022049524137</v>
      </c>
      <c r="F102" s="714">
        <v>23.824699225917971</v>
      </c>
      <c r="G102" s="712">
        <f>IF(F102=0,0,H102/F102)</f>
        <v>212</v>
      </c>
      <c r="H102" s="715">
        <v>5050.8362358946097</v>
      </c>
      <c r="I102" s="714">
        <v>24.817395026997886</v>
      </c>
      <c r="J102" s="712">
        <f t="shared" ref="J102" si="345">IF(I102=0,0,K102/I102)</f>
        <v>212</v>
      </c>
      <c r="K102" s="715">
        <v>5261.2877457235518</v>
      </c>
      <c r="L102" s="714">
        <v>39.707832043196618</v>
      </c>
      <c r="M102" s="712">
        <f t="shared" ref="M102" si="346">IF(L102=0,0,N102/L102)</f>
        <v>212</v>
      </c>
      <c r="N102" s="715">
        <v>8418.0603931576825</v>
      </c>
      <c r="O102" s="714">
        <v>38.715136242116699</v>
      </c>
      <c r="P102" s="712">
        <f t="shared" ref="P102" si="347">IF(O102=0,0,Q102/O102)</f>
        <v>211.99999999999997</v>
      </c>
      <c r="Q102" s="715">
        <v>8207.6088833287395</v>
      </c>
      <c r="R102" s="714">
        <v>39.707832043196618</v>
      </c>
      <c r="S102" s="712">
        <f t="shared" ref="S102" si="348">IF(R102=0,0,T102/R102)</f>
        <v>212</v>
      </c>
      <c r="T102" s="715">
        <v>8418.0603931576825</v>
      </c>
      <c r="U102" s="714">
        <v>41.693223645356447</v>
      </c>
      <c r="V102" s="712">
        <f t="shared" ref="V102" si="349">IF(U102=0,0,W102/U102)</f>
        <v>212</v>
      </c>
      <c r="W102" s="715">
        <v>8838.9634128155667</v>
      </c>
      <c r="X102" s="714">
        <v>39.707832043196618</v>
      </c>
      <c r="Y102" s="712">
        <f t="shared" ref="Y102" si="350">IF(X102=0,0,Z102/X102)</f>
        <v>212</v>
      </c>
      <c r="Z102" s="715">
        <v>8418.0603931576825</v>
      </c>
      <c r="AA102" s="714">
        <v>36.72974463995687</v>
      </c>
      <c r="AB102" s="712">
        <f t="shared" ref="AB102" si="351">IF(AA102=0,0,AC102/AA102)</f>
        <v>212</v>
      </c>
      <c r="AC102" s="715">
        <v>7786.7058636708562</v>
      </c>
      <c r="AD102" s="714">
        <v>30.773569833477374</v>
      </c>
      <c r="AE102" s="712">
        <f t="shared" ref="AE102" si="352">IF(AD102=0,0,AF102/AD102)</f>
        <v>212</v>
      </c>
      <c r="AF102" s="715">
        <v>6523.9968046972035</v>
      </c>
      <c r="AG102" s="714">
        <v>35.737048838876952</v>
      </c>
      <c r="AH102" s="712">
        <f t="shared" ref="AH102" si="353">IF(AG102=0,0,AI102/AG102)</f>
        <v>212</v>
      </c>
      <c r="AI102" s="715">
        <v>7576.2543538419141</v>
      </c>
      <c r="AJ102" s="714">
        <v>30.773569833477374</v>
      </c>
      <c r="AK102" s="712">
        <f t="shared" ref="AK102" si="354">IF(AJ102=0,0,AL102/AJ102)</f>
        <v>212</v>
      </c>
      <c r="AL102" s="715">
        <v>6523.9968046972035</v>
      </c>
      <c r="AM102" s="714">
        <v>26.802786629157715</v>
      </c>
      <c r="AN102" s="712">
        <f t="shared" ref="AN102" si="355">IF(AM102=0,0,AO102/AM102)</f>
        <v>212</v>
      </c>
      <c r="AO102" s="715">
        <v>5682.190765381436</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310"/>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310"/>
        <v>Véhicules usagésRev. Finances</v>
      </c>
      <c r="B104" s="710" t="s">
        <v>97</v>
      </c>
      <c r="C104" s="711"/>
      <c r="D104" s="712">
        <f>IF(C99=0,0,E104/C99)</f>
        <v>658.96091208760902</v>
      </c>
      <c r="E104" s="713">
        <f>+SUM(H104,K104,N104,Q104,T104,W104,Z104,AC104,AF104,AI104,AL104,AO104)</f>
        <v>309711.62868117623</v>
      </c>
      <c r="F104" s="714"/>
      <c r="G104" s="712">
        <f>IF(F99=0,0,H104/F99)</f>
        <v>658.9609120876089</v>
      </c>
      <c r="H104" s="715">
        <v>18041.454097932594</v>
      </c>
      <c r="I104" s="714"/>
      <c r="J104" s="712">
        <f t="shared" ref="J104" si="356">IF(I99=0,0,K104/I99)</f>
        <v>658.9609120876089</v>
      </c>
      <c r="K104" s="715">
        <v>18793.181352013118</v>
      </c>
      <c r="L104" s="714"/>
      <c r="M104" s="712">
        <f t="shared" ref="M104" si="357">IF(L99=0,0,N104/L99)</f>
        <v>658.9609120876089</v>
      </c>
      <c r="N104" s="715">
        <v>30069.09016322099</v>
      </c>
      <c r="O104" s="714"/>
      <c r="P104" s="712">
        <f t="shared" ref="P104" si="358">IF(O99=0,0,Q104/O99)</f>
        <v>658.9609120876089</v>
      </c>
      <c r="Q104" s="715">
        <v>29317.362909140465</v>
      </c>
      <c r="R104" s="714"/>
      <c r="S104" s="712">
        <f t="shared" ref="S104" si="359">IF(R99=0,0,T104/R99)</f>
        <v>658.9609120876089</v>
      </c>
      <c r="T104" s="715">
        <v>30069.09016322099</v>
      </c>
      <c r="U104" s="714"/>
      <c r="V104" s="712">
        <f t="shared" ref="V104" si="360">IF(U99=0,0,W104/U99)</f>
        <v>658.9609120876089</v>
      </c>
      <c r="W104" s="715">
        <v>31572.544671382038</v>
      </c>
      <c r="X104" s="714"/>
      <c r="Y104" s="712">
        <f t="shared" ref="Y104" si="361">IF(X99=0,0,Z104/X99)</f>
        <v>658.9609120876089</v>
      </c>
      <c r="Z104" s="715">
        <v>30069.09016322099</v>
      </c>
      <c r="AA104" s="714"/>
      <c r="AB104" s="712">
        <f t="shared" ref="AB104" si="362">IF(AA99=0,0,AC104/AA99)</f>
        <v>658.9609120876089</v>
      </c>
      <c r="AC104" s="715">
        <v>27813.908400979413</v>
      </c>
      <c r="AD104" s="714"/>
      <c r="AE104" s="712">
        <f t="shared" ref="AE104" si="363">IF(AD99=0,0,AF104/AD99)</f>
        <v>658.9609120876089</v>
      </c>
      <c r="AF104" s="715">
        <v>23303.544876496268</v>
      </c>
      <c r="AG104" s="714"/>
      <c r="AH104" s="712">
        <f t="shared" ref="AH104" si="364">IF(AG99=0,0,AI104/AG99)</f>
        <v>658.9609120876089</v>
      </c>
      <c r="AI104" s="715">
        <v>27062.181146898889</v>
      </c>
      <c r="AJ104" s="714"/>
      <c r="AK104" s="712">
        <f t="shared" ref="AK104" si="365">IF(AJ99=0,0,AL104/AJ99)</f>
        <v>658.9609120876089</v>
      </c>
      <c r="AL104" s="715">
        <v>23303.544876496268</v>
      </c>
      <c r="AM104" s="714"/>
      <c r="AN104" s="712">
        <f t="shared" ref="AN104" si="366">IF(AM99=0,0,AO104/AM99)</f>
        <v>658.9609120876089</v>
      </c>
      <c r="AO104" s="715">
        <v>20296.635860174167</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310"/>
        <v>Véhicules usagésRev. Protections</v>
      </c>
      <c r="B105" s="710" t="s">
        <v>98</v>
      </c>
      <c r="C105" s="711"/>
      <c r="D105" s="712">
        <f>IF(C99=0,0,E105/C99)</f>
        <v>1161.8446799257053</v>
      </c>
      <c r="E105" s="713">
        <f>+SUM(H105,K105,N105,Q105,T105,W105,Z105,AC105,AF105,AI105,AL105,AO105)</f>
        <v>546066.99956508155</v>
      </c>
      <c r="F105" s="714"/>
      <c r="G105" s="712">
        <f>IF(F99=0,0,H105/F99)</f>
        <v>1161.8446799257053</v>
      </c>
      <c r="H105" s="715">
        <v>31809.728130004747</v>
      </c>
      <c r="I105" s="714"/>
      <c r="J105" s="712">
        <f t="shared" ref="J105" si="367">IF(I99=0,0,K105/I99)</f>
        <v>1161.8446799257053</v>
      </c>
      <c r="K105" s="715">
        <v>33135.133468754946</v>
      </c>
      <c r="L105" s="714"/>
      <c r="M105" s="712">
        <f t="shared" ref="M105" si="368">IF(L99=0,0,N105/L99)</f>
        <v>1161.8446799257053</v>
      </c>
      <c r="N105" s="715">
        <v>53016.213550007917</v>
      </c>
      <c r="O105" s="714"/>
      <c r="P105" s="712">
        <f t="shared" ref="P105" si="369">IF(O99=0,0,Q105/O99)</f>
        <v>1161.8446799257053</v>
      </c>
      <c r="Q105" s="715">
        <v>51690.808211257718</v>
      </c>
      <c r="R105" s="714"/>
      <c r="S105" s="712">
        <f t="shared" ref="S105" si="370">IF(R99=0,0,T105/R99)</f>
        <v>1161.8446799257053</v>
      </c>
      <c r="T105" s="715">
        <v>53016.213550007917</v>
      </c>
      <c r="U105" s="714"/>
      <c r="V105" s="712">
        <f t="shared" ref="V105" si="371">IF(U99=0,0,W105/U99)</f>
        <v>1161.8446799257053</v>
      </c>
      <c r="W105" s="715">
        <v>55667.024227508307</v>
      </c>
      <c r="X105" s="714"/>
      <c r="Y105" s="712">
        <f t="shared" ref="Y105" si="372">IF(X99=0,0,Z105/X99)</f>
        <v>1161.8446799257053</v>
      </c>
      <c r="Z105" s="715">
        <v>53016.213550007917</v>
      </c>
      <c r="AA105" s="714"/>
      <c r="AB105" s="712">
        <f t="shared" ref="AB105" si="373">IF(AA99=0,0,AC105/AA99)</f>
        <v>1161.8446799257053</v>
      </c>
      <c r="AC105" s="715">
        <v>49039.99753375732</v>
      </c>
      <c r="AD105" s="714"/>
      <c r="AE105" s="712">
        <f t="shared" ref="AE105" si="374">IF(AD99=0,0,AF105/AD99)</f>
        <v>1161.8446799257053</v>
      </c>
      <c r="AF105" s="715">
        <v>41087.565501256133</v>
      </c>
      <c r="AG105" s="714"/>
      <c r="AH105" s="712">
        <f t="shared" ref="AH105" si="375">IF(AG99=0,0,AI105/AG99)</f>
        <v>1161.8446799257053</v>
      </c>
      <c r="AI105" s="715">
        <v>47714.592195007121</v>
      </c>
      <c r="AJ105" s="714"/>
      <c r="AK105" s="712">
        <f t="shared" ref="AK105" si="376">IF(AJ99=0,0,AL105/AJ99)</f>
        <v>1161.8446799257053</v>
      </c>
      <c r="AL105" s="715">
        <v>41087.565501256133</v>
      </c>
      <c r="AM105" s="714"/>
      <c r="AN105" s="712">
        <f t="shared" ref="AN105" si="377">IF(AM99=0,0,AO105/AM99)</f>
        <v>1161.8446799257053</v>
      </c>
      <c r="AO105" s="715">
        <v>35785.944146255344</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310"/>
        <v>Véhicules usagésRev. Autres</v>
      </c>
      <c r="B106" s="710" t="s">
        <v>99</v>
      </c>
      <c r="C106" s="711"/>
      <c r="D106" s="791">
        <f>IF(C99=0,0,E106/C99)</f>
        <v>32.953207547169804</v>
      </c>
      <c r="E106" s="713">
        <f>+SUM(H106,K106,N106,Q106,T106,W106,Z106,AC106,AF106,AI106,AL106,AO106)</f>
        <v>15488.007547169809</v>
      </c>
      <c r="F106" s="714"/>
      <c r="G106" s="791">
        <f>IF(F99=0,0,H106/F99)</f>
        <v>32.953207547169811</v>
      </c>
      <c r="H106" s="715">
        <v>902.21403187396959</v>
      </c>
      <c r="I106" s="714"/>
      <c r="J106" s="791">
        <f t="shared" ref="J106" si="378">IF(I99=0,0,K106/I99)</f>
        <v>32.953207547169811</v>
      </c>
      <c r="K106" s="715">
        <v>939.80628320205165</v>
      </c>
      <c r="L106" s="714"/>
      <c r="M106" s="791">
        <f t="shared" ref="M106" si="379">IF(L99=0,0,N106/L99)</f>
        <v>32.953207547169811</v>
      </c>
      <c r="N106" s="715">
        <v>1503.6900531232827</v>
      </c>
      <c r="O106" s="714"/>
      <c r="P106" s="791">
        <f t="shared" ref="P106" si="380">IF(O99=0,0,Q106/O99)</f>
        <v>32.953207547169811</v>
      </c>
      <c r="Q106" s="715">
        <v>1466.0978017952007</v>
      </c>
      <c r="R106" s="714"/>
      <c r="S106" s="791">
        <f t="shared" ref="S106" si="381">IF(R99=0,0,T106/R99)</f>
        <v>32.953207547169811</v>
      </c>
      <c r="T106" s="715">
        <v>1503.6900531232827</v>
      </c>
      <c r="U106" s="714"/>
      <c r="V106" s="791">
        <f t="shared" ref="V106" si="382">IF(U99=0,0,W106/U99)</f>
        <v>32.953207547169811</v>
      </c>
      <c r="W106" s="715">
        <v>1578.8745557794468</v>
      </c>
      <c r="X106" s="714"/>
      <c r="Y106" s="791">
        <f t="shared" ref="Y106" si="383">IF(X99=0,0,Z106/X99)</f>
        <v>32.953207547169811</v>
      </c>
      <c r="Z106" s="715">
        <v>1503.6900531232827</v>
      </c>
      <c r="AA106" s="714"/>
      <c r="AB106" s="791">
        <f t="shared" ref="AB106" si="384">IF(AA99=0,0,AC106/AA99)</f>
        <v>32.953207547169811</v>
      </c>
      <c r="AC106" s="715">
        <v>1390.9132991390363</v>
      </c>
      <c r="AD106" s="714"/>
      <c r="AE106" s="791">
        <f t="shared" ref="AE106" si="385">IF(AD99=0,0,AF106/AD99)</f>
        <v>32.953207547169811</v>
      </c>
      <c r="AF106" s="715">
        <v>1165.359791170544</v>
      </c>
      <c r="AG106" s="714"/>
      <c r="AH106" s="791">
        <f t="shared" ref="AH106" si="386">IF(AG99=0,0,AI106/AG99)</f>
        <v>32.953207547169811</v>
      </c>
      <c r="AI106" s="715">
        <v>1353.3210478109543</v>
      </c>
      <c r="AJ106" s="714"/>
      <c r="AK106" s="791">
        <f t="shared" ref="AK106" si="387">IF(AJ99=0,0,AL106/AJ99)</f>
        <v>32.953207547169811</v>
      </c>
      <c r="AL106" s="715">
        <v>1165.359791170544</v>
      </c>
      <c r="AM106" s="714"/>
      <c r="AN106" s="791">
        <f t="shared" ref="AN106" si="388">IF(AM99=0,0,AO106/AM99)</f>
        <v>32.953207547169811</v>
      </c>
      <c r="AO106" s="715">
        <v>1014.9907858582158</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310"/>
        <v>Véhicules usagésTotal F&amp;I</v>
      </c>
      <c r="B107" s="716" t="s">
        <v>100</v>
      </c>
      <c r="C107" s="717">
        <f>C99</f>
        <v>470</v>
      </c>
      <c r="D107" s="718">
        <f>IF(C107&lt;=0,0,E107/C107)</f>
        <v>1853.7587995604842</v>
      </c>
      <c r="E107" s="719">
        <f>E104+E105+E106</f>
        <v>871266.63579342759</v>
      </c>
      <c r="F107" s="717">
        <f>F99</f>
        <v>27.378640776699029</v>
      </c>
      <c r="G107" s="718">
        <f>IF(F107&lt;=0,0,H107/F107)</f>
        <v>1853.7587995604842</v>
      </c>
      <c r="H107" s="719">
        <f>H104+H105+H106</f>
        <v>50753.396259811314</v>
      </c>
      <c r="I107" s="717">
        <f t="shared" ref="I107" si="389">I99</f>
        <v>28.519417475728154</v>
      </c>
      <c r="J107" s="718">
        <f t="shared" ref="J107" si="390">IF(I107&lt;=0,0,K107/I107)</f>
        <v>1853.758799560484</v>
      </c>
      <c r="K107" s="719">
        <f t="shared" ref="K107" si="391">K104+K105+K106</f>
        <v>52868.121103970116</v>
      </c>
      <c r="L107" s="717">
        <f t="shared" ref="L107" si="392">L99</f>
        <v>45.631067961165051</v>
      </c>
      <c r="M107" s="718">
        <f t="shared" ref="M107" si="393">IF(L107&lt;=0,0,N107/L107)</f>
        <v>1853.758799560484</v>
      </c>
      <c r="N107" s="719">
        <f t="shared" ref="N107" si="394">N104+N105+N106</f>
        <v>84588.993766352185</v>
      </c>
      <c r="O107" s="717">
        <f t="shared" ref="O107" si="395">O99</f>
        <v>44.490291262135926</v>
      </c>
      <c r="P107" s="718">
        <f t="shared" ref="P107" si="396">IF(O107&lt;=0,0,Q107/O107)</f>
        <v>1853.758799560484</v>
      </c>
      <c r="Q107" s="719">
        <f t="shared" ref="Q107" si="397">Q104+Q105+Q106</f>
        <v>82474.268922193383</v>
      </c>
      <c r="R107" s="717">
        <f t="shared" ref="R107" si="398">R99</f>
        <v>45.631067961165051</v>
      </c>
      <c r="S107" s="718">
        <f t="shared" ref="S107" si="399">IF(R107&lt;=0,0,T107/R107)</f>
        <v>1853.758799560484</v>
      </c>
      <c r="T107" s="719">
        <f t="shared" ref="T107" si="400">T104+T105+T106</f>
        <v>84588.993766352185</v>
      </c>
      <c r="U107" s="717">
        <f t="shared" ref="U107" si="401">U99</f>
        <v>47.912621359223301</v>
      </c>
      <c r="V107" s="718">
        <f t="shared" ref="V107" si="402">IF(U107&lt;=0,0,W107/U107)</f>
        <v>1853.758799560484</v>
      </c>
      <c r="W107" s="719">
        <f t="shared" ref="W107" si="403">W104+W105+W106</f>
        <v>88818.443454669788</v>
      </c>
      <c r="X107" s="717">
        <f t="shared" ref="X107" si="404">X99</f>
        <v>45.631067961165051</v>
      </c>
      <c r="Y107" s="718">
        <f t="shared" ref="Y107" si="405">IF(X107&lt;=0,0,Z107/X107)</f>
        <v>1853.758799560484</v>
      </c>
      <c r="Z107" s="719">
        <f t="shared" ref="Z107" si="406">Z104+Z105+Z106</f>
        <v>84588.993766352185</v>
      </c>
      <c r="AA107" s="717">
        <f t="shared" ref="AA107" si="407">AA99</f>
        <v>42.208737864077669</v>
      </c>
      <c r="AB107" s="718">
        <f t="shared" ref="AB107" si="408">IF(AA107&lt;=0,0,AC107/AA107)</f>
        <v>1853.758799560484</v>
      </c>
      <c r="AC107" s="719">
        <f t="shared" ref="AC107" si="409">AC104+AC105+AC106</f>
        <v>78244.819233875765</v>
      </c>
      <c r="AD107" s="717">
        <f t="shared" ref="AD107" si="410">AD99</f>
        <v>35.364077669902912</v>
      </c>
      <c r="AE107" s="718">
        <f t="shared" ref="AE107" si="411">IF(AD107&lt;=0,0,AF107/AD107)</f>
        <v>1853.758799560484</v>
      </c>
      <c r="AF107" s="719">
        <f t="shared" ref="AF107" si="412">AF104+AF105+AF106</f>
        <v>65556.470168922941</v>
      </c>
      <c r="AG107" s="717">
        <f t="shared" ref="AG107" si="413">AG99</f>
        <v>41.067961165048544</v>
      </c>
      <c r="AH107" s="718">
        <f t="shared" ref="AH107" si="414">IF(AG107&lt;=0,0,AI107/AG107)</f>
        <v>1853.758799560484</v>
      </c>
      <c r="AI107" s="719">
        <f t="shared" ref="AI107" si="415">AI104+AI105+AI106</f>
        <v>76130.094389716964</v>
      </c>
      <c r="AJ107" s="717">
        <f t="shared" ref="AJ107" si="416">AJ99</f>
        <v>35.364077669902912</v>
      </c>
      <c r="AK107" s="718">
        <f t="shared" ref="AK107" si="417">IF(AJ107&lt;=0,0,AL107/AJ107)</f>
        <v>1853.758799560484</v>
      </c>
      <c r="AL107" s="719">
        <f t="shared" ref="AL107" si="418">AL104+AL105+AL106</f>
        <v>65556.470168922941</v>
      </c>
      <c r="AM107" s="717">
        <f t="shared" ref="AM107" si="419">AM99</f>
        <v>30.800970873786408</v>
      </c>
      <c r="AN107" s="718">
        <f t="shared" ref="AN107" si="420">IF(AM107&lt;=0,0,AO107/AM107)</f>
        <v>1853.758799560484</v>
      </c>
      <c r="AO107" s="719">
        <f t="shared" ref="AO107" si="421">AO104+AO105+AO106</f>
        <v>57097.570792287726</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310"/>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310"/>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310"/>
        <v>Véhicules usagésTotal Dépt. Usagés</v>
      </c>
      <c r="B110" s="734" t="s">
        <v>151</v>
      </c>
      <c r="C110" s="735">
        <f>C99+C102</f>
        <v>878.99067004492508</v>
      </c>
      <c r="D110" s="736">
        <f>IF(C110&lt;=0,0,E110/C110)</f>
        <v>1773.5940903255239</v>
      </c>
      <c r="E110" s="737">
        <f>E99+E107+E102</f>
        <v>1558972.6578429516</v>
      </c>
      <c r="F110" s="735">
        <f>F99+F102</f>
        <v>51.203340002616997</v>
      </c>
      <c r="G110" s="736">
        <f>IF(F110&lt;=0,0,H110/F110)</f>
        <v>1773.5940903255239</v>
      </c>
      <c r="H110" s="737">
        <f>H99+H107+H102</f>
        <v>90813.941233570004</v>
      </c>
      <c r="I110" s="735">
        <f t="shared" ref="I110" si="422">I99+I102</f>
        <v>53.33681250272604</v>
      </c>
      <c r="J110" s="736">
        <f t="shared" ref="J110" si="423">IF(I110&lt;=0,0,K110/I110)</f>
        <v>1773.5940903255237</v>
      </c>
      <c r="K110" s="737">
        <f t="shared" ref="K110" si="424">K99+K107+K102</f>
        <v>94597.855451635405</v>
      </c>
      <c r="L110" s="735">
        <f t="shared" ref="L110" si="425">L99+L102</f>
        <v>85.338900004361676</v>
      </c>
      <c r="M110" s="736">
        <f t="shared" ref="M110" si="426">IF(L110&lt;=0,0,N110/L110)</f>
        <v>1773.5940903255237</v>
      </c>
      <c r="N110" s="737">
        <f t="shared" ref="N110" si="427">N99+N107+N102</f>
        <v>151356.56872261668</v>
      </c>
      <c r="O110" s="735">
        <f t="shared" ref="O110" si="428">O99+O102</f>
        <v>83.205427504252626</v>
      </c>
      <c r="P110" s="736">
        <f t="shared" ref="P110" si="429">IF(O110&lt;=0,0,Q110/O110)</f>
        <v>1773.5940903255239</v>
      </c>
      <c r="Q110" s="737">
        <f t="shared" ref="Q110" si="430">Q99+Q107+Q102</f>
        <v>147572.65450455126</v>
      </c>
      <c r="R110" s="735">
        <f t="shared" ref="R110" si="431">R99+R102</f>
        <v>85.338900004361676</v>
      </c>
      <c r="S110" s="736">
        <f t="shared" ref="S110" si="432">IF(R110&lt;=0,0,T110/R110)</f>
        <v>1773.5940903255237</v>
      </c>
      <c r="T110" s="737">
        <f t="shared" ref="T110" si="433">T99+T107+T102</f>
        <v>151356.56872261668</v>
      </c>
      <c r="U110" s="735">
        <f t="shared" ref="U110" si="434">U99+U102</f>
        <v>89.605845004579749</v>
      </c>
      <c r="V110" s="736">
        <f t="shared" ref="V110" si="435">IF(U110&lt;=0,0,W110/U110)</f>
        <v>1773.5940903255237</v>
      </c>
      <c r="W110" s="737">
        <f t="shared" ref="W110" si="436">W99+W107+W102</f>
        <v>158924.39715874748</v>
      </c>
      <c r="X110" s="735">
        <f t="shared" ref="X110" si="437">X99+X102</f>
        <v>85.338900004361676</v>
      </c>
      <c r="Y110" s="736">
        <f t="shared" ref="Y110" si="438">IF(X110&lt;=0,0,Z110/X110)</f>
        <v>1773.5940903255237</v>
      </c>
      <c r="Z110" s="737">
        <f t="shared" ref="Z110" si="439">Z99+Z107+Z102</f>
        <v>151356.56872261668</v>
      </c>
      <c r="AA110" s="735">
        <f t="shared" ref="AA110" si="440">AA99+AA102</f>
        <v>78.938482504034539</v>
      </c>
      <c r="AB110" s="736">
        <f t="shared" ref="AB110" si="441">IF(AA110&lt;=0,0,AC110/AA110)</f>
        <v>1773.5940903255237</v>
      </c>
      <c r="AC110" s="737">
        <f t="shared" ref="AC110" si="442">AC99+AC107+AC102</f>
        <v>140004.8260684204</v>
      </c>
      <c r="AD110" s="735">
        <f t="shared" ref="AD110" si="443">AD99+AD102</f>
        <v>66.137647503380293</v>
      </c>
      <c r="AE110" s="736">
        <f t="shared" ref="AE110" si="444">IF(AD110&lt;=0,0,AF110/AD110)</f>
        <v>1773.5940903255234</v>
      </c>
      <c r="AF110" s="737">
        <f t="shared" ref="AF110" si="445">AF99+AF107+AF102</f>
        <v>117301.3407600279</v>
      </c>
      <c r="AG110" s="735">
        <f t="shared" ref="AG110" si="446">AG99+AG102</f>
        <v>76.805010003925503</v>
      </c>
      <c r="AH110" s="736">
        <f t="shared" ref="AH110" si="447">IF(AG110&lt;=0,0,AI110/AG110)</f>
        <v>1773.5940903255234</v>
      </c>
      <c r="AI110" s="737">
        <f t="shared" ref="AI110" si="448">AI99+AI107+AI102</f>
        <v>136220.91185035498</v>
      </c>
      <c r="AJ110" s="735">
        <f t="shared" ref="AJ110" si="449">AJ99+AJ102</f>
        <v>66.137647503380293</v>
      </c>
      <c r="AK110" s="736">
        <f t="shared" ref="AK110" si="450">IF(AJ110&lt;=0,0,AL110/AJ110)</f>
        <v>1773.5940903255234</v>
      </c>
      <c r="AL110" s="737">
        <f t="shared" ref="AL110" si="451">AL99+AL107+AL102</f>
        <v>117301.3407600279</v>
      </c>
      <c r="AM110" s="735">
        <f t="shared" ref="AM110" si="452">AM99+AM102</f>
        <v>57.60375750294412</v>
      </c>
      <c r="AN110" s="736">
        <f t="shared" ref="AN110" si="453">IF(AM110&lt;=0,0,AO110/AM110)</f>
        <v>1773.5940903255239</v>
      </c>
      <c r="AO110" s="737">
        <f t="shared" ref="AO110" si="454">AO99+AO107+AO102</f>
        <v>102165.68388776625</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310"/>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310"/>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310"/>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310"/>
        <v>Véhicules usagésComm. vendeurs</v>
      </c>
      <c r="B114" s="710" t="s">
        <v>103</v>
      </c>
      <c r="C114" s="746">
        <f>E114/E99</f>
        <v>0.39797420965058233</v>
      </c>
      <c r="D114" s="747">
        <f>IF(C$99=0,0,E114/(C$97+C$98))</f>
        <v>508.89893617021266</v>
      </c>
      <c r="E114" s="733">
        <f t="shared" ref="E114:E123" si="455">+SUM(H114,K114,N114,Q114,T114,W114,Z114,AC114,AF114,AI114,AL114,AO114)</f>
        <v>239182.49999999994</v>
      </c>
      <c r="F114" s="746">
        <f>H114/H99</f>
        <v>0.44530366056572379</v>
      </c>
      <c r="G114" s="747">
        <f>IF(F$99=0,0,H114/(F$97+F$98))</f>
        <v>569.42021276595744</v>
      </c>
      <c r="H114" s="748">
        <v>15589.95145631068</v>
      </c>
      <c r="I114" s="746">
        <f>K114/K99</f>
        <v>0.43553494176372715</v>
      </c>
      <c r="J114" s="747">
        <f t="shared" ref="J114:J123" si="456">IF(I$99=0,0,K114/(I$97+I$98))</f>
        <v>556.92872340425527</v>
      </c>
      <c r="K114" s="748">
        <v>15883.282766990291</v>
      </c>
      <c r="L114" s="746">
        <f>N114/N99</f>
        <v>0.38549168053244592</v>
      </c>
      <c r="M114" s="747">
        <f t="shared" ref="M114:M123" si="457">IF(L$99=0,0,N114/(L$97+L$98))</f>
        <v>492.9372340425532</v>
      </c>
      <c r="N114" s="748">
        <v>22493.252427184467</v>
      </c>
      <c r="O114" s="746">
        <f>Q114/Q99</f>
        <v>0.38564987840778192</v>
      </c>
      <c r="P114" s="747">
        <f t="shared" ref="P114:P123" si="458">IF(O$99=0,0,Q114/(O$97+O$98))</f>
        <v>493.13952536824871</v>
      </c>
      <c r="Q114" s="748">
        <v>21939.921116504855</v>
      </c>
      <c r="R114" s="746">
        <f>T114/T99</f>
        <v>0.38103577371048253</v>
      </c>
      <c r="S114" s="747">
        <f t="shared" ref="S114:S123" si="459">IF(R$99=0,0,T114/(R$97+R$98))</f>
        <v>487.23936170212767</v>
      </c>
      <c r="T114" s="748">
        <v>22233.252427184467</v>
      </c>
      <c r="U114" s="746">
        <f>W114/W99</f>
        <v>0.37883230330401713</v>
      </c>
      <c r="V114" s="747">
        <f t="shared" ref="V114:V123" si="460">IF(U$99=0,0,W114/(U$97+U$98))</f>
        <v>484.42173252279639</v>
      </c>
      <c r="W114" s="748">
        <v>23209.915048543691</v>
      </c>
      <c r="X114" s="746">
        <f>Z114/Z99</f>
        <v>0.38549168053244592</v>
      </c>
      <c r="Y114" s="747">
        <f t="shared" ref="Y114:Y123" si="461">IF(X$99=0,0,Z114/(X$97+X$98))</f>
        <v>492.9372340425532</v>
      </c>
      <c r="Z114" s="748">
        <v>22493.252427184467</v>
      </c>
      <c r="AA114" s="746">
        <f>AC114/AC99</f>
        <v>0.39080912443225257</v>
      </c>
      <c r="AB114" s="747">
        <f t="shared" ref="AB114:AB123" si="462">IF(AA$99=0,0,AC114/(AA$97+AA$98))</f>
        <v>499.73677400805059</v>
      </c>
      <c r="AC114" s="748">
        <v>21093.25849514563</v>
      </c>
      <c r="AD114" s="746">
        <f>AF114/AF99</f>
        <v>0.41028111749235147</v>
      </c>
      <c r="AE114" s="747">
        <f t="shared" ref="AE114:AE123" si="463">IF(AD$99=0,0,AF114/(AD$97+AD$98))</f>
        <v>524.63606726149624</v>
      </c>
      <c r="AF114" s="748">
        <v>18553.27063106796</v>
      </c>
      <c r="AG114" s="746">
        <f>AI114/AI99</f>
        <v>0.39360371602884081</v>
      </c>
      <c r="AH114" s="747">
        <f t="shared" ref="AH114:AH123" si="464">IF(AG$99=0,0,AI114/(AG$97+AG$98))</f>
        <v>503.31028368794324</v>
      </c>
      <c r="AI114" s="748">
        <v>20669.927184466018</v>
      </c>
      <c r="AJ114" s="746">
        <f>AL114/AL99</f>
        <v>0.41028111749235147</v>
      </c>
      <c r="AK114" s="747">
        <f t="shared" ref="AK114:AK123" si="465">IF(AJ$99=0,0,AL114/(AJ$97+AJ$98))</f>
        <v>524.63606726149624</v>
      </c>
      <c r="AL114" s="748">
        <v>18553.27063106796</v>
      </c>
      <c r="AM114" s="746">
        <f>AO114/AO99</f>
        <v>0.41816833056017755</v>
      </c>
      <c r="AN114" s="747">
        <f t="shared" ref="AN114:AN123" si="466">IF(AM$99=0,0,AO114/(AM$97+AM$98))</f>
        <v>534.72163120567382</v>
      </c>
      <c r="AO114" s="748">
        <v>16469.945388349515</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310"/>
        <v>Véhicules usagésComm. F&amp;I</v>
      </c>
      <c r="B115" s="705" t="s">
        <v>104</v>
      </c>
      <c r="C115" s="749">
        <f>+E115/E107</f>
        <v>0.3</v>
      </c>
      <c r="D115" s="750">
        <f t="shared" ref="D115:D123" si="467">IF(C$99=0,0,E115/(C$97+C$98))</f>
        <v>556.12763986814525</v>
      </c>
      <c r="E115" s="751">
        <f t="shared" si="455"/>
        <v>261379.99073802825</v>
      </c>
      <c r="F115" s="749">
        <f>+H115/H107</f>
        <v>0.3</v>
      </c>
      <c r="G115" s="750">
        <f t="shared" ref="G115:G123" si="468">IF(F$99=0,0,H115/(F$97+F$98))</f>
        <v>556.12763986814525</v>
      </c>
      <c r="H115" s="752">
        <v>15226.018877943394</v>
      </c>
      <c r="I115" s="749">
        <f>+K115/K107</f>
        <v>0.3</v>
      </c>
      <c r="J115" s="750">
        <f t="shared" si="456"/>
        <v>556.12763986814525</v>
      </c>
      <c r="K115" s="752">
        <v>15860.436331191035</v>
      </c>
      <c r="L115" s="749">
        <f>+N115/N107</f>
        <v>0.3</v>
      </c>
      <c r="M115" s="750">
        <f t="shared" si="457"/>
        <v>556.12763986814514</v>
      </c>
      <c r="N115" s="752">
        <v>25376.698129905653</v>
      </c>
      <c r="O115" s="749">
        <f>+Q115/Q107</f>
        <v>0.3</v>
      </c>
      <c r="P115" s="750">
        <f t="shared" si="458"/>
        <v>556.12763986814514</v>
      </c>
      <c r="Q115" s="752">
        <v>24742.280676658014</v>
      </c>
      <c r="R115" s="749">
        <f>+T115/T107</f>
        <v>0.3</v>
      </c>
      <c r="S115" s="750">
        <f t="shared" si="459"/>
        <v>556.12763986814514</v>
      </c>
      <c r="T115" s="752">
        <v>25376.698129905653</v>
      </c>
      <c r="U115" s="749">
        <f>+W115/W107</f>
        <v>0.3</v>
      </c>
      <c r="V115" s="750">
        <f t="shared" si="460"/>
        <v>556.12763986814514</v>
      </c>
      <c r="W115" s="752">
        <v>26645.533036400935</v>
      </c>
      <c r="X115" s="749">
        <f>+Z115/Z107</f>
        <v>0.3</v>
      </c>
      <c r="Y115" s="750">
        <f t="shared" si="461"/>
        <v>556.12763986814514</v>
      </c>
      <c r="Z115" s="752">
        <v>25376.698129905653</v>
      </c>
      <c r="AA115" s="749">
        <f>+AC115/AC107</f>
        <v>0.3</v>
      </c>
      <c r="AB115" s="750">
        <f t="shared" si="462"/>
        <v>556.12763986814514</v>
      </c>
      <c r="AC115" s="752">
        <v>23473.445770162729</v>
      </c>
      <c r="AD115" s="749">
        <f>+AF115/AF107</f>
        <v>0.3</v>
      </c>
      <c r="AE115" s="750">
        <f t="shared" si="463"/>
        <v>556.12763986814514</v>
      </c>
      <c r="AF115" s="752">
        <v>19666.94105067688</v>
      </c>
      <c r="AG115" s="749">
        <f>+AI115/AI107</f>
        <v>0.3</v>
      </c>
      <c r="AH115" s="750">
        <f t="shared" si="464"/>
        <v>556.12763986814525</v>
      </c>
      <c r="AI115" s="752">
        <v>22839.02831691509</v>
      </c>
      <c r="AJ115" s="749">
        <f>+AL115/AL107</f>
        <v>0.3</v>
      </c>
      <c r="AK115" s="750">
        <f t="shared" si="465"/>
        <v>556.12763986814514</v>
      </c>
      <c r="AL115" s="752">
        <v>19666.94105067688</v>
      </c>
      <c r="AM115" s="749">
        <f>+AO115/AO107</f>
        <v>0.3</v>
      </c>
      <c r="AN115" s="750">
        <f t="shared" si="466"/>
        <v>556.12763986814514</v>
      </c>
      <c r="AO115" s="752">
        <v>17129.271237686316</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310"/>
        <v>Véhicules usagésFrais de livraison</v>
      </c>
      <c r="B116" s="710" t="s">
        <v>105</v>
      </c>
      <c r="C116" s="710"/>
      <c r="D116" s="747">
        <f t="shared" si="467"/>
        <v>69.809353301886787</v>
      </c>
      <c r="E116" s="733">
        <f t="shared" si="455"/>
        <v>32810.39605188679</v>
      </c>
      <c r="F116" s="710"/>
      <c r="G116" s="747">
        <f t="shared" si="468"/>
        <v>69.809353301886787</v>
      </c>
      <c r="H116" s="748">
        <v>1911.2852069060266</v>
      </c>
      <c r="I116" s="710"/>
      <c r="J116" s="747">
        <f t="shared" si="456"/>
        <v>69.809353301886787</v>
      </c>
      <c r="K116" s="748">
        <v>1990.9220905271111</v>
      </c>
      <c r="L116" s="710"/>
      <c r="M116" s="747">
        <f t="shared" si="457"/>
        <v>69.809353301886787</v>
      </c>
      <c r="N116" s="748">
        <v>3185.475344843378</v>
      </c>
      <c r="O116" s="710"/>
      <c r="P116" s="747">
        <f t="shared" si="458"/>
        <v>69.809353301886787</v>
      </c>
      <c r="Q116" s="748">
        <v>3105.8384612222935</v>
      </c>
      <c r="R116" s="710"/>
      <c r="S116" s="747">
        <f t="shared" si="459"/>
        <v>69.809353301886787</v>
      </c>
      <c r="T116" s="748">
        <v>3185.475344843378</v>
      </c>
      <c r="U116" s="710"/>
      <c r="V116" s="747">
        <f t="shared" si="460"/>
        <v>69.809353301886787</v>
      </c>
      <c r="W116" s="748">
        <v>3344.7491120855466</v>
      </c>
      <c r="X116" s="710"/>
      <c r="Y116" s="747">
        <f t="shared" si="461"/>
        <v>69.809353301886787</v>
      </c>
      <c r="Z116" s="748">
        <v>3185.475344843378</v>
      </c>
      <c r="AA116" s="710"/>
      <c r="AB116" s="747">
        <f t="shared" si="462"/>
        <v>69.809353301886787</v>
      </c>
      <c r="AC116" s="748">
        <v>2946.5646939801245</v>
      </c>
      <c r="AD116" s="710"/>
      <c r="AE116" s="747">
        <f t="shared" si="463"/>
        <v>69.809353301886787</v>
      </c>
      <c r="AF116" s="748">
        <v>2468.7433922536175</v>
      </c>
      <c r="AG116" s="710"/>
      <c r="AH116" s="747">
        <f t="shared" si="464"/>
        <v>69.809353301886787</v>
      </c>
      <c r="AI116" s="748">
        <v>2866.92781035904</v>
      </c>
      <c r="AJ116" s="710"/>
      <c r="AK116" s="747">
        <f t="shared" si="465"/>
        <v>69.809353301886787</v>
      </c>
      <c r="AL116" s="748">
        <v>2468.7433922536175</v>
      </c>
      <c r="AM116" s="710"/>
      <c r="AN116" s="747">
        <f t="shared" si="466"/>
        <v>69.809353301886787</v>
      </c>
      <c r="AO116" s="748">
        <v>2150.1958577692799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310"/>
        <v>Véhicules usagésService gratuit 1</v>
      </c>
      <c r="B117" s="710" t="s">
        <v>106</v>
      </c>
      <c r="C117" s="710"/>
      <c r="D117" s="747">
        <f t="shared" si="467"/>
        <v>33.51101497641509</v>
      </c>
      <c r="E117" s="733">
        <f t="shared" si="455"/>
        <v>15750.177038915092</v>
      </c>
      <c r="F117" s="710"/>
      <c r="G117" s="747">
        <f t="shared" si="468"/>
        <v>33.51101497641509</v>
      </c>
      <c r="H117" s="748">
        <v>917.48604110185011</v>
      </c>
      <c r="I117" s="710"/>
      <c r="J117" s="747">
        <f t="shared" si="456"/>
        <v>33.51101497641509</v>
      </c>
      <c r="K117" s="748">
        <v>955.71462614776044</v>
      </c>
      <c r="L117" s="710"/>
      <c r="M117" s="747">
        <f t="shared" si="457"/>
        <v>33.51101497641509</v>
      </c>
      <c r="N117" s="748">
        <v>1529.1434018364168</v>
      </c>
      <c r="O117" s="710"/>
      <c r="P117" s="747">
        <f t="shared" si="458"/>
        <v>33.51101497641509</v>
      </c>
      <c r="Q117" s="748">
        <v>1490.9148167905064</v>
      </c>
      <c r="R117" s="710"/>
      <c r="S117" s="747">
        <f t="shared" si="459"/>
        <v>33.51101497641509</v>
      </c>
      <c r="T117" s="748">
        <v>1529.1434018364168</v>
      </c>
      <c r="U117" s="710"/>
      <c r="V117" s="747">
        <f t="shared" si="460"/>
        <v>33.51101497641509</v>
      </c>
      <c r="W117" s="748">
        <v>1605.6005719282375</v>
      </c>
      <c r="X117" s="710"/>
      <c r="Y117" s="747">
        <f t="shared" si="461"/>
        <v>33.51101497641509</v>
      </c>
      <c r="Z117" s="748">
        <v>1529.1434018364168</v>
      </c>
      <c r="AA117" s="710"/>
      <c r="AB117" s="747">
        <f t="shared" si="462"/>
        <v>33.51101497641509</v>
      </c>
      <c r="AC117" s="748">
        <v>1414.4576466986855</v>
      </c>
      <c r="AD117" s="710"/>
      <c r="AE117" s="747">
        <f t="shared" si="463"/>
        <v>33.51101497641509</v>
      </c>
      <c r="AF117" s="748">
        <v>1185.086136423223</v>
      </c>
      <c r="AG117" s="710"/>
      <c r="AH117" s="747">
        <f t="shared" si="464"/>
        <v>33.51101497641509</v>
      </c>
      <c r="AI117" s="748">
        <v>1376.229061652775</v>
      </c>
      <c r="AJ117" s="710"/>
      <c r="AK117" s="747">
        <f t="shared" si="465"/>
        <v>33.51101497641509</v>
      </c>
      <c r="AL117" s="748">
        <v>1185.086136423223</v>
      </c>
      <c r="AM117" s="710"/>
      <c r="AN117" s="747">
        <f t="shared" si="466"/>
        <v>33.51101497641509</v>
      </c>
      <c r="AO117" s="748">
        <v>1032.1717962395812</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310"/>
        <v>Véhicules usagésEntretien stock</v>
      </c>
      <c r="B118" s="705" t="s">
        <v>107</v>
      </c>
      <c r="C118" s="705"/>
      <c r="D118" s="750">
        <f t="shared" si="467"/>
        <v>88.549952830188687</v>
      </c>
      <c r="E118" s="751">
        <f t="shared" si="455"/>
        <v>41618.477830188684</v>
      </c>
      <c r="F118" s="705"/>
      <c r="G118" s="750">
        <f t="shared" si="468"/>
        <v>88.549952830188673</v>
      </c>
      <c r="H118" s="752">
        <v>2424.3773493313793</v>
      </c>
      <c r="I118" s="705"/>
      <c r="J118" s="750">
        <f t="shared" si="456"/>
        <v>88.549952830188673</v>
      </c>
      <c r="K118" s="752">
        <v>2525.3930722201867</v>
      </c>
      <c r="L118" s="705"/>
      <c r="M118" s="750">
        <f t="shared" si="457"/>
        <v>88.549952830188673</v>
      </c>
      <c r="N118" s="752">
        <v>4040.6289155522991</v>
      </c>
      <c r="O118" s="705"/>
      <c r="P118" s="750">
        <f t="shared" si="458"/>
        <v>88.549952830188673</v>
      </c>
      <c r="Q118" s="752">
        <v>3939.6131926634916</v>
      </c>
      <c r="R118" s="705"/>
      <c r="S118" s="750">
        <f t="shared" si="459"/>
        <v>88.549952830188673</v>
      </c>
      <c r="T118" s="752">
        <v>4040.6289155522991</v>
      </c>
      <c r="U118" s="705"/>
      <c r="V118" s="750">
        <f t="shared" si="460"/>
        <v>88.549952830188673</v>
      </c>
      <c r="W118" s="752">
        <v>4242.6603613299139</v>
      </c>
      <c r="X118" s="705"/>
      <c r="Y118" s="750">
        <f t="shared" si="461"/>
        <v>88.549952830188673</v>
      </c>
      <c r="Z118" s="752">
        <v>4040.6289155522991</v>
      </c>
      <c r="AA118" s="705"/>
      <c r="AB118" s="750">
        <f t="shared" si="462"/>
        <v>88.549952830188673</v>
      </c>
      <c r="AC118" s="752">
        <v>3737.5817468858763</v>
      </c>
      <c r="AD118" s="705"/>
      <c r="AE118" s="750">
        <f t="shared" si="463"/>
        <v>88.549952830188673</v>
      </c>
      <c r="AF118" s="752">
        <v>3131.4874095530313</v>
      </c>
      <c r="AG118" s="705"/>
      <c r="AH118" s="750">
        <f t="shared" si="464"/>
        <v>88.549952830188673</v>
      </c>
      <c r="AI118" s="752">
        <v>3636.5660239970689</v>
      </c>
      <c r="AJ118" s="705"/>
      <c r="AK118" s="750">
        <f t="shared" si="465"/>
        <v>88.549952830188673</v>
      </c>
      <c r="AL118" s="752">
        <v>3131.4874095530313</v>
      </c>
      <c r="AM118" s="705"/>
      <c r="AN118" s="750">
        <f t="shared" si="466"/>
        <v>88.549952830188673</v>
      </c>
      <c r="AO118" s="752">
        <v>2727.4245179978016</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310"/>
        <v>Véhicules usagésPublicité 1</v>
      </c>
      <c r="B119" s="710" t="s">
        <v>108</v>
      </c>
      <c r="C119" s="710"/>
      <c r="D119" s="747">
        <f t="shared" si="467"/>
        <v>42.755319148936188</v>
      </c>
      <c r="E119" s="733">
        <f t="shared" si="455"/>
        <v>20095.000000000007</v>
      </c>
      <c r="F119" s="710"/>
      <c r="G119" s="747">
        <f t="shared" si="468"/>
        <v>42.755319148936188</v>
      </c>
      <c r="H119" s="748">
        <v>1170.5825242718452</v>
      </c>
      <c r="I119" s="710"/>
      <c r="J119" s="747">
        <f t="shared" si="456"/>
        <v>42.755319148936188</v>
      </c>
      <c r="K119" s="748">
        <v>1219.3567961165054</v>
      </c>
      <c r="L119" s="710"/>
      <c r="M119" s="747">
        <f t="shared" si="457"/>
        <v>42.755319148936181</v>
      </c>
      <c r="N119" s="748">
        <v>1950.9708737864084</v>
      </c>
      <c r="O119" s="710"/>
      <c r="P119" s="747">
        <f t="shared" si="458"/>
        <v>42.755319148936188</v>
      </c>
      <c r="Q119" s="748">
        <v>1902.1966019417487</v>
      </c>
      <c r="R119" s="710"/>
      <c r="S119" s="747">
        <f t="shared" si="459"/>
        <v>42.755319148936181</v>
      </c>
      <c r="T119" s="748">
        <v>1950.9708737864084</v>
      </c>
      <c r="U119" s="710"/>
      <c r="V119" s="747">
        <f t="shared" si="460"/>
        <v>42.755319148936188</v>
      </c>
      <c r="W119" s="748">
        <v>2048.5194174757289</v>
      </c>
      <c r="X119" s="710"/>
      <c r="Y119" s="747">
        <f t="shared" si="461"/>
        <v>42.755319148936181</v>
      </c>
      <c r="Z119" s="748">
        <v>1950.9708737864084</v>
      </c>
      <c r="AA119" s="710"/>
      <c r="AB119" s="747">
        <f t="shared" si="462"/>
        <v>42.755319148936195</v>
      </c>
      <c r="AC119" s="748">
        <v>1804.6480582524282</v>
      </c>
      <c r="AD119" s="710"/>
      <c r="AE119" s="747">
        <f t="shared" si="463"/>
        <v>42.755319148936181</v>
      </c>
      <c r="AF119" s="748">
        <v>1512.0024271844663</v>
      </c>
      <c r="AG119" s="710"/>
      <c r="AH119" s="747">
        <f t="shared" si="464"/>
        <v>42.755319148936181</v>
      </c>
      <c r="AI119" s="748">
        <v>1755.8737864077675</v>
      </c>
      <c r="AJ119" s="710"/>
      <c r="AK119" s="747">
        <f t="shared" si="465"/>
        <v>42.755319148936181</v>
      </c>
      <c r="AL119" s="748">
        <v>1512.0024271844663</v>
      </c>
      <c r="AM119" s="710"/>
      <c r="AN119" s="747">
        <f t="shared" si="466"/>
        <v>42.755319148936188</v>
      </c>
      <c r="AO119" s="748">
        <v>1316.9053398058259</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310"/>
        <v>Véhicules usagésIntérêt de gros</v>
      </c>
      <c r="B120" s="710" t="s">
        <v>109</v>
      </c>
      <c r="C120" s="710"/>
      <c r="D120" s="747">
        <f t="shared" si="467"/>
        <v>21.111620900251435</v>
      </c>
      <c r="E120" s="733">
        <f t="shared" si="455"/>
        <v>9922.4618231181739</v>
      </c>
      <c r="F120" s="710"/>
      <c r="G120" s="747">
        <f t="shared" si="468"/>
        <v>24.785639765065945</v>
      </c>
      <c r="H120" s="748">
        <v>678.59712754840746</v>
      </c>
      <c r="I120" s="710"/>
      <c r="J120" s="747">
        <f t="shared" si="456"/>
        <v>28.981874343613221</v>
      </c>
      <c r="K120" s="748">
        <v>826.54617363460034</v>
      </c>
      <c r="L120" s="710"/>
      <c r="M120" s="747">
        <f t="shared" si="457"/>
        <v>19.808952508907833</v>
      </c>
      <c r="N120" s="748">
        <v>903.90365817346435</v>
      </c>
      <c r="O120" s="710"/>
      <c r="P120" s="747">
        <f t="shared" si="458"/>
        <v>20.399776704274291</v>
      </c>
      <c r="Q120" s="748">
        <v>907.5920072556986</v>
      </c>
      <c r="R120" s="710"/>
      <c r="S120" s="747">
        <f t="shared" si="459"/>
        <v>20.432037018310016</v>
      </c>
      <c r="T120" s="748">
        <v>932.33566976754446</v>
      </c>
      <c r="U120" s="710"/>
      <c r="V120" s="747">
        <f t="shared" si="460"/>
        <v>19.305121393134119</v>
      </c>
      <c r="W120" s="748">
        <v>924.95897160307652</v>
      </c>
      <c r="X120" s="710"/>
      <c r="Y120" s="747">
        <f t="shared" si="461"/>
        <v>19.393562835973054</v>
      </c>
      <c r="Z120" s="748">
        <v>884.94898377741129</v>
      </c>
      <c r="AA120" s="710"/>
      <c r="AB120" s="747">
        <f t="shared" si="462"/>
        <v>19.207349882211137</v>
      </c>
      <c r="AC120" s="748">
        <v>810.71799624187304</v>
      </c>
      <c r="AD120" s="710"/>
      <c r="AE120" s="747">
        <f t="shared" si="463"/>
        <v>23.282687059529657</v>
      </c>
      <c r="AF120" s="748">
        <v>823.37075353725027</v>
      </c>
      <c r="AG120" s="710"/>
      <c r="AH120" s="747">
        <f t="shared" si="464"/>
        <v>19.599926202597231</v>
      </c>
      <c r="AI120" s="748">
        <v>804.92900812608048</v>
      </c>
      <c r="AJ120" s="710"/>
      <c r="AK120" s="747">
        <f t="shared" si="465"/>
        <v>20.870747023134125</v>
      </c>
      <c r="AL120" s="748">
        <v>738.07471875501017</v>
      </c>
      <c r="AM120" s="710"/>
      <c r="AN120" s="747">
        <f t="shared" si="466"/>
        <v>22.287828442511966</v>
      </c>
      <c r="AO120" s="748">
        <v>686.48675469775935</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310"/>
        <v>Véhicules usagés[...]</v>
      </c>
      <c r="B121" s="710" t="s">
        <v>42</v>
      </c>
      <c r="C121" s="795"/>
      <c r="D121" s="747">
        <f t="shared" si="467"/>
        <v>0</v>
      </c>
      <c r="E121" s="733">
        <f t="shared" si="455"/>
        <v>0</v>
      </c>
      <c r="F121" s="795"/>
      <c r="G121" s="747">
        <f t="shared" si="468"/>
        <v>0</v>
      </c>
      <c r="H121" s="733"/>
      <c r="I121" s="795"/>
      <c r="J121" s="747">
        <f t="shared" si="456"/>
        <v>0</v>
      </c>
      <c r="K121" s="733"/>
      <c r="L121" s="795"/>
      <c r="M121" s="747">
        <f t="shared" si="457"/>
        <v>0</v>
      </c>
      <c r="N121" s="733"/>
      <c r="O121" s="795"/>
      <c r="P121" s="747">
        <f t="shared" si="458"/>
        <v>0</v>
      </c>
      <c r="Q121" s="733"/>
      <c r="R121" s="795"/>
      <c r="S121" s="747">
        <f t="shared" si="459"/>
        <v>0</v>
      </c>
      <c r="T121" s="733"/>
      <c r="U121" s="795"/>
      <c r="V121" s="747">
        <f t="shared" si="460"/>
        <v>0</v>
      </c>
      <c r="W121" s="733"/>
      <c r="X121" s="795"/>
      <c r="Y121" s="747">
        <f t="shared" si="461"/>
        <v>0</v>
      </c>
      <c r="Z121" s="733"/>
      <c r="AA121" s="795"/>
      <c r="AB121" s="747">
        <f t="shared" si="462"/>
        <v>0</v>
      </c>
      <c r="AC121" s="733"/>
      <c r="AD121" s="795"/>
      <c r="AE121" s="747">
        <f t="shared" si="463"/>
        <v>0</v>
      </c>
      <c r="AF121" s="733"/>
      <c r="AG121" s="795"/>
      <c r="AH121" s="747">
        <f t="shared" si="464"/>
        <v>0</v>
      </c>
      <c r="AI121" s="733"/>
      <c r="AJ121" s="795"/>
      <c r="AK121" s="747">
        <f t="shared" si="465"/>
        <v>0</v>
      </c>
      <c r="AL121" s="733"/>
      <c r="AM121" s="795"/>
      <c r="AN121" s="747">
        <f t="shared" si="466"/>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310"/>
        <v>Véhicules usagés[...]</v>
      </c>
      <c r="B122" s="710" t="s">
        <v>42</v>
      </c>
      <c r="C122" s="795"/>
      <c r="D122" s="747">
        <f t="shared" si="467"/>
        <v>0</v>
      </c>
      <c r="E122" s="733">
        <f t="shared" si="455"/>
        <v>0</v>
      </c>
      <c r="F122" s="795"/>
      <c r="G122" s="747">
        <f t="shared" si="468"/>
        <v>0</v>
      </c>
      <c r="H122" s="733"/>
      <c r="I122" s="795"/>
      <c r="J122" s="747">
        <f t="shared" si="456"/>
        <v>0</v>
      </c>
      <c r="K122" s="733"/>
      <c r="L122" s="795"/>
      <c r="M122" s="747">
        <f t="shared" si="457"/>
        <v>0</v>
      </c>
      <c r="N122" s="733"/>
      <c r="O122" s="795"/>
      <c r="P122" s="747">
        <f t="shared" si="458"/>
        <v>0</v>
      </c>
      <c r="Q122" s="733"/>
      <c r="R122" s="795"/>
      <c r="S122" s="747">
        <f t="shared" si="459"/>
        <v>0</v>
      </c>
      <c r="T122" s="733"/>
      <c r="U122" s="795"/>
      <c r="V122" s="747">
        <f t="shared" si="460"/>
        <v>0</v>
      </c>
      <c r="W122" s="733"/>
      <c r="X122" s="795"/>
      <c r="Y122" s="747">
        <f t="shared" si="461"/>
        <v>0</v>
      </c>
      <c r="Z122" s="733"/>
      <c r="AA122" s="795"/>
      <c r="AB122" s="747">
        <f t="shared" si="462"/>
        <v>0</v>
      </c>
      <c r="AC122" s="733"/>
      <c r="AD122" s="795"/>
      <c r="AE122" s="747">
        <f t="shared" si="463"/>
        <v>0</v>
      </c>
      <c r="AF122" s="733"/>
      <c r="AG122" s="795"/>
      <c r="AH122" s="747">
        <f t="shared" si="464"/>
        <v>0</v>
      </c>
      <c r="AI122" s="733"/>
      <c r="AJ122" s="795"/>
      <c r="AK122" s="747">
        <f t="shared" si="465"/>
        <v>0</v>
      </c>
      <c r="AL122" s="733"/>
      <c r="AM122" s="795"/>
      <c r="AN122" s="747">
        <f t="shared" si="466"/>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310"/>
        <v>Véhicules usagés[...]</v>
      </c>
      <c r="B123" s="710" t="s">
        <v>42</v>
      </c>
      <c r="C123" s="795"/>
      <c r="D123" s="747">
        <f t="shared" si="467"/>
        <v>0</v>
      </c>
      <c r="E123" s="733">
        <f t="shared" si="455"/>
        <v>0</v>
      </c>
      <c r="F123" s="795"/>
      <c r="G123" s="747">
        <f t="shared" si="468"/>
        <v>0</v>
      </c>
      <c r="H123" s="733"/>
      <c r="I123" s="795"/>
      <c r="J123" s="747">
        <f t="shared" si="456"/>
        <v>0</v>
      </c>
      <c r="K123" s="733"/>
      <c r="L123" s="795"/>
      <c r="M123" s="747">
        <f t="shared" si="457"/>
        <v>0</v>
      </c>
      <c r="N123" s="733"/>
      <c r="O123" s="795"/>
      <c r="P123" s="747">
        <f t="shared" si="458"/>
        <v>0</v>
      </c>
      <c r="Q123" s="733"/>
      <c r="R123" s="795"/>
      <c r="S123" s="747">
        <f t="shared" si="459"/>
        <v>0</v>
      </c>
      <c r="T123" s="733"/>
      <c r="U123" s="795"/>
      <c r="V123" s="747">
        <f t="shared" si="460"/>
        <v>0</v>
      </c>
      <c r="W123" s="733"/>
      <c r="X123" s="795"/>
      <c r="Y123" s="747">
        <f t="shared" si="461"/>
        <v>0</v>
      </c>
      <c r="Z123" s="733"/>
      <c r="AA123" s="795"/>
      <c r="AB123" s="747">
        <f t="shared" si="462"/>
        <v>0</v>
      </c>
      <c r="AC123" s="733"/>
      <c r="AD123" s="795"/>
      <c r="AE123" s="747">
        <f t="shared" si="463"/>
        <v>0</v>
      </c>
      <c r="AF123" s="733"/>
      <c r="AG123" s="795"/>
      <c r="AH123" s="747">
        <f t="shared" si="464"/>
        <v>0</v>
      </c>
      <c r="AI123" s="733"/>
      <c r="AJ123" s="795"/>
      <c r="AK123" s="747">
        <f t="shared" si="465"/>
        <v>0</v>
      </c>
      <c r="AL123" s="733"/>
      <c r="AM123" s="795"/>
      <c r="AN123" s="747">
        <f t="shared" si="466"/>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310"/>
        <v>Véhicules usagésTOTAL VARIABLES</v>
      </c>
      <c r="B124" s="753" t="s">
        <v>110</v>
      </c>
      <c r="C124" s="754" t="s">
        <v>111</v>
      </c>
      <c r="D124" s="755">
        <f>IFERROR(E124/E$110,0)</f>
        <v>0.39818466370092764</v>
      </c>
      <c r="E124" s="756">
        <f>SUM(E114:E123)</f>
        <v>620759.00348213699</v>
      </c>
      <c r="F124" s="754" t="s">
        <v>111</v>
      </c>
      <c r="G124" s="755">
        <f>IFERROR(H124/H$110,0)</f>
        <v>0.41753829938829717</v>
      </c>
      <c r="H124" s="756">
        <f>SUM(H114:H123)</f>
        <v>37918.298583413576</v>
      </c>
      <c r="I124" s="754" t="s">
        <v>111</v>
      </c>
      <c r="J124" s="755">
        <f t="shared" ref="J124" si="469">IFERROR(K124/K$110,0)</f>
        <v>0.41503744106440765</v>
      </c>
      <c r="K124" s="756">
        <f t="shared" ref="K124" si="470">SUM(K114:K123)</f>
        <v>39261.651856827484</v>
      </c>
      <c r="L124" s="754" t="s">
        <v>111</v>
      </c>
      <c r="M124" s="755">
        <f t="shared" ref="M124" si="471">IFERROR(N124/N$110,0)</f>
        <v>0.39297979105411751</v>
      </c>
      <c r="N124" s="756">
        <f t="shared" ref="N124" si="472">SUM(N114:N123)</f>
        <v>59480.072751282081</v>
      </c>
      <c r="O124" s="754" t="s">
        <v>111</v>
      </c>
      <c r="P124" s="755">
        <f t="shared" ref="P124" si="473">IFERROR(Q124/Q$110,0)</f>
        <v>0.39321889999103432</v>
      </c>
      <c r="Q124" s="756">
        <f t="shared" ref="Q124" si="474">SUM(Q114:Q123)</f>
        <v>58028.356873036602</v>
      </c>
      <c r="R124" s="754" t="s">
        <v>111</v>
      </c>
      <c r="S124" s="755">
        <f t="shared" ref="S124" si="475">IFERROR(T124/T$110,0)</f>
        <v>0.39144984101388969</v>
      </c>
      <c r="T124" s="756">
        <f t="shared" ref="T124" si="476">SUM(T114:T123)</f>
        <v>59248.504762876168</v>
      </c>
      <c r="U124" s="754" t="s">
        <v>111</v>
      </c>
      <c r="V124" s="755">
        <f t="shared" ref="V124" si="477">IFERROR(W124/W$110,0)</f>
        <v>0.39026063731054611</v>
      </c>
      <c r="W124" s="756">
        <f t="shared" ref="W124" si="478">SUM(W114:W123)</f>
        <v>62021.936519367133</v>
      </c>
      <c r="X124" s="754" t="s">
        <v>111</v>
      </c>
      <c r="Y124" s="755">
        <f t="shared" ref="Y124" si="479">IFERROR(Z124/Z$110,0)</f>
        <v>0.39285455912955675</v>
      </c>
      <c r="Z124" s="756">
        <f t="shared" ref="Z124" si="480">SUM(Z114:Z123)</f>
        <v>59461.118076886029</v>
      </c>
      <c r="AA124" s="754" t="s">
        <v>111</v>
      </c>
      <c r="AB124" s="755">
        <f t="shared" ref="AB124" si="481">IFERROR(AC124/AC$110,0)</f>
        <v>0.39484834887300002</v>
      </c>
      <c r="AC124" s="756">
        <f t="shared" ref="AC124" si="482">SUM(AC114:AC123)</f>
        <v>55280.674407367347</v>
      </c>
      <c r="AD124" s="754" t="s">
        <v>111</v>
      </c>
      <c r="AE124" s="755">
        <f t="shared" ref="AE124" si="483">IFERROR(AF124/AF$110,0)</f>
        <v>0.40358363761199667</v>
      </c>
      <c r="AF124" s="756">
        <f t="shared" ref="AF124" si="484">SUM(AF114:AF123)</f>
        <v>47340.901800696432</v>
      </c>
      <c r="AG124" s="754" t="s">
        <v>111</v>
      </c>
      <c r="AH124" s="755">
        <f t="shared" ref="AH124" si="485">IFERROR(AI124/AI$110,0)</f>
        <v>0.39604404682880007</v>
      </c>
      <c r="AI124" s="756">
        <f t="shared" ref="AI124" si="486">SUM(AI114:AI123)</f>
        <v>53949.481191923835</v>
      </c>
      <c r="AJ124" s="754" t="s">
        <v>111</v>
      </c>
      <c r="AK124" s="755">
        <f t="shared" ref="AK124" si="487">IFERROR(AL124/AL$110,0)</f>
        <v>0.40285648450164352</v>
      </c>
      <c r="AL124" s="756">
        <f t="shared" ref="AL124" si="488">SUM(AL114:AL123)</f>
        <v>47255.605765914188</v>
      </c>
      <c r="AM124" s="754" t="s">
        <v>111</v>
      </c>
      <c r="AN124" s="755">
        <f t="shared" ref="AN124" si="489">IFERROR(AO124/AO$110,0)</f>
        <v>0.4063243088369024</v>
      </c>
      <c r="AO124" s="756">
        <f t="shared" ref="AO124" si="490">SUM(AO114:AO123)</f>
        <v>41512.40089254608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310"/>
        <v>Véhicules usagésSalaires cadres</v>
      </c>
      <c r="B125" s="757" t="s">
        <v>112</v>
      </c>
      <c r="C125" s="710"/>
      <c r="D125" s="732"/>
      <c r="E125" s="733">
        <f t="shared" ref="E125:E136" si="491">+SUM(H125,K125,N125,Q125,T125,W125,Z125,AC125,AF125,AI125,AL125,AO125)</f>
        <v>96360.900000000023</v>
      </c>
      <c r="F125" s="710"/>
      <c r="G125" s="732"/>
      <c r="H125" s="748">
        <v>7896.8540229885057</v>
      </c>
      <c r="I125" s="710"/>
      <c r="J125" s="732"/>
      <c r="K125" s="748">
        <v>7719.2260536398471</v>
      </c>
      <c r="L125" s="710"/>
      <c r="M125" s="732"/>
      <c r="N125" s="748">
        <v>8252.1099616858246</v>
      </c>
      <c r="O125" s="710"/>
      <c r="P125" s="732"/>
      <c r="Q125" s="748">
        <v>7896.8540229885057</v>
      </c>
      <c r="R125" s="710"/>
      <c r="S125" s="732"/>
      <c r="T125" s="748">
        <v>8074.4819923371651</v>
      </c>
      <c r="U125" s="710"/>
      <c r="V125" s="732"/>
      <c r="W125" s="748">
        <v>8074.4819923371651</v>
      </c>
      <c r="X125" s="710"/>
      <c r="Y125" s="732"/>
      <c r="Z125" s="748">
        <v>8074.4819923371651</v>
      </c>
      <c r="AA125" s="710"/>
      <c r="AB125" s="732"/>
      <c r="AC125" s="748">
        <v>8074.4819923371651</v>
      </c>
      <c r="AD125" s="710"/>
      <c r="AE125" s="732"/>
      <c r="AF125" s="748">
        <v>8074.4819923371651</v>
      </c>
      <c r="AG125" s="710"/>
      <c r="AH125" s="732"/>
      <c r="AI125" s="748">
        <v>7896.8540229885057</v>
      </c>
      <c r="AJ125" s="710"/>
      <c r="AK125" s="732"/>
      <c r="AL125" s="748">
        <v>8074.4819923371651</v>
      </c>
      <c r="AM125" s="710"/>
      <c r="AN125" s="732"/>
      <c r="AO125" s="748">
        <v>8252.1099616858246</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310"/>
        <v>Véhicules usagésSalaires commis</v>
      </c>
      <c r="B126" s="758" t="s">
        <v>113</v>
      </c>
      <c r="C126" s="710"/>
      <c r="D126" s="732"/>
      <c r="E126" s="733">
        <f t="shared" si="491"/>
        <v>25901.459594000007</v>
      </c>
      <c r="F126" s="710"/>
      <c r="G126" s="732"/>
      <c r="H126" s="748">
        <v>2085.8013466436782</v>
      </c>
      <c r="I126" s="710"/>
      <c r="J126" s="732"/>
      <c r="K126" s="748">
        <v>1988.9298539463603</v>
      </c>
      <c r="L126" s="710"/>
      <c r="M126" s="732"/>
      <c r="N126" s="748">
        <v>2279.5443320383147</v>
      </c>
      <c r="O126" s="710"/>
      <c r="P126" s="732"/>
      <c r="Q126" s="748">
        <v>2085.8013466436782</v>
      </c>
      <c r="R126" s="710"/>
      <c r="S126" s="732"/>
      <c r="T126" s="748">
        <v>2182.6728393409962</v>
      </c>
      <c r="U126" s="710"/>
      <c r="V126" s="732"/>
      <c r="W126" s="748">
        <v>2182.6728393409962</v>
      </c>
      <c r="X126" s="710"/>
      <c r="Y126" s="732"/>
      <c r="Z126" s="748">
        <v>2182.6728393409962</v>
      </c>
      <c r="AA126" s="710"/>
      <c r="AB126" s="732"/>
      <c r="AC126" s="748">
        <v>2182.6728393409962</v>
      </c>
      <c r="AD126" s="710"/>
      <c r="AE126" s="732"/>
      <c r="AF126" s="748">
        <v>2182.6728393409962</v>
      </c>
      <c r="AG126" s="710"/>
      <c r="AH126" s="732"/>
      <c r="AI126" s="748">
        <v>2085.8013466436782</v>
      </c>
      <c r="AJ126" s="710"/>
      <c r="AK126" s="732"/>
      <c r="AL126" s="748">
        <v>2182.6728393409962</v>
      </c>
      <c r="AM126" s="710"/>
      <c r="AN126" s="732"/>
      <c r="AO126" s="748">
        <v>2279.5443320383147</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310"/>
        <v>Véhicules usagésSalaires autres</v>
      </c>
      <c r="B127" s="757" t="s">
        <v>114</v>
      </c>
      <c r="C127" s="701"/>
      <c r="D127" s="759"/>
      <c r="E127" s="760">
        <f t="shared" si="491"/>
        <v>97160.751376000015</v>
      </c>
      <c r="F127" s="701"/>
      <c r="G127" s="759"/>
      <c r="H127" s="761">
        <v>7817.5317199080455</v>
      </c>
      <c r="I127" s="701"/>
      <c r="J127" s="759"/>
      <c r="K127" s="761">
        <v>7445.2683046743296</v>
      </c>
      <c r="L127" s="701"/>
      <c r="M127" s="759"/>
      <c r="N127" s="761">
        <v>8562.0585503754792</v>
      </c>
      <c r="O127" s="701"/>
      <c r="P127" s="759"/>
      <c r="Q127" s="761">
        <v>7817.5317199080455</v>
      </c>
      <c r="R127" s="701"/>
      <c r="S127" s="759"/>
      <c r="T127" s="761">
        <v>8189.7951351417623</v>
      </c>
      <c r="U127" s="701"/>
      <c r="V127" s="759"/>
      <c r="W127" s="761">
        <v>8189.7951351417623</v>
      </c>
      <c r="X127" s="701"/>
      <c r="Y127" s="759"/>
      <c r="Z127" s="761">
        <v>8189.7951351417623</v>
      </c>
      <c r="AA127" s="701"/>
      <c r="AB127" s="759"/>
      <c r="AC127" s="761">
        <v>8189.7951351417623</v>
      </c>
      <c r="AD127" s="701"/>
      <c r="AE127" s="759"/>
      <c r="AF127" s="761">
        <v>8189.7951351417623</v>
      </c>
      <c r="AG127" s="701"/>
      <c r="AH127" s="759"/>
      <c r="AI127" s="761">
        <v>7817.5317199080455</v>
      </c>
      <c r="AJ127" s="701"/>
      <c r="AK127" s="759"/>
      <c r="AL127" s="761">
        <v>8189.7951351417623</v>
      </c>
      <c r="AM127" s="701"/>
      <c r="AN127" s="759"/>
      <c r="AO127" s="761">
        <v>8562.0585503754792</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310"/>
        <v>Véhicules usagésSalaires spécialistes</v>
      </c>
      <c r="B128" s="757" t="s">
        <v>115</v>
      </c>
      <c r="C128" s="710"/>
      <c r="D128" s="732"/>
      <c r="E128" s="733">
        <f t="shared" si="491"/>
        <v>0</v>
      </c>
      <c r="F128" s="710"/>
      <c r="G128" s="732"/>
      <c r="H128" s="748">
        <v>0</v>
      </c>
      <c r="I128" s="710"/>
      <c r="J128" s="732"/>
      <c r="K128" s="748">
        <v>0</v>
      </c>
      <c r="L128" s="710"/>
      <c r="M128" s="732"/>
      <c r="N128" s="748">
        <v>0</v>
      </c>
      <c r="O128" s="710"/>
      <c r="P128" s="732"/>
      <c r="Q128" s="748">
        <v>0</v>
      </c>
      <c r="R128" s="710"/>
      <c r="S128" s="732"/>
      <c r="T128" s="748">
        <v>0</v>
      </c>
      <c r="U128" s="710"/>
      <c r="V128" s="732"/>
      <c r="W128" s="748">
        <v>0</v>
      </c>
      <c r="X128" s="710"/>
      <c r="Y128" s="732"/>
      <c r="Z128" s="748">
        <v>0</v>
      </c>
      <c r="AA128" s="710"/>
      <c r="AB128" s="732"/>
      <c r="AC128" s="748">
        <v>0</v>
      </c>
      <c r="AD128" s="710"/>
      <c r="AE128" s="732"/>
      <c r="AF128" s="748">
        <v>0</v>
      </c>
      <c r="AG128" s="710"/>
      <c r="AH128" s="732"/>
      <c r="AI128" s="748">
        <v>0</v>
      </c>
      <c r="AJ128" s="710"/>
      <c r="AK128" s="732"/>
      <c r="AL128" s="748">
        <v>0</v>
      </c>
      <c r="AM128" s="710"/>
      <c r="AN128" s="732"/>
      <c r="AO128" s="748">
        <v>0</v>
      </c>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310"/>
        <v>Véhicules usagés[...]</v>
      </c>
      <c r="B129" s="710" t="s">
        <v>42</v>
      </c>
      <c r="C129" s="710"/>
      <c r="D129" s="732"/>
      <c r="E129" s="733">
        <f t="shared" si="491"/>
        <v>0</v>
      </c>
      <c r="F129" s="710"/>
      <c r="G129" s="732"/>
      <c r="H129" s="748">
        <v>0</v>
      </c>
      <c r="I129" s="710"/>
      <c r="J129" s="732"/>
      <c r="K129" s="748">
        <v>0</v>
      </c>
      <c r="L129" s="710"/>
      <c r="M129" s="732"/>
      <c r="N129" s="748">
        <v>0</v>
      </c>
      <c r="O129" s="710"/>
      <c r="P129" s="732"/>
      <c r="Q129" s="748">
        <v>0</v>
      </c>
      <c r="R129" s="710"/>
      <c r="S129" s="732"/>
      <c r="T129" s="748">
        <v>0</v>
      </c>
      <c r="U129" s="710"/>
      <c r="V129" s="732"/>
      <c r="W129" s="748">
        <v>0</v>
      </c>
      <c r="X129" s="710"/>
      <c r="Y129" s="732"/>
      <c r="Z129" s="748">
        <v>0</v>
      </c>
      <c r="AA129" s="710"/>
      <c r="AB129" s="732"/>
      <c r="AC129" s="748">
        <v>0</v>
      </c>
      <c r="AD129" s="710"/>
      <c r="AE129" s="732"/>
      <c r="AF129" s="748">
        <v>0</v>
      </c>
      <c r="AG129" s="710"/>
      <c r="AH129" s="732"/>
      <c r="AI129" s="748">
        <v>0</v>
      </c>
      <c r="AJ129" s="710"/>
      <c r="AK129" s="732"/>
      <c r="AL129" s="748">
        <v>0</v>
      </c>
      <c r="AM129" s="710"/>
      <c r="AN129" s="732"/>
      <c r="AO129" s="748">
        <v>0</v>
      </c>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310"/>
        <v>Véhicules usagés[...]</v>
      </c>
      <c r="B130" s="710" t="s">
        <v>42</v>
      </c>
      <c r="C130" s="710"/>
      <c r="D130" s="732"/>
      <c r="E130" s="733">
        <f t="shared" si="491"/>
        <v>0</v>
      </c>
      <c r="F130" s="710"/>
      <c r="G130" s="732"/>
      <c r="H130" s="748">
        <v>0</v>
      </c>
      <c r="I130" s="710"/>
      <c r="J130" s="732"/>
      <c r="K130" s="748">
        <v>0</v>
      </c>
      <c r="L130" s="710"/>
      <c r="M130" s="732"/>
      <c r="N130" s="748">
        <v>0</v>
      </c>
      <c r="O130" s="710"/>
      <c r="P130" s="732"/>
      <c r="Q130" s="748">
        <v>0</v>
      </c>
      <c r="R130" s="710"/>
      <c r="S130" s="732"/>
      <c r="T130" s="748">
        <v>0</v>
      </c>
      <c r="U130" s="710"/>
      <c r="V130" s="732"/>
      <c r="W130" s="748">
        <v>0</v>
      </c>
      <c r="X130" s="710"/>
      <c r="Y130" s="732"/>
      <c r="Z130" s="748">
        <v>0</v>
      </c>
      <c r="AA130" s="710"/>
      <c r="AB130" s="732"/>
      <c r="AC130" s="748">
        <v>0</v>
      </c>
      <c r="AD130" s="710"/>
      <c r="AE130" s="732"/>
      <c r="AF130" s="748">
        <v>0</v>
      </c>
      <c r="AG130" s="710"/>
      <c r="AH130" s="732"/>
      <c r="AI130" s="748">
        <v>0</v>
      </c>
      <c r="AJ130" s="710"/>
      <c r="AK130" s="732"/>
      <c r="AL130" s="748">
        <v>0</v>
      </c>
      <c r="AM130" s="710"/>
      <c r="AN130" s="732"/>
      <c r="AO130" s="748">
        <v>0</v>
      </c>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310"/>
        <v>Véhicules usagés[...]</v>
      </c>
      <c r="B131" s="710" t="s">
        <v>42</v>
      </c>
      <c r="C131" s="710"/>
      <c r="D131" s="732"/>
      <c r="E131" s="733">
        <f t="shared" si="491"/>
        <v>0</v>
      </c>
      <c r="F131" s="710"/>
      <c r="G131" s="732"/>
      <c r="H131" s="748">
        <v>0</v>
      </c>
      <c r="I131" s="710"/>
      <c r="J131" s="732"/>
      <c r="K131" s="748">
        <v>0</v>
      </c>
      <c r="L131" s="710"/>
      <c r="M131" s="732"/>
      <c r="N131" s="748">
        <v>0</v>
      </c>
      <c r="O131" s="710"/>
      <c r="P131" s="732"/>
      <c r="Q131" s="748">
        <v>0</v>
      </c>
      <c r="R131" s="710"/>
      <c r="S131" s="732"/>
      <c r="T131" s="748">
        <v>0</v>
      </c>
      <c r="U131" s="710"/>
      <c r="V131" s="732"/>
      <c r="W131" s="748">
        <v>0</v>
      </c>
      <c r="X131" s="710"/>
      <c r="Y131" s="732"/>
      <c r="Z131" s="748">
        <v>0</v>
      </c>
      <c r="AA131" s="710"/>
      <c r="AB131" s="732"/>
      <c r="AC131" s="748">
        <v>0</v>
      </c>
      <c r="AD131" s="710"/>
      <c r="AE131" s="732"/>
      <c r="AF131" s="748">
        <v>0</v>
      </c>
      <c r="AG131" s="710"/>
      <c r="AH131" s="732"/>
      <c r="AI131" s="748">
        <v>0</v>
      </c>
      <c r="AJ131" s="710"/>
      <c r="AK131" s="732"/>
      <c r="AL131" s="748">
        <v>0</v>
      </c>
      <c r="AM131" s="710"/>
      <c r="AN131" s="732"/>
      <c r="AO131" s="748">
        <v>0</v>
      </c>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310"/>
        <v>Véhicules usagésSalaires en absences</v>
      </c>
      <c r="B132" s="758" t="s">
        <v>116</v>
      </c>
      <c r="C132" s="710"/>
      <c r="D132" s="732"/>
      <c r="E132" s="733">
        <f t="shared" si="491"/>
        <v>84101.533281848853</v>
      </c>
      <c r="F132" s="710"/>
      <c r="G132" s="732"/>
      <c r="H132" s="748">
        <v>5708.2175695350834</v>
      </c>
      <c r="I132" s="710"/>
      <c r="J132" s="732"/>
      <c r="K132" s="748">
        <v>5735.0503179969519</v>
      </c>
      <c r="L132" s="710"/>
      <c r="M132" s="732"/>
      <c r="N132" s="748">
        <v>7808.1489174527414</v>
      </c>
      <c r="O132" s="710"/>
      <c r="P132" s="732"/>
      <c r="Q132" s="748">
        <v>7515.2196697481077</v>
      </c>
      <c r="R132" s="710"/>
      <c r="S132" s="732"/>
      <c r="T132" s="748">
        <v>7699.7091838195092</v>
      </c>
      <c r="U132" s="710"/>
      <c r="V132" s="732"/>
      <c r="W132" s="748">
        <v>7955.4484725954781</v>
      </c>
      <c r="X132" s="710"/>
      <c r="Y132" s="732"/>
      <c r="Z132" s="748">
        <v>7729.3205346479754</v>
      </c>
      <c r="AA132" s="710"/>
      <c r="AB132" s="732"/>
      <c r="AC132" s="748">
        <v>7353.1144391911384</v>
      </c>
      <c r="AD132" s="710"/>
      <c r="AE132" s="732"/>
      <c r="AF132" s="748">
        <v>6630.313599105928</v>
      </c>
      <c r="AG132" s="710"/>
      <c r="AH132" s="732"/>
      <c r="AI132" s="748">
        <v>7153.8192497055024</v>
      </c>
      <c r="AJ132" s="710"/>
      <c r="AK132" s="732"/>
      <c r="AL132" s="748">
        <v>6630.313599105928</v>
      </c>
      <c r="AM132" s="710"/>
      <c r="AN132" s="732"/>
      <c r="AO132" s="748">
        <v>6182.857728944522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310"/>
        <v>Véhicules usagésDéduction à la source</v>
      </c>
      <c r="B133" s="757" t="s">
        <v>117</v>
      </c>
      <c r="C133" s="701"/>
      <c r="D133" s="759"/>
      <c r="E133" s="760">
        <f t="shared" si="491"/>
        <v>75321.543942890872</v>
      </c>
      <c r="F133" s="701"/>
      <c r="G133" s="759"/>
      <c r="H133" s="761">
        <v>5112.2939585230188</v>
      </c>
      <c r="I133" s="701"/>
      <c r="J133" s="759"/>
      <c r="K133" s="761">
        <v>5136.3254352810691</v>
      </c>
      <c r="L133" s="701"/>
      <c r="M133" s="759"/>
      <c r="N133" s="761">
        <v>6992.9977355773526</v>
      </c>
      <c r="O133" s="701"/>
      <c r="P133" s="759"/>
      <c r="Q133" s="761">
        <v>6730.6495673317158</v>
      </c>
      <c r="R133" s="701"/>
      <c r="S133" s="759"/>
      <c r="T133" s="761">
        <v>6895.8788384148238</v>
      </c>
      <c r="U133" s="701"/>
      <c r="V133" s="759"/>
      <c r="W133" s="761">
        <v>7124.9195862559836</v>
      </c>
      <c r="X133" s="701"/>
      <c r="Y133" s="759"/>
      <c r="Z133" s="761">
        <v>6922.3988384148242</v>
      </c>
      <c r="AA133" s="701"/>
      <c r="AB133" s="759"/>
      <c r="AC133" s="761">
        <v>6585.4677166530855</v>
      </c>
      <c r="AD133" s="701"/>
      <c r="AE133" s="759"/>
      <c r="AF133" s="761">
        <v>5938.1254731296058</v>
      </c>
      <c r="AG133" s="701"/>
      <c r="AH133" s="759"/>
      <c r="AI133" s="761">
        <v>6406.9784455699755</v>
      </c>
      <c r="AJ133" s="701"/>
      <c r="AK133" s="759"/>
      <c r="AL133" s="761">
        <v>5938.1254731296058</v>
      </c>
      <c r="AM133" s="701"/>
      <c r="AN133" s="759"/>
      <c r="AO133" s="761">
        <v>5537.3828746098152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310"/>
        <v>Véhicules usagésBénéfices marginaux</v>
      </c>
      <c r="B134" s="762" t="s">
        <v>118</v>
      </c>
      <c r="C134" s="710"/>
      <c r="D134" s="732"/>
      <c r="E134" s="733">
        <f t="shared" si="491"/>
        <v>59814.167248766287</v>
      </c>
      <c r="F134" s="710"/>
      <c r="G134" s="732"/>
      <c r="H134" s="748">
        <v>4059.7628494153387</v>
      </c>
      <c r="I134" s="710"/>
      <c r="J134" s="732"/>
      <c r="K134" s="748">
        <v>4078.8466691937906</v>
      </c>
      <c r="L134" s="710"/>
      <c r="M134" s="732"/>
      <c r="N134" s="748">
        <v>5553.2629076643689</v>
      </c>
      <c r="O134" s="710"/>
      <c r="P134" s="732"/>
      <c r="Q134" s="748">
        <v>5344.9275975869514</v>
      </c>
      <c r="R134" s="710"/>
      <c r="S134" s="732"/>
      <c r="T134" s="748">
        <v>5476.1390775647142</v>
      </c>
      <c r="U134" s="710"/>
      <c r="V134" s="732"/>
      <c r="W134" s="748">
        <v>5658.0243773209286</v>
      </c>
      <c r="X134" s="710"/>
      <c r="Y134" s="732"/>
      <c r="Z134" s="748">
        <v>5497.1990775647137</v>
      </c>
      <c r="AA134" s="710"/>
      <c r="AB134" s="732"/>
      <c r="AC134" s="748">
        <v>5229.6361279303919</v>
      </c>
      <c r="AD134" s="710"/>
      <c r="AE134" s="732"/>
      <c r="AF134" s="748">
        <v>4715.5702286617461</v>
      </c>
      <c r="AG134" s="710"/>
      <c r="AH134" s="732"/>
      <c r="AI134" s="748">
        <v>5087.8946479526285</v>
      </c>
      <c r="AJ134" s="710"/>
      <c r="AK134" s="732"/>
      <c r="AL134" s="748">
        <v>4715.5702286617461</v>
      </c>
      <c r="AM134" s="710"/>
      <c r="AN134" s="732"/>
      <c r="AO134" s="748">
        <v>4397.3334592489718</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310"/>
        <v>Véhicules usagésCsst</v>
      </c>
      <c r="B135" s="757" t="s">
        <v>119</v>
      </c>
      <c r="C135" s="710"/>
      <c r="D135" s="732"/>
      <c r="E135" s="733">
        <f t="shared" si="491"/>
        <v>24368.734805052936</v>
      </c>
      <c r="F135" s="710"/>
      <c r="G135" s="732"/>
      <c r="H135" s="748">
        <v>1653.9774571692121</v>
      </c>
      <c r="I135" s="710"/>
      <c r="J135" s="732"/>
      <c r="K135" s="748">
        <v>1661.7523467085814</v>
      </c>
      <c r="L135" s="710"/>
      <c r="M135" s="732"/>
      <c r="N135" s="748">
        <v>2262.4404438632614</v>
      </c>
      <c r="O135" s="710"/>
      <c r="P135" s="732"/>
      <c r="Q135" s="748">
        <v>2177.5630953132022</v>
      </c>
      <c r="R135" s="710"/>
      <c r="S135" s="732"/>
      <c r="T135" s="748">
        <v>2231.0196241930316</v>
      </c>
      <c r="U135" s="710"/>
      <c r="V135" s="732"/>
      <c r="W135" s="748">
        <v>2305.1210426122302</v>
      </c>
      <c r="X135" s="710"/>
      <c r="Y135" s="732"/>
      <c r="Z135" s="748">
        <v>2239.5996241930316</v>
      </c>
      <c r="AA135" s="710"/>
      <c r="AB135" s="732"/>
      <c r="AC135" s="748">
        <v>2130.5924965642339</v>
      </c>
      <c r="AD135" s="710"/>
      <c r="AE135" s="732"/>
      <c r="AF135" s="748">
        <v>1921.1582413066376</v>
      </c>
      <c r="AG135" s="710"/>
      <c r="AH135" s="732"/>
      <c r="AI135" s="748">
        <v>2072.8459676844041</v>
      </c>
      <c r="AJ135" s="710"/>
      <c r="AK135" s="732"/>
      <c r="AL135" s="748">
        <v>1921.1582413066376</v>
      </c>
      <c r="AM135" s="710"/>
      <c r="AN135" s="732"/>
      <c r="AO135" s="748">
        <v>1791.5062241384699</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310"/>
        <v>Véhicules usagés[...]</v>
      </c>
      <c r="B136" s="710" t="s">
        <v>42</v>
      </c>
      <c r="C136" s="705"/>
      <c r="D136" s="763"/>
      <c r="E136" s="751">
        <f t="shared" si="491"/>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310"/>
        <v>Véhicules usagésTOTAL PERSONNEL</v>
      </c>
      <c r="B137" s="753" t="s">
        <v>120</v>
      </c>
      <c r="C137" s="754" t="s">
        <v>111</v>
      </c>
      <c r="D137" s="755">
        <f>IFERROR(E137/E$110,0)</f>
        <v>0.29700911553459958</v>
      </c>
      <c r="E137" s="756">
        <f>SUM(E125:E135)</f>
        <v>463029.09024855902</v>
      </c>
      <c r="F137" s="754" t="s">
        <v>111</v>
      </c>
      <c r="G137" s="755">
        <f>IFERROR(H137/H$110,0)</f>
        <v>0.37807453853231643</v>
      </c>
      <c r="H137" s="756">
        <f>SUM(H125:H135)</f>
        <v>34334.438924182883</v>
      </c>
      <c r="I137" s="754" t="s">
        <v>111</v>
      </c>
      <c r="J137" s="755">
        <f t="shared" ref="J137" si="492">IFERROR(K137/K$110,0)</f>
        <v>0.35693619924295222</v>
      </c>
      <c r="K137" s="756">
        <f t="shared" ref="K137" si="493">SUM(K125:K135)</f>
        <v>33765.398981440929</v>
      </c>
      <c r="L137" s="754" t="s">
        <v>111</v>
      </c>
      <c r="M137" s="755">
        <f t="shared" ref="M137" si="494">IFERROR(N137/N$110,0)</f>
        <v>0.27557814768580102</v>
      </c>
      <c r="N137" s="756">
        <f t="shared" ref="N137" si="495">SUM(N125:N135)</f>
        <v>41710.562848657348</v>
      </c>
      <c r="O137" s="754" t="s">
        <v>111</v>
      </c>
      <c r="P137" s="755">
        <f t="shared" ref="P137" si="496">IFERROR(Q137/Q$110,0)</f>
        <v>0.26812926251387503</v>
      </c>
      <c r="Q137" s="756">
        <f t="shared" ref="Q137" si="497">SUM(Q125:Q135)</f>
        <v>39568.547019520207</v>
      </c>
      <c r="R137" s="754" t="s">
        <v>111</v>
      </c>
      <c r="S137" s="755">
        <f t="shared" ref="S137" si="498">IFERROR(T137/T$110,0)</f>
        <v>0.26922978655450264</v>
      </c>
      <c r="T137" s="756">
        <f t="shared" ref="T137" si="499">SUM(T125:T135)</f>
        <v>40749.696690812001</v>
      </c>
      <c r="U137" s="754" t="s">
        <v>111</v>
      </c>
      <c r="V137" s="755">
        <f t="shared" ref="V137" si="500">IFERROR(W137/W$110,0)</f>
        <v>0.26107044725272904</v>
      </c>
      <c r="W137" s="756">
        <f t="shared" ref="W137" si="501">SUM(W125:W135)</f>
        <v>41490.463445604546</v>
      </c>
      <c r="X137" s="754" t="s">
        <v>111</v>
      </c>
      <c r="Y137" s="755">
        <f t="shared" ref="Y137" si="502">IFERROR(Z137/Z$110,0)</f>
        <v>0.26979647058779138</v>
      </c>
      <c r="Z137" s="756">
        <f t="shared" ref="Z137" si="503">SUM(Z125:Z135)</f>
        <v>40835.468041640474</v>
      </c>
      <c r="AA137" s="754" t="s">
        <v>111</v>
      </c>
      <c r="AB137" s="755">
        <f t="shared" ref="AB137" si="504">IFERROR(AC137/AC$110,0)</f>
        <v>0.28388850487007505</v>
      </c>
      <c r="AC137" s="756">
        <f t="shared" ref="AC137" si="505">SUM(AC125:AC135)</f>
        <v>39745.760747158776</v>
      </c>
      <c r="AD137" s="754" t="s">
        <v>111</v>
      </c>
      <c r="AE137" s="755">
        <f t="shared" ref="AE137" si="506">IFERROR(AF137/AF$110,0)</f>
        <v>0.32098625015763105</v>
      </c>
      <c r="AF137" s="756">
        <f t="shared" ref="AF137" si="507">SUM(AF125:AF135)</f>
        <v>37652.117509023839</v>
      </c>
      <c r="AG137" s="754" t="s">
        <v>111</v>
      </c>
      <c r="AH137" s="755">
        <f t="shared" ref="AH137" si="508">IFERROR(AI137/AI$110,0)</f>
        <v>0.28278863264966725</v>
      </c>
      <c r="AI137" s="756">
        <f t="shared" ref="AI137" si="509">SUM(AI125:AI135)</f>
        <v>38521.725400452742</v>
      </c>
      <c r="AJ137" s="754" t="s">
        <v>111</v>
      </c>
      <c r="AK137" s="755">
        <f t="shared" ref="AK137" si="510">IFERROR(AL137/AL$110,0)</f>
        <v>0.32098625015763105</v>
      </c>
      <c r="AL137" s="756">
        <f t="shared" ref="AL137" si="511">SUM(AL125:AL135)</f>
        <v>37652.117509023839</v>
      </c>
      <c r="AM137" s="754" t="s">
        <v>111</v>
      </c>
      <c r="AN137" s="755">
        <f t="shared" ref="AN137" si="512">IFERROR(AO137/AO$110,0)</f>
        <v>0.36218416715822788</v>
      </c>
      <c r="AO137" s="756">
        <f t="shared" ref="AO137" si="513">SUM(AO125:AO135)</f>
        <v>37002.793131041399</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310"/>
        <v>Véhicules usagésPublicité 2</v>
      </c>
      <c r="B138" s="710" t="s">
        <v>121</v>
      </c>
      <c r="C138" s="710"/>
      <c r="D138" s="732"/>
      <c r="E138" s="733">
        <f t="shared" ref="E138:E154" si="514">+SUM(H138,K138,N138,Q138,T138,W138,Z138,AC138,AF138,AI138,AL138,AO138)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310"/>
        <v>Véhicules usagésService gratuit 2</v>
      </c>
      <c r="B139" s="710" t="s">
        <v>122</v>
      </c>
      <c r="C139" s="710"/>
      <c r="D139" s="732"/>
      <c r="E139" s="733">
        <f t="shared" si="514"/>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310"/>
        <v>Véhicules usagésFrais véhicules de cie</v>
      </c>
      <c r="B140" s="705" t="s">
        <v>123</v>
      </c>
      <c r="C140" s="764"/>
      <c r="D140" s="765"/>
      <c r="E140" s="766">
        <f t="shared" si="514"/>
        <v>1500.4799999999998</v>
      </c>
      <c r="F140" s="764"/>
      <c r="G140" s="765"/>
      <c r="H140" s="767">
        <v>125.03999999999999</v>
      </c>
      <c r="I140" s="764"/>
      <c r="J140" s="765"/>
      <c r="K140" s="767">
        <v>125.03999999999999</v>
      </c>
      <c r="L140" s="764"/>
      <c r="M140" s="765"/>
      <c r="N140" s="767">
        <v>125.03999999999999</v>
      </c>
      <c r="O140" s="764"/>
      <c r="P140" s="765"/>
      <c r="Q140" s="767">
        <v>125.03999999999999</v>
      </c>
      <c r="R140" s="764"/>
      <c r="S140" s="765"/>
      <c r="T140" s="767">
        <v>125.03999999999999</v>
      </c>
      <c r="U140" s="764"/>
      <c r="V140" s="765"/>
      <c r="W140" s="767">
        <v>125.03999999999999</v>
      </c>
      <c r="X140" s="764"/>
      <c r="Y140" s="765"/>
      <c r="Z140" s="767">
        <v>125.03999999999999</v>
      </c>
      <c r="AA140" s="764"/>
      <c r="AB140" s="765"/>
      <c r="AC140" s="767">
        <v>125.03999999999999</v>
      </c>
      <c r="AD140" s="764"/>
      <c r="AE140" s="765"/>
      <c r="AF140" s="767">
        <v>125.03999999999999</v>
      </c>
      <c r="AG140" s="764"/>
      <c r="AH140" s="765"/>
      <c r="AI140" s="767">
        <v>125.03999999999999</v>
      </c>
      <c r="AJ140" s="764"/>
      <c r="AK140" s="765"/>
      <c r="AL140" s="767">
        <v>125.03999999999999</v>
      </c>
      <c r="AM140" s="764"/>
      <c r="AN140" s="765"/>
      <c r="AO140" s="767">
        <v>125.03999999999999</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310"/>
        <v>Véhicules usagésInformatique</v>
      </c>
      <c r="B141" s="710" t="s">
        <v>124</v>
      </c>
      <c r="C141" s="710"/>
      <c r="D141" s="732"/>
      <c r="E141" s="733">
        <f t="shared" si="514"/>
        <v>29140.426920000002</v>
      </c>
      <c r="F141" s="710"/>
      <c r="G141" s="732"/>
      <c r="H141" s="748">
        <v>2428.3689099999997</v>
      </c>
      <c r="I141" s="710"/>
      <c r="J141" s="732"/>
      <c r="K141" s="748">
        <v>2428.3689099999997</v>
      </c>
      <c r="L141" s="710"/>
      <c r="M141" s="732"/>
      <c r="N141" s="748">
        <v>2428.3689099999997</v>
      </c>
      <c r="O141" s="710"/>
      <c r="P141" s="732"/>
      <c r="Q141" s="748">
        <v>2428.3689099999997</v>
      </c>
      <c r="R141" s="710"/>
      <c r="S141" s="732"/>
      <c r="T141" s="748">
        <v>2428.3689099999997</v>
      </c>
      <c r="U141" s="710"/>
      <c r="V141" s="732"/>
      <c r="W141" s="748">
        <v>2428.3689099999997</v>
      </c>
      <c r="X141" s="710"/>
      <c r="Y141" s="732"/>
      <c r="Z141" s="748">
        <v>2428.3689099999997</v>
      </c>
      <c r="AA141" s="710"/>
      <c r="AB141" s="732"/>
      <c r="AC141" s="748">
        <v>2428.3689099999997</v>
      </c>
      <c r="AD141" s="710"/>
      <c r="AE141" s="732"/>
      <c r="AF141" s="748">
        <v>2428.3689099999997</v>
      </c>
      <c r="AG141" s="710"/>
      <c r="AH141" s="732"/>
      <c r="AI141" s="748">
        <v>2428.3689099999997</v>
      </c>
      <c r="AJ141" s="710"/>
      <c r="AK141" s="732"/>
      <c r="AL141" s="748">
        <v>2428.3689099999997</v>
      </c>
      <c r="AM141" s="710"/>
      <c r="AN141" s="732"/>
      <c r="AO141" s="748">
        <v>2428.3689099999997</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310"/>
        <v>Véhicules usagésFrais de déplacement</v>
      </c>
      <c r="B142" s="710" t="s">
        <v>125</v>
      </c>
      <c r="C142" s="710"/>
      <c r="D142" s="732"/>
      <c r="E142" s="733">
        <f t="shared" si="514"/>
        <v>3564.6381000000001</v>
      </c>
      <c r="F142" s="710"/>
      <c r="G142" s="732"/>
      <c r="H142" s="748">
        <v>297.05317500000001</v>
      </c>
      <c r="I142" s="710"/>
      <c r="J142" s="732"/>
      <c r="K142" s="748">
        <v>297.05317500000001</v>
      </c>
      <c r="L142" s="710"/>
      <c r="M142" s="732"/>
      <c r="N142" s="748">
        <v>297.05317500000001</v>
      </c>
      <c r="O142" s="710"/>
      <c r="P142" s="732"/>
      <c r="Q142" s="748">
        <v>297.05317500000001</v>
      </c>
      <c r="R142" s="710"/>
      <c r="S142" s="732"/>
      <c r="T142" s="748">
        <v>297.05317500000001</v>
      </c>
      <c r="U142" s="710"/>
      <c r="V142" s="732"/>
      <c r="W142" s="748">
        <v>297.05317500000001</v>
      </c>
      <c r="X142" s="710"/>
      <c r="Y142" s="732"/>
      <c r="Z142" s="748">
        <v>297.05317500000001</v>
      </c>
      <c r="AA142" s="710"/>
      <c r="AB142" s="732"/>
      <c r="AC142" s="748">
        <v>297.05317500000001</v>
      </c>
      <c r="AD142" s="710"/>
      <c r="AE142" s="732"/>
      <c r="AF142" s="748">
        <v>297.05317500000001</v>
      </c>
      <c r="AG142" s="710"/>
      <c r="AH142" s="732"/>
      <c r="AI142" s="748">
        <v>297.05317500000001</v>
      </c>
      <c r="AJ142" s="710"/>
      <c r="AK142" s="732"/>
      <c r="AL142" s="748">
        <v>297.05317500000001</v>
      </c>
      <c r="AM142" s="710"/>
      <c r="AN142" s="732"/>
      <c r="AO142" s="748">
        <v>297.05317500000001</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310"/>
        <v>Véhicules usagésServices extérieurs</v>
      </c>
      <c r="B143" s="705" t="s">
        <v>126</v>
      </c>
      <c r="C143" s="764"/>
      <c r="D143" s="765"/>
      <c r="E143" s="766">
        <f t="shared" si="514"/>
        <v>17894.918000000001</v>
      </c>
      <c r="F143" s="764"/>
      <c r="G143" s="765"/>
      <c r="H143" s="767">
        <v>1533.2706666666666</v>
      </c>
      <c r="I143" s="764"/>
      <c r="J143" s="765"/>
      <c r="K143" s="767">
        <v>1590.6786666666667</v>
      </c>
      <c r="L143" s="764"/>
      <c r="M143" s="765"/>
      <c r="N143" s="767">
        <v>1473.4350666666664</v>
      </c>
      <c r="O143" s="764"/>
      <c r="P143" s="765"/>
      <c r="Q143" s="767">
        <v>1482.0174666666665</v>
      </c>
      <c r="R143" s="764"/>
      <c r="S143" s="765"/>
      <c r="T143" s="767">
        <v>1441.3902666666663</v>
      </c>
      <c r="U143" s="764"/>
      <c r="V143" s="765"/>
      <c r="W143" s="767">
        <v>1558.4238666666665</v>
      </c>
      <c r="X143" s="764"/>
      <c r="Y143" s="765"/>
      <c r="Z143" s="767">
        <v>1520.4438666666665</v>
      </c>
      <c r="AA143" s="764"/>
      <c r="AB143" s="765"/>
      <c r="AC143" s="767">
        <v>1414.7634666666665</v>
      </c>
      <c r="AD143" s="764"/>
      <c r="AE143" s="765"/>
      <c r="AF143" s="767">
        <v>1422.5538666666666</v>
      </c>
      <c r="AG143" s="764"/>
      <c r="AH143" s="765"/>
      <c r="AI143" s="767">
        <v>1324.5378666666666</v>
      </c>
      <c r="AJ143" s="764"/>
      <c r="AK143" s="765"/>
      <c r="AL143" s="767">
        <v>1651.6650666666665</v>
      </c>
      <c r="AM143" s="764"/>
      <c r="AN143" s="765"/>
      <c r="AO143" s="767">
        <v>1481.7378666666664</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310"/>
        <v>Véhicules usagésFournitures autres</v>
      </c>
      <c r="B144" s="710" t="s">
        <v>127</v>
      </c>
      <c r="C144" s="710"/>
      <c r="D144" s="732"/>
      <c r="E144" s="733">
        <f t="shared" si="514"/>
        <v>989.00442577648357</v>
      </c>
      <c r="F144" s="710"/>
      <c r="G144" s="732"/>
      <c r="H144" s="748">
        <v>50.536579190711528</v>
      </c>
      <c r="I144" s="710"/>
      <c r="J144" s="732"/>
      <c r="K144" s="748">
        <v>52.169295627645639</v>
      </c>
      <c r="L144" s="710"/>
      <c r="M144" s="732"/>
      <c r="N144" s="748">
        <v>91.038462807095044</v>
      </c>
      <c r="O144" s="710"/>
      <c r="P144" s="732"/>
      <c r="Q144" s="748">
        <v>96.216577192736779</v>
      </c>
      <c r="R144" s="710"/>
      <c r="S144" s="732"/>
      <c r="T144" s="748">
        <v>107.68716037339154</v>
      </c>
      <c r="U144" s="710"/>
      <c r="V144" s="732"/>
      <c r="W144" s="748">
        <v>92.79037772039085</v>
      </c>
      <c r="X144" s="710"/>
      <c r="Y144" s="732"/>
      <c r="Z144" s="748">
        <v>99.362811590243282</v>
      </c>
      <c r="AA144" s="710"/>
      <c r="AB144" s="732"/>
      <c r="AC144" s="748">
        <v>94.464662279440972</v>
      </c>
      <c r="AD144" s="710"/>
      <c r="AE144" s="732"/>
      <c r="AF144" s="748">
        <v>81.641327736691551</v>
      </c>
      <c r="AG144" s="710"/>
      <c r="AH144" s="732"/>
      <c r="AI144" s="748">
        <v>89.804909921362054</v>
      </c>
      <c r="AJ144" s="710"/>
      <c r="AK144" s="732"/>
      <c r="AL144" s="748">
        <v>79.371050795832929</v>
      </c>
      <c r="AM144" s="710"/>
      <c r="AN144" s="732"/>
      <c r="AO144" s="748">
        <v>53.921210540941438</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310"/>
        <v>Véhicules usagésUniformes</v>
      </c>
      <c r="B145" s="710" t="s">
        <v>128</v>
      </c>
      <c r="C145" s="710"/>
      <c r="D145" s="732"/>
      <c r="E145" s="733">
        <f t="shared" si="514"/>
        <v>525.530953125</v>
      </c>
      <c r="F145" s="710"/>
      <c r="G145" s="732"/>
      <c r="H145" s="748">
        <v>26.853809687373364</v>
      </c>
      <c r="I145" s="710"/>
      <c r="J145" s="732"/>
      <c r="K145" s="748">
        <v>27.721392281466581</v>
      </c>
      <c r="L145" s="710"/>
      <c r="M145" s="732"/>
      <c r="N145" s="748">
        <v>48.375445936437309</v>
      </c>
      <c r="O145" s="710"/>
      <c r="P145" s="732"/>
      <c r="Q145" s="748">
        <v>51.126959799825812</v>
      </c>
      <c r="R145" s="710"/>
      <c r="S145" s="732"/>
      <c r="T145" s="748">
        <v>57.222126165837054</v>
      </c>
      <c r="U145" s="710"/>
      <c r="V145" s="732"/>
      <c r="W145" s="748">
        <v>49.306367467405586</v>
      </c>
      <c r="X145" s="710"/>
      <c r="Y145" s="732"/>
      <c r="Z145" s="748">
        <v>52.798786051137185</v>
      </c>
      <c r="AA145" s="710"/>
      <c r="AB145" s="732"/>
      <c r="AC145" s="748">
        <v>50.196038268857535</v>
      </c>
      <c r="AD145" s="710"/>
      <c r="AE145" s="732"/>
      <c r="AF145" s="748">
        <v>43.382055389861925</v>
      </c>
      <c r="AG145" s="710"/>
      <c r="AH145" s="732"/>
      <c r="AI145" s="748">
        <v>47.719968360328004</v>
      </c>
      <c r="AJ145" s="710"/>
      <c r="AK145" s="732"/>
      <c r="AL145" s="748">
        <v>42.175689904034691</v>
      </c>
      <c r="AM145" s="710"/>
      <c r="AN145" s="732"/>
      <c r="AO145" s="748">
        <v>28.652313812434855</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310"/>
        <v>Véhicules usagésPapeterie</v>
      </c>
      <c r="B146" s="710" t="s">
        <v>129</v>
      </c>
      <c r="C146" s="710"/>
      <c r="D146" s="732"/>
      <c r="E146" s="733">
        <f t="shared" si="514"/>
        <v>2937.8894400000008</v>
      </c>
      <c r="F146" s="710"/>
      <c r="G146" s="732"/>
      <c r="H146" s="748">
        <v>244.82411999999999</v>
      </c>
      <c r="I146" s="710"/>
      <c r="J146" s="732"/>
      <c r="K146" s="748">
        <v>244.82411999999999</v>
      </c>
      <c r="L146" s="710"/>
      <c r="M146" s="732"/>
      <c r="N146" s="748">
        <v>244.82411999999999</v>
      </c>
      <c r="O146" s="710"/>
      <c r="P146" s="732"/>
      <c r="Q146" s="748">
        <v>244.82411999999999</v>
      </c>
      <c r="R146" s="710"/>
      <c r="S146" s="732"/>
      <c r="T146" s="748">
        <v>244.82411999999999</v>
      </c>
      <c r="U146" s="710"/>
      <c r="V146" s="732"/>
      <c r="W146" s="748">
        <v>244.82411999999999</v>
      </c>
      <c r="X146" s="710"/>
      <c r="Y146" s="732"/>
      <c r="Z146" s="748">
        <v>244.82411999999999</v>
      </c>
      <c r="AA146" s="710"/>
      <c r="AB146" s="732"/>
      <c r="AC146" s="748">
        <v>244.82411999999999</v>
      </c>
      <c r="AD146" s="710"/>
      <c r="AE146" s="732"/>
      <c r="AF146" s="748">
        <v>244.82411999999999</v>
      </c>
      <c r="AG146" s="710"/>
      <c r="AH146" s="732"/>
      <c r="AI146" s="748">
        <v>244.82411999999999</v>
      </c>
      <c r="AJ146" s="710"/>
      <c r="AK146" s="732"/>
      <c r="AL146" s="748">
        <v>244.82411999999999</v>
      </c>
      <c r="AM146" s="710"/>
      <c r="AN146" s="732"/>
      <c r="AO146" s="748">
        <v>244.82411999999999</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310"/>
        <v>Véhicules usagésTéléphone</v>
      </c>
      <c r="B147" s="710" t="s">
        <v>130</v>
      </c>
      <c r="C147" s="710"/>
      <c r="D147" s="732"/>
      <c r="E147" s="733">
        <f t="shared" si="514"/>
        <v>1356.5903700000001</v>
      </c>
      <c r="F147" s="710"/>
      <c r="G147" s="732"/>
      <c r="H147" s="748">
        <v>113.04919750000001</v>
      </c>
      <c r="I147" s="710"/>
      <c r="J147" s="732"/>
      <c r="K147" s="748">
        <v>113.04919750000001</v>
      </c>
      <c r="L147" s="710"/>
      <c r="M147" s="732"/>
      <c r="N147" s="748">
        <v>113.04919750000001</v>
      </c>
      <c r="O147" s="710"/>
      <c r="P147" s="732"/>
      <c r="Q147" s="748">
        <v>113.04919750000001</v>
      </c>
      <c r="R147" s="710"/>
      <c r="S147" s="732"/>
      <c r="T147" s="748">
        <v>113.04919750000001</v>
      </c>
      <c r="U147" s="710"/>
      <c r="V147" s="732"/>
      <c r="W147" s="748">
        <v>113.04919750000001</v>
      </c>
      <c r="X147" s="710"/>
      <c r="Y147" s="732"/>
      <c r="Z147" s="748">
        <v>113.04919750000001</v>
      </c>
      <c r="AA147" s="710"/>
      <c r="AB147" s="732"/>
      <c r="AC147" s="748">
        <v>113.04919750000001</v>
      </c>
      <c r="AD147" s="710"/>
      <c r="AE147" s="732"/>
      <c r="AF147" s="748">
        <v>113.04919750000001</v>
      </c>
      <c r="AG147" s="710"/>
      <c r="AH147" s="732"/>
      <c r="AI147" s="748">
        <v>113.04919750000001</v>
      </c>
      <c r="AJ147" s="710"/>
      <c r="AK147" s="732"/>
      <c r="AL147" s="748">
        <v>113.04919750000001</v>
      </c>
      <c r="AM147" s="710"/>
      <c r="AN147" s="732"/>
      <c r="AO147" s="748">
        <v>113.04919750000001</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310"/>
        <v>Véhicules usagésFrais postaux</v>
      </c>
      <c r="B148" s="710" t="s">
        <v>131</v>
      </c>
      <c r="C148" s="710"/>
      <c r="D148" s="732"/>
      <c r="E148" s="733">
        <f t="shared" si="514"/>
        <v>724.12683000000004</v>
      </c>
      <c r="F148" s="710"/>
      <c r="G148" s="732"/>
      <c r="H148" s="748">
        <v>60.343902499999984</v>
      </c>
      <c r="I148" s="710"/>
      <c r="J148" s="732"/>
      <c r="K148" s="748">
        <v>60.343902499999984</v>
      </c>
      <c r="L148" s="710"/>
      <c r="M148" s="732"/>
      <c r="N148" s="748">
        <v>60.343902499999984</v>
      </c>
      <c r="O148" s="710"/>
      <c r="P148" s="732"/>
      <c r="Q148" s="748">
        <v>60.343902499999984</v>
      </c>
      <c r="R148" s="710"/>
      <c r="S148" s="732"/>
      <c r="T148" s="748">
        <v>60.343902499999984</v>
      </c>
      <c r="U148" s="710"/>
      <c r="V148" s="732"/>
      <c r="W148" s="748">
        <v>60.343902499999984</v>
      </c>
      <c r="X148" s="710"/>
      <c r="Y148" s="732"/>
      <c r="Z148" s="748">
        <v>60.343902499999984</v>
      </c>
      <c r="AA148" s="710"/>
      <c r="AB148" s="732"/>
      <c r="AC148" s="748">
        <v>60.343902499999984</v>
      </c>
      <c r="AD148" s="710"/>
      <c r="AE148" s="732"/>
      <c r="AF148" s="748">
        <v>60.343902499999984</v>
      </c>
      <c r="AG148" s="710"/>
      <c r="AH148" s="732"/>
      <c r="AI148" s="748">
        <v>60.343902499999984</v>
      </c>
      <c r="AJ148" s="710"/>
      <c r="AK148" s="732"/>
      <c r="AL148" s="748">
        <v>60.343902499999984</v>
      </c>
      <c r="AM148" s="710"/>
      <c r="AN148" s="732"/>
      <c r="AO148" s="748">
        <v>60.343902499999984</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310"/>
        <v>Véhicules usagésDivers</v>
      </c>
      <c r="B149" s="710" t="s">
        <v>132</v>
      </c>
      <c r="C149" s="710"/>
      <c r="D149" s="732"/>
      <c r="E149" s="733">
        <f t="shared" si="514"/>
        <v>3493.0511699999988</v>
      </c>
      <c r="F149" s="710"/>
      <c r="G149" s="732"/>
      <c r="H149" s="748">
        <v>291.0875974999999</v>
      </c>
      <c r="I149" s="710"/>
      <c r="J149" s="732"/>
      <c r="K149" s="748">
        <v>291.0875974999999</v>
      </c>
      <c r="L149" s="710"/>
      <c r="M149" s="732"/>
      <c r="N149" s="748">
        <v>291.0875974999999</v>
      </c>
      <c r="O149" s="710"/>
      <c r="P149" s="732"/>
      <c r="Q149" s="748">
        <v>291.0875974999999</v>
      </c>
      <c r="R149" s="710"/>
      <c r="S149" s="732"/>
      <c r="T149" s="748">
        <v>291.0875974999999</v>
      </c>
      <c r="U149" s="710"/>
      <c r="V149" s="732"/>
      <c r="W149" s="748">
        <v>291.0875974999999</v>
      </c>
      <c r="X149" s="710"/>
      <c r="Y149" s="732"/>
      <c r="Z149" s="748">
        <v>291.0875974999999</v>
      </c>
      <c r="AA149" s="710"/>
      <c r="AB149" s="732"/>
      <c r="AC149" s="748">
        <v>291.0875974999999</v>
      </c>
      <c r="AD149" s="710"/>
      <c r="AE149" s="732"/>
      <c r="AF149" s="748">
        <v>291.0875974999999</v>
      </c>
      <c r="AG149" s="710"/>
      <c r="AH149" s="732"/>
      <c r="AI149" s="748">
        <v>291.0875974999999</v>
      </c>
      <c r="AJ149" s="710"/>
      <c r="AK149" s="732"/>
      <c r="AL149" s="748">
        <v>291.0875974999999</v>
      </c>
      <c r="AM149" s="710"/>
      <c r="AN149" s="732"/>
      <c r="AO149" s="748">
        <v>291.0875974999999</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310"/>
        <v>Véhicules usagésFormation</v>
      </c>
      <c r="B150" s="710" t="s">
        <v>133</v>
      </c>
      <c r="C150" s="710"/>
      <c r="D150" s="732"/>
      <c r="E150" s="733">
        <f t="shared" si="514"/>
        <v>5189.6531999999979</v>
      </c>
      <c r="F150" s="710"/>
      <c r="G150" s="732"/>
      <c r="H150" s="748">
        <v>432.47109999999998</v>
      </c>
      <c r="I150" s="710"/>
      <c r="J150" s="732"/>
      <c r="K150" s="748">
        <v>432.47109999999998</v>
      </c>
      <c r="L150" s="710"/>
      <c r="M150" s="732"/>
      <c r="N150" s="748">
        <v>432.47109999999998</v>
      </c>
      <c r="O150" s="710"/>
      <c r="P150" s="732"/>
      <c r="Q150" s="748">
        <v>432.47109999999998</v>
      </c>
      <c r="R150" s="710"/>
      <c r="S150" s="732"/>
      <c r="T150" s="748">
        <v>432.47109999999998</v>
      </c>
      <c r="U150" s="710"/>
      <c r="V150" s="732"/>
      <c r="W150" s="748">
        <v>432.47109999999998</v>
      </c>
      <c r="X150" s="710"/>
      <c r="Y150" s="732"/>
      <c r="Z150" s="748">
        <v>432.47109999999998</v>
      </c>
      <c r="AA150" s="710"/>
      <c r="AB150" s="732"/>
      <c r="AC150" s="748">
        <v>432.47109999999998</v>
      </c>
      <c r="AD150" s="710"/>
      <c r="AE150" s="732"/>
      <c r="AF150" s="748">
        <v>432.47109999999998</v>
      </c>
      <c r="AG150" s="710"/>
      <c r="AH150" s="732"/>
      <c r="AI150" s="748">
        <v>432.47109999999998</v>
      </c>
      <c r="AJ150" s="710"/>
      <c r="AK150" s="732"/>
      <c r="AL150" s="748">
        <v>432.47109999999998</v>
      </c>
      <c r="AM150" s="710"/>
      <c r="AN150" s="732"/>
      <c r="AO150" s="748">
        <v>432.47109999999998</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310"/>
        <v>Véhicules usagésFrais bancaires</v>
      </c>
      <c r="B151" s="710" t="s">
        <v>134</v>
      </c>
      <c r="C151" s="710"/>
      <c r="D151" s="732"/>
      <c r="E151" s="733">
        <f t="shared" si="514"/>
        <v>10488.509744208159</v>
      </c>
      <c r="F151" s="710"/>
      <c r="G151" s="732"/>
      <c r="H151" s="748">
        <v>631.21397587732326</v>
      </c>
      <c r="I151" s="710"/>
      <c r="J151" s="732"/>
      <c r="K151" s="748">
        <v>537.16926151381199</v>
      </c>
      <c r="L151" s="710"/>
      <c r="M151" s="732"/>
      <c r="N151" s="748">
        <v>629.78502281741737</v>
      </c>
      <c r="O151" s="710"/>
      <c r="P151" s="732"/>
      <c r="Q151" s="748">
        <v>1259.6435944222851</v>
      </c>
      <c r="R151" s="710"/>
      <c r="S151" s="732"/>
      <c r="T151" s="748">
        <v>1150.0620562818558</v>
      </c>
      <c r="U151" s="710"/>
      <c r="V151" s="732"/>
      <c r="W151" s="748">
        <v>742.16737109739563</v>
      </c>
      <c r="X151" s="710"/>
      <c r="Y151" s="732"/>
      <c r="Z151" s="748">
        <v>696.67018378284752</v>
      </c>
      <c r="AA151" s="710"/>
      <c r="AB151" s="732"/>
      <c r="AC151" s="748">
        <v>773.3025512336842</v>
      </c>
      <c r="AD151" s="710"/>
      <c r="AE151" s="732"/>
      <c r="AF151" s="748">
        <v>572.74649488204318</v>
      </c>
      <c r="AG151" s="710"/>
      <c r="AH151" s="732"/>
      <c r="AI151" s="748">
        <v>1120.0337600408072</v>
      </c>
      <c r="AJ151" s="710"/>
      <c r="AK151" s="732"/>
      <c r="AL151" s="748">
        <v>1653.9931027671753</v>
      </c>
      <c r="AM151" s="710"/>
      <c r="AN151" s="732"/>
      <c r="AO151" s="748">
        <v>721.72236949151124</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310"/>
        <v>Véhicules usagés[...]</v>
      </c>
      <c r="B152" s="710" t="s">
        <v>42</v>
      </c>
      <c r="C152" s="710"/>
      <c r="D152" s="732"/>
      <c r="E152" s="733">
        <f t="shared" si="514"/>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310"/>
        <v>Véhicules usagés[...]</v>
      </c>
      <c r="B153" s="710" t="s">
        <v>42</v>
      </c>
      <c r="C153" s="710"/>
      <c r="D153" s="732"/>
      <c r="E153" s="733">
        <f t="shared" si="514"/>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310"/>
        <v>Véhicules usagés[...]</v>
      </c>
      <c r="B154" s="710" t="s">
        <v>42</v>
      </c>
      <c r="C154" s="705"/>
      <c r="D154" s="763"/>
      <c r="E154" s="733">
        <f t="shared" si="514"/>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310"/>
        <v>Véhicules usagésTOTAL SEMI-FIXES</v>
      </c>
      <c r="B155" s="753" t="s">
        <v>135</v>
      </c>
      <c r="C155" s="754" t="s">
        <v>111</v>
      </c>
      <c r="D155" s="755">
        <f>IFERROR(E155/E$110,0)</f>
        <v>4.9907750954890438E-2</v>
      </c>
      <c r="E155" s="756">
        <f>+SUM(E138:E154)</f>
        <v>77804.819153109653</v>
      </c>
      <c r="F155" s="754" t="s">
        <v>111</v>
      </c>
      <c r="G155" s="755">
        <f>IFERROR(H155/H$110,0)</f>
        <v>6.864709260760056E-2</v>
      </c>
      <c r="H155" s="756">
        <f>+SUM(H138:H154)</f>
        <v>6234.1130339220745</v>
      </c>
      <c r="I155" s="754" t="s">
        <v>111</v>
      </c>
      <c r="J155" s="755">
        <f t="shared" ref="J155" si="515">IFERROR(K155/K$110,0)</f>
        <v>6.5540350666399849E-2</v>
      </c>
      <c r="K155" s="756">
        <f t="shared" ref="K155" si="516">+SUM(K138:K154)</f>
        <v>6199.9766185895896</v>
      </c>
      <c r="L155" s="754" t="s">
        <v>111</v>
      </c>
      <c r="M155" s="755">
        <f t="shared" ref="M155" si="517">IFERROR(N155/N$110,0)</f>
        <v>4.1193269993811385E-2</v>
      </c>
      <c r="N155" s="756">
        <f t="shared" ref="N155" si="518">+SUM(N138:N154)</f>
        <v>6234.8720007276161</v>
      </c>
      <c r="O155" s="754" t="s">
        <v>111</v>
      </c>
      <c r="P155" s="755">
        <f t="shared" ref="P155" si="519">IFERROR(Q155/Q$110,0)</f>
        <v>4.6629523767015325E-2</v>
      </c>
      <c r="Q155" s="756">
        <f t="shared" ref="Q155" si="520">+SUM(Q138:Q154)</f>
        <v>6881.2426005815141</v>
      </c>
      <c r="R155" s="754" t="s">
        <v>111</v>
      </c>
      <c r="S155" s="755">
        <f t="shared" ref="S155" si="521">IFERROR(T155/T$110,0)</f>
        <v>4.4587424708045269E-2</v>
      </c>
      <c r="T155" s="756">
        <f t="shared" ref="T155" si="522">+SUM(T138:T154)</f>
        <v>6748.5996119877509</v>
      </c>
      <c r="U155" s="754" t="s">
        <v>111</v>
      </c>
      <c r="V155" s="755">
        <f t="shared" ref="V155" si="523">IFERROR(W155/W$110,0)</f>
        <v>4.0490485416308335E-2</v>
      </c>
      <c r="W155" s="756">
        <f t="shared" ref="W155" si="524">+SUM(W138:W154)</f>
        <v>6434.9259854518587</v>
      </c>
      <c r="X155" s="754" t="s">
        <v>111</v>
      </c>
      <c r="Y155" s="755">
        <f t="shared" ref="Y155" si="525">IFERROR(Z155/Z$110,0)</f>
        <v>4.2029980623102717E-2</v>
      </c>
      <c r="Z155" s="756">
        <f t="shared" ref="Z155" si="526">+SUM(Z138:Z154)</f>
        <v>6361.513650590894</v>
      </c>
      <c r="AA155" s="754" t="s">
        <v>111</v>
      </c>
      <c r="AB155" s="755">
        <f t="shared" ref="AB155" si="527">IFERROR(AC155/AC$110,0)</f>
        <v>4.5176762105740821E-2</v>
      </c>
      <c r="AC155" s="756">
        <f t="shared" ref="AC155" si="528">+SUM(AC138:AC154)</f>
        <v>6324.9647209486493</v>
      </c>
      <c r="AD155" s="754" t="s">
        <v>111</v>
      </c>
      <c r="AE155" s="755">
        <f t="shared" ref="AE155" si="529">IFERROR(AF155/AF$110,0)</f>
        <v>5.2109905202875617E-2</v>
      </c>
      <c r="AF155" s="756">
        <f t="shared" ref="AF155" si="530">+SUM(AF138:AF154)</f>
        <v>6112.5617471752639</v>
      </c>
      <c r="AG155" s="754" t="s">
        <v>111</v>
      </c>
      <c r="AH155" s="755">
        <f t="shared" ref="AH155" si="531">IFERROR(AI155/AI$110,0)</f>
        <v>4.8262299952237707E-2</v>
      </c>
      <c r="AI155" s="756">
        <f t="shared" ref="AI155" si="532">+SUM(AI138:AI154)</f>
        <v>6574.334507489164</v>
      </c>
      <c r="AJ155" s="754" t="s">
        <v>111</v>
      </c>
      <c r="AK155" s="755">
        <f t="shared" ref="AK155" si="533">IFERROR(AL155/AL$110,0)</f>
        <v>6.3251134765903633E-2</v>
      </c>
      <c r="AL155" s="756">
        <f t="shared" ref="AL155" si="534">+SUM(AL138:AL154)</f>
        <v>7419.4429126337091</v>
      </c>
      <c r="AM155" s="754" t="s">
        <v>111</v>
      </c>
      <c r="AN155" s="755">
        <f t="shared" ref="AN155" si="535">IFERROR(AO155/AO$110,0)</f>
        <v>6.1451864501866654E-2</v>
      </c>
      <c r="AO155" s="756">
        <f t="shared" ref="AO155" si="536">+SUM(AO138:AO154)</f>
        <v>6278.271763011553</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310"/>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310"/>
        <v>Véhicules usagésTOTAL DES DÉPENSES</v>
      </c>
      <c r="B157" s="768" t="s">
        <v>136</v>
      </c>
      <c r="C157" s="754" t="s">
        <v>111</v>
      </c>
      <c r="D157" s="755">
        <f>IFERROR(E157/E$110,0)</f>
        <v>0.74510153019041758</v>
      </c>
      <c r="E157" s="769">
        <f>E124+E137+E155</f>
        <v>1161592.9128838056</v>
      </c>
      <c r="F157" s="754" t="s">
        <v>111</v>
      </c>
      <c r="G157" s="755">
        <f>IFERROR(H157/H$110,0)</f>
        <v>0.86425993052821415</v>
      </c>
      <c r="H157" s="769">
        <f>H124+H137+H155</f>
        <v>78486.850541518535</v>
      </c>
      <c r="I157" s="754" t="s">
        <v>111</v>
      </c>
      <c r="J157" s="755">
        <f t="shared" ref="J157" si="537">IFERROR(K157/K$110,0)</f>
        <v>0.83751399097375978</v>
      </c>
      <c r="K157" s="769">
        <f t="shared" ref="K157" si="538">K124+K137+K155</f>
        <v>79227.027456858006</v>
      </c>
      <c r="L157" s="754" t="s">
        <v>111</v>
      </c>
      <c r="M157" s="755">
        <f t="shared" ref="M157" si="539">IFERROR(N157/N$110,0)</f>
        <v>0.70975120873372988</v>
      </c>
      <c r="N157" s="769">
        <f t="shared" ref="N157" si="540">N124+N137+N155</f>
        <v>107425.50760066704</v>
      </c>
      <c r="O157" s="754" t="s">
        <v>111</v>
      </c>
      <c r="P157" s="755">
        <f t="shared" ref="P157" si="541">IFERROR(Q157/Q$110,0)</f>
        <v>0.70797768627192481</v>
      </c>
      <c r="Q157" s="769">
        <f t="shared" ref="Q157" si="542">Q124+Q137+Q155</f>
        <v>104478.14649313834</v>
      </c>
      <c r="R157" s="754" t="s">
        <v>111</v>
      </c>
      <c r="S157" s="755">
        <f t="shared" ref="S157" si="543">IFERROR(T157/T$110,0)</f>
        <v>0.70526705227643771</v>
      </c>
      <c r="T157" s="769">
        <f t="shared" ref="T157" si="544">T124+T137+T155</f>
        <v>106746.80106567593</v>
      </c>
      <c r="U157" s="754" t="s">
        <v>111</v>
      </c>
      <c r="V157" s="755">
        <f t="shared" ref="V157" si="545">IFERROR(W157/W$110,0)</f>
        <v>0.69182156997958344</v>
      </c>
      <c r="W157" s="769">
        <f t="shared" ref="W157" si="546">W124+W137+W155</f>
        <v>109947.32595042353</v>
      </c>
      <c r="X157" s="754" t="s">
        <v>111</v>
      </c>
      <c r="Y157" s="755">
        <f t="shared" ref="Y157" si="547">IFERROR(Z157/Z$110,0)</f>
        <v>0.70468101034045072</v>
      </c>
      <c r="Z157" s="769">
        <f t="shared" ref="Z157" si="548">Z124+Z137+Z155</f>
        <v>106658.09976911738</v>
      </c>
      <c r="AA157" s="754" t="s">
        <v>111</v>
      </c>
      <c r="AB157" s="755">
        <f t="shared" ref="AB157" si="549">IFERROR(AC157/AC$110,0)</f>
        <v>0.72391361584881586</v>
      </c>
      <c r="AC157" s="769">
        <f t="shared" ref="AC157" si="550">AC124+AC137+AC155</f>
        <v>101351.39987547476</v>
      </c>
      <c r="AD157" s="754" t="s">
        <v>111</v>
      </c>
      <c r="AE157" s="755">
        <f t="shared" ref="AE157" si="551">IFERROR(AF157/AF$110,0)</f>
        <v>0.77667979297250334</v>
      </c>
      <c r="AF157" s="769">
        <f t="shared" ref="AF157" si="552">AF124+AF137+AF155</f>
        <v>91105.581056895535</v>
      </c>
      <c r="AG157" s="754" t="s">
        <v>111</v>
      </c>
      <c r="AH157" s="755">
        <f t="shared" ref="AH157" si="553">IFERROR(AI157/AI$110,0)</f>
        <v>0.72709497943070511</v>
      </c>
      <c r="AI157" s="769">
        <f t="shared" ref="AI157" si="554">AI124+AI137+AI155</f>
        <v>99045.541099865746</v>
      </c>
      <c r="AJ157" s="754" t="s">
        <v>111</v>
      </c>
      <c r="AK157" s="755">
        <f t="shared" ref="AK157" si="555">IFERROR(AL157/AL$110,0)</f>
        <v>0.78709386942517823</v>
      </c>
      <c r="AL157" s="769">
        <f t="shared" ref="AL157" si="556">AL124+AL137+AL155</f>
        <v>92327.16618757174</v>
      </c>
      <c r="AM157" s="754" t="s">
        <v>111</v>
      </c>
      <c r="AN157" s="755">
        <f t="shared" ref="AN157" si="557">IFERROR(AO157/AO$110,0)</f>
        <v>0.82996034049699696</v>
      </c>
      <c r="AO157" s="769">
        <f t="shared" ref="AO157" si="558">AO124+AO137+AO155</f>
        <v>84793.46578659903</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310"/>
        <v>Véhicules usagésProgramme used 1</v>
      </c>
      <c r="B158" s="710" t="s">
        <v>152</v>
      </c>
      <c r="C158" s="787"/>
      <c r="D158" s="796"/>
      <c r="E158" s="733">
        <f t="shared" ref="E158:E164" si="559">+SUM(H158,K158,N158,Q158,T158,W158,Z158,AC158,AF158,AI158,AL158,AO158)</f>
        <v>0</v>
      </c>
      <c r="F158" s="787"/>
      <c r="G158" s="796"/>
      <c r="H158" s="748">
        <v>0</v>
      </c>
      <c r="I158" s="787"/>
      <c r="J158" s="796"/>
      <c r="K158" s="748">
        <v>0</v>
      </c>
      <c r="L158" s="787"/>
      <c r="M158" s="796"/>
      <c r="N158" s="748">
        <v>0</v>
      </c>
      <c r="O158" s="787"/>
      <c r="P158" s="796"/>
      <c r="Q158" s="748">
        <v>0</v>
      </c>
      <c r="R158" s="787"/>
      <c r="S158" s="796"/>
      <c r="T158" s="748">
        <v>0</v>
      </c>
      <c r="U158" s="787"/>
      <c r="V158" s="796"/>
      <c r="W158" s="748">
        <v>0</v>
      </c>
      <c r="X158" s="787"/>
      <c r="Y158" s="796"/>
      <c r="Z158" s="748">
        <v>0</v>
      </c>
      <c r="AA158" s="787"/>
      <c r="AB158" s="796"/>
      <c r="AC158" s="748">
        <v>0</v>
      </c>
      <c r="AD158" s="787"/>
      <c r="AE158" s="796"/>
      <c r="AF158" s="748">
        <v>0</v>
      </c>
      <c r="AG158" s="787"/>
      <c r="AH158" s="796"/>
      <c r="AI158" s="748">
        <v>0</v>
      </c>
      <c r="AJ158" s="787"/>
      <c r="AK158" s="796"/>
      <c r="AL158" s="748">
        <v>0</v>
      </c>
      <c r="AM158" s="787"/>
      <c r="AN158" s="796"/>
      <c r="AO158" s="748">
        <v>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310"/>
        <v>Véhicules usagésProgramme used 2</v>
      </c>
      <c r="B159" s="710" t="s">
        <v>153</v>
      </c>
      <c r="C159" s="787"/>
      <c r="D159" s="796"/>
      <c r="E159" s="733">
        <f t="shared" si="559"/>
        <v>0</v>
      </c>
      <c r="F159" s="787"/>
      <c r="G159" s="796"/>
      <c r="H159" s="748">
        <v>0</v>
      </c>
      <c r="I159" s="787"/>
      <c r="J159" s="796"/>
      <c r="K159" s="748">
        <v>0</v>
      </c>
      <c r="L159" s="787"/>
      <c r="M159" s="796"/>
      <c r="N159" s="748">
        <v>0</v>
      </c>
      <c r="O159" s="787"/>
      <c r="P159" s="796"/>
      <c r="Q159" s="748">
        <v>0</v>
      </c>
      <c r="R159" s="787"/>
      <c r="S159" s="796"/>
      <c r="T159" s="748">
        <v>0</v>
      </c>
      <c r="U159" s="787"/>
      <c r="V159" s="796"/>
      <c r="W159" s="748">
        <v>0</v>
      </c>
      <c r="X159" s="787"/>
      <c r="Y159" s="796"/>
      <c r="Z159" s="748">
        <v>0</v>
      </c>
      <c r="AA159" s="787"/>
      <c r="AB159" s="796"/>
      <c r="AC159" s="748">
        <v>0</v>
      </c>
      <c r="AD159" s="787"/>
      <c r="AE159" s="796"/>
      <c r="AF159" s="748">
        <v>0</v>
      </c>
      <c r="AG159" s="787"/>
      <c r="AH159" s="796"/>
      <c r="AI159" s="748">
        <v>0</v>
      </c>
      <c r="AJ159" s="787"/>
      <c r="AK159" s="796"/>
      <c r="AL159" s="748">
        <v>0</v>
      </c>
      <c r="AM159" s="787"/>
      <c r="AN159" s="796"/>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310"/>
        <v>Véhicules usagésProgramme used 3</v>
      </c>
      <c r="B160" s="710" t="s">
        <v>154</v>
      </c>
      <c r="C160" s="710"/>
      <c r="D160" s="732"/>
      <c r="E160" s="733">
        <f t="shared" si="559"/>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310"/>
        <v>Véhicules usagés[...]</v>
      </c>
      <c r="B161" s="710" t="s">
        <v>42</v>
      </c>
      <c r="C161" s="710"/>
      <c r="D161" s="732"/>
      <c r="E161" s="733">
        <f t="shared" si="559"/>
        <v>0</v>
      </c>
      <c r="F161" s="710"/>
      <c r="G161" s="732"/>
      <c r="H161" s="748">
        <v>0</v>
      </c>
      <c r="I161" s="710"/>
      <c r="J161" s="732"/>
      <c r="K161" s="748">
        <v>0</v>
      </c>
      <c r="L161" s="710"/>
      <c r="M161" s="732"/>
      <c r="N161" s="748">
        <v>0</v>
      </c>
      <c r="O161" s="710"/>
      <c r="P161" s="732"/>
      <c r="Q161" s="748">
        <v>0</v>
      </c>
      <c r="R161" s="710"/>
      <c r="S161" s="732"/>
      <c r="T161" s="748">
        <v>0</v>
      </c>
      <c r="U161" s="710"/>
      <c r="V161" s="732"/>
      <c r="W161" s="748">
        <v>0</v>
      </c>
      <c r="X161" s="710"/>
      <c r="Y161" s="732"/>
      <c r="Z161" s="748">
        <v>0</v>
      </c>
      <c r="AA161" s="710"/>
      <c r="AB161" s="732"/>
      <c r="AC161" s="748">
        <v>0</v>
      </c>
      <c r="AD161" s="710"/>
      <c r="AE161" s="732"/>
      <c r="AF161" s="748">
        <v>0</v>
      </c>
      <c r="AG161" s="710"/>
      <c r="AH161" s="732"/>
      <c r="AI161" s="748">
        <v>0</v>
      </c>
      <c r="AJ161" s="710"/>
      <c r="AK161" s="732"/>
      <c r="AL161" s="748">
        <v>0</v>
      </c>
      <c r="AM161" s="710"/>
      <c r="AN161" s="732"/>
      <c r="AO161" s="748">
        <v>0</v>
      </c>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560">+$C$92&amp;B162</f>
        <v>Véhicules usagés[...]</v>
      </c>
      <c r="B162" s="710" t="s">
        <v>42</v>
      </c>
      <c r="C162" s="710"/>
      <c r="D162" s="732"/>
      <c r="E162" s="733">
        <f t="shared" si="559"/>
        <v>0</v>
      </c>
      <c r="F162" s="710"/>
      <c r="G162" s="732"/>
      <c r="H162" s="748">
        <v>0</v>
      </c>
      <c r="I162" s="710"/>
      <c r="J162" s="732"/>
      <c r="K162" s="748">
        <v>0</v>
      </c>
      <c r="L162" s="710"/>
      <c r="M162" s="732"/>
      <c r="N162" s="748">
        <v>0</v>
      </c>
      <c r="O162" s="710"/>
      <c r="P162" s="732"/>
      <c r="Q162" s="748">
        <v>0</v>
      </c>
      <c r="R162" s="710"/>
      <c r="S162" s="732"/>
      <c r="T162" s="748">
        <v>0</v>
      </c>
      <c r="U162" s="710"/>
      <c r="V162" s="732"/>
      <c r="W162" s="748">
        <v>0</v>
      </c>
      <c r="X162" s="710"/>
      <c r="Y162" s="732"/>
      <c r="Z162" s="748">
        <v>0</v>
      </c>
      <c r="AA162" s="710"/>
      <c r="AB162" s="732"/>
      <c r="AC162" s="748">
        <v>0</v>
      </c>
      <c r="AD162" s="710"/>
      <c r="AE162" s="732"/>
      <c r="AF162" s="748">
        <v>0</v>
      </c>
      <c r="AG162" s="710"/>
      <c r="AH162" s="732"/>
      <c r="AI162" s="748">
        <v>0</v>
      </c>
      <c r="AJ162" s="710"/>
      <c r="AK162" s="732"/>
      <c r="AL162" s="748">
        <v>0</v>
      </c>
      <c r="AM162" s="710"/>
      <c r="AN162" s="732"/>
      <c r="AO162" s="748">
        <v>0</v>
      </c>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560"/>
        <v>Véhicules usagés[...]</v>
      </c>
      <c r="B163" s="710" t="s">
        <v>42</v>
      </c>
      <c r="C163" s="710"/>
      <c r="D163" s="732"/>
      <c r="E163" s="733">
        <f t="shared" si="559"/>
        <v>0</v>
      </c>
      <c r="F163" s="710"/>
      <c r="G163" s="732"/>
      <c r="H163" s="748">
        <v>0</v>
      </c>
      <c r="I163" s="710"/>
      <c r="J163" s="732"/>
      <c r="K163" s="748">
        <v>0</v>
      </c>
      <c r="L163" s="710"/>
      <c r="M163" s="732"/>
      <c r="N163" s="748">
        <v>0</v>
      </c>
      <c r="O163" s="710"/>
      <c r="P163" s="732"/>
      <c r="Q163" s="748">
        <v>0</v>
      </c>
      <c r="R163" s="710"/>
      <c r="S163" s="732"/>
      <c r="T163" s="748">
        <v>0</v>
      </c>
      <c r="U163" s="710"/>
      <c r="V163" s="732"/>
      <c r="W163" s="748">
        <v>0</v>
      </c>
      <c r="X163" s="710"/>
      <c r="Y163" s="732"/>
      <c r="Z163" s="748">
        <v>0</v>
      </c>
      <c r="AA163" s="710"/>
      <c r="AB163" s="732"/>
      <c r="AC163" s="748">
        <v>0</v>
      </c>
      <c r="AD163" s="710"/>
      <c r="AE163" s="732"/>
      <c r="AF163" s="748">
        <v>0</v>
      </c>
      <c r="AG163" s="710"/>
      <c r="AH163" s="732"/>
      <c r="AI163" s="748">
        <v>0</v>
      </c>
      <c r="AJ163" s="710"/>
      <c r="AK163" s="732"/>
      <c r="AL163" s="748">
        <v>0</v>
      </c>
      <c r="AM163" s="710"/>
      <c r="AN163" s="732"/>
      <c r="AO163" s="748">
        <v>0</v>
      </c>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560"/>
        <v>Véhicules usagésFrais administration</v>
      </c>
      <c r="B164" s="705" t="s">
        <v>141</v>
      </c>
      <c r="C164" s="705"/>
      <c r="D164" s="763"/>
      <c r="E164" s="751">
        <f t="shared" si="559"/>
        <v>168777</v>
      </c>
      <c r="F164" s="705"/>
      <c r="G164" s="763"/>
      <c r="H164" s="752">
        <v>9831.6699029126212</v>
      </c>
      <c r="I164" s="705"/>
      <c r="J164" s="763"/>
      <c r="K164" s="752">
        <v>10241.32281553398</v>
      </c>
      <c r="L164" s="705"/>
      <c r="M164" s="763"/>
      <c r="N164" s="752">
        <v>16386.11650485437</v>
      </c>
      <c r="O164" s="705"/>
      <c r="P164" s="763"/>
      <c r="Q164" s="752">
        <v>15976.463592233011</v>
      </c>
      <c r="R164" s="705"/>
      <c r="S164" s="763"/>
      <c r="T164" s="752">
        <v>16386.11650485437</v>
      </c>
      <c r="U164" s="705"/>
      <c r="V164" s="763"/>
      <c r="W164" s="752">
        <v>17205.422330097088</v>
      </c>
      <c r="X164" s="705"/>
      <c r="Y164" s="763"/>
      <c r="Z164" s="752">
        <v>16386.11650485437</v>
      </c>
      <c r="AA164" s="705"/>
      <c r="AB164" s="763"/>
      <c r="AC164" s="752">
        <v>15157.157766990293</v>
      </c>
      <c r="AD164" s="705"/>
      <c r="AE164" s="763"/>
      <c r="AF164" s="752">
        <v>12699.240291262136</v>
      </c>
      <c r="AG164" s="705"/>
      <c r="AH164" s="763"/>
      <c r="AI164" s="752">
        <v>14747.504854368934</v>
      </c>
      <c r="AJ164" s="705"/>
      <c r="AK164" s="763"/>
      <c r="AL164" s="752">
        <v>12699.240291262136</v>
      </c>
      <c r="AM164" s="705"/>
      <c r="AN164" s="763"/>
      <c r="AO164" s="752">
        <v>11060.6286407767</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560"/>
        <v>Véhicules usagésAUTRES REVENUS</v>
      </c>
      <c r="B165" s="768" t="s">
        <v>142</v>
      </c>
      <c r="C165" s="797"/>
      <c r="D165" s="798"/>
      <c r="E165" s="769">
        <f>+SUM(E158:E164)</f>
        <v>168777</v>
      </c>
      <c r="F165" s="797"/>
      <c r="G165" s="798"/>
      <c r="H165" s="769">
        <f>+SUM(H158:H164)</f>
        <v>9831.6699029126212</v>
      </c>
      <c r="I165" s="797"/>
      <c r="J165" s="798"/>
      <c r="K165" s="769">
        <f t="shared" ref="K165" si="561">+SUM(K158:K164)</f>
        <v>10241.32281553398</v>
      </c>
      <c r="L165" s="797"/>
      <c r="M165" s="798"/>
      <c r="N165" s="769">
        <f t="shared" ref="N165" si="562">+SUM(N158:N164)</f>
        <v>16386.11650485437</v>
      </c>
      <c r="O165" s="797"/>
      <c r="P165" s="798"/>
      <c r="Q165" s="769">
        <f t="shared" ref="Q165" si="563">+SUM(Q158:Q164)</f>
        <v>15976.463592233011</v>
      </c>
      <c r="R165" s="797"/>
      <c r="S165" s="798"/>
      <c r="T165" s="769">
        <f t="shared" ref="T165" si="564">+SUM(T158:T164)</f>
        <v>16386.11650485437</v>
      </c>
      <c r="U165" s="797"/>
      <c r="V165" s="798"/>
      <c r="W165" s="769">
        <f t="shared" ref="W165" si="565">+SUM(W158:W164)</f>
        <v>17205.422330097088</v>
      </c>
      <c r="X165" s="797"/>
      <c r="Y165" s="798"/>
      <c r="Z165" s="769">
        <f t="shared" ref="Z165" si="566">+SUM(Z158:Z164)</f>
        <v>16386.11650485437</v>
      </c>
      <c r="AA165" s="797"/>
      <c r="AB165" s="798"/>
      <c r="AC165" s="769">
        <f t="shared" ref="AC165" si="567">+SUM(AC158:AC164)</f>
        <v>15157.157766990293</v>
      </c>
      <c r="AD165" s="797"/>
      <c r="AE165" s="798"/>
      <c r="AF165" s="769">
        <f t="shared" ref="AF165" si="568">+SUM(AF158:AF164)</f>
        <v>12699.240291262136</v>
      </c>
      <c r="AG165" s="797"/>
      <c r="AH165" s="798"/>
      <c r="AI165" s="769">
        <f t="shared" ref="AI165" si="569">+SUM(AI158:AI164)</f>
        <v>14747.504854368934</v>
      </c>
      <c r="AJ165" s="797"/>
      <c r="AK165" s="798"/>
      <c r="AL165" s="769">
        <f t="shared" ref="AL165" si="570">+SUM(AL158:AL164)</f>
        <v>12699.240291262136</v>
      </c>
      <c r="AM165" s="797"/>
      <c r="AN165" s="798"/>
      <c r="AO165" s="769">
        <f t="shared" ref="AO165" si="571">+SUM(AO158:AO164)</f>
        <v>11060.6286407767</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560"/>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560"/>
        <v>Véhicules usagésPROFIT DÉPARTEMENTAL</v>
      </c>
      <c r="B167" s="777" t="s">
        <v>143</v>
      </c>
      <c r="C167" s="777"/>
      <c r="D167" s="799"/>
      <c r="E167" s="780">
        <f>E110-E157+E165</f>
        <v>566156.74495914602</v>
      </c>
      <c r="F167" s="777"/>
      <c r="G167" s="799"/>
      <c r="H167" s="780">
        <f>H110-H157+H165</f>
        <v>22158.760594964089</v>
      </c>
      <c r="I167" s="777"/>
      <c r="J167" s="799"/>
      <c r="K167" s="780">
        <f t="shared" ref="K167" si="572">K110-K157+K165</f>
        <v>25612.150810311381</v>
      </c>
      <c r="L167" s="777"/>
      <c r="M167" s="799"/>
      <c r="N167" s="780">
        <f t="shared" ref="N167" si="573">N110-N157+N165</f>
        <v>60317.177626804005</v>
      </c>
      <c r="O167" s="777"/>
      <c r="P167" s="799"/>
      <c r="Q167" s="780">
        <f t="shared" ref="Q167" si="574">Q110-Q157+Q165</f>
        <v>59070.971603645936</v>
      </c>
      <c r="R167" s="777"/>
      <c r="S167" s="799"/>
      <c r="T167" s="780">
        <f t="shared" ref="T167" si="575">T110-T157+T165</f>
        <v>60995.884161795118</v>
      </c>
      <c r="U167" s="777"/>
      <c r="V167" s="799"/>
      <c r="W167" s="780">
        <f t="shared" ref="W167" si="576">W110-W157+W165</f>
        <v>66182.49353842104</v>
      </c>
      <c r="X167" s="777"/>
      <c r="Y167" s="799"/>
      <c r="Z167" s="780">
        <f t="shared" ref="Z167" si="577">Z110-Z157+Z165</f>
        <v>61084.585458353664</v>
      </c>
      <c r="AA167" s="777"/>
      <c r="AB167" s="799"/>
      <c r="AC167" s="780">
        <f t="shared" ref="AC167" si="578">AC110-AC157+AC165</f>
        <v>53810.583959935931</v>
      </c>
      <c r="AD167" s="777"/>
      <c r="AE167" s="799"/>
      <c r="AF167" s="780">
        <f t="shared" ref="AF167" si="579">AF110-AF157+AF165</f>
        <v>38894.9999943945</v>
      </c>
      <c r="AG167" s="777"/>
      <c r="AH167" s="799"/>
      <c r="AI167" s="780">
        <f t="shared" ref="AI167" si="580">AI110-AI157+AI165</f>
        <v>51922.875604858171</v>
      </c>
      <c r="AJ167" s="777"/>
      <c r="AK167" s="799"/>
      <c r="AL167" s="780">
        <f t="shared" ref="AL167" si="581">AL110-AL157+AL165</f>
        <v>37673.414863718295</v>
      </c>
      <c r="AM167" s="777"/>
      <c r="AN167" s="799"/>
      <c r="AO167" s="780">
        <f t="shared" ref="AO167" si="582">AO110-AO157+AO165</f>
        <v>28432.846741943922</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0"/>
      <c r="F168" s="783"/>
      <c r="G168" s="783"/>
      <c r="H168" s="800"/>
      <c r="I168" s="783"/>
      <c r="J168" s="783"/>
      <c r="K168" s="800"/>
      <c r="L168" s="783"/>
      <c r="M168" s="783"/>
      <c r="N168" s="800"/>
      <c r="O168" s="783"/>
      <c r="P168" s="783"/>
      <c r="Q168" s="800"/>
      <c r="R168" s="783"/>
      <c r="S168" s="783"/>
      <c r="T168" s="800"/>
      <c r="U168" s="783"/>
      <c r="V168" s="783"/>
      <c r="W168" s="800"/>
      <c r="X168" s="783"/>
      <c r="Y168" s="783"/>
      <c r="Z168" s="800"/>
      <c r="AA168" s="783"/>
      <c r="AB168" s="783"/>
      <c r="AC168" s="800"/>
      <c r="AD168" s="783"/>
      <c r="AE168" s="783"/>
      <c r="AF168" s="800"/>
      <c r="AG168" s="783"/>
      <c r="AH168" s="783"/>
      <c r="AI168" s="800"/>
      <c r="AJ168" s="783"/>
      <c r="AK168" s="783"/>
      <c r="AL168" s="800"/>
      <c r="AM168" s="783"/>
      <c r="AN168" s="783"/>
      <c r="AO168" s="800"/>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 xml:space="preserve">Budget 2022  </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1932</v>
      </c>
      <c r="C172" s="1271">
        <v>2022</v>
      </c>
      <c r="D172" s="1272"/>
      <c r="E172" s="1273"/>
      <c r="F172" s="1024" t="s">
        <v>1933</v>
      </c>
      <c r="G172" s="1025"/>
      <c r="H172" s="1026"/>
      <c r="I172" s="1024" t="s">
        <v>1934</v>
      </c>
      <c r="J172" s="1025"/>
      <c r="K172" s="1026"/>
      <c r="L172" s="1024" t="s">
        <v>1935</v>
      </c>
      <c r="M172" s="1025"/>
      <c r="N172" s="1026"/>
      <c r="O172" s="1024" t="s">
        <v>1936</v>
      </c>
      <c r="P172" s="1025"/>
      <c r="Q172" s="1026"/>
      <c r="R172" s="1024" t="s">
        <v>1937</v>
      </c>
      <c r="S172" s="1025"/>
      <c r="T172" s="1026"/>
      <c r="U172" s="1024" t="s">
        <v>1916</v>
      </c>
      <c r="V172" s="1025"/>
      <c r="W172" s="1026"/>
      <c r="X172" s="1024" t="s">
        <v>1938</v>
      </c>
      <c r="Y172" s="1025"/>
      <c r="Z172" s="1026"/>
      <c r="AA172" s="1024" t="s">
        <v>1939</v>
      </c>
      <c r="AB172" s="1025"/>
      <c r="AC172" s="1026"/>
      <c r="AD172" s="1024" t="s">
        <v>3</v>
      </c>
      <c r="AE172" s="1025"/>
      <c r="AF172" s="1026"/>
      <c r="AG172" s="1024" t="s">
        <v>1940</v>
      </c>
      <c r="AH172" s="1025"/>
      <c r="AI172" s="1026"/>
      <c r="AJ172" s="1024" t="s">
        <v>1941</v>
      </c>
      <c r="AK172" s="1025"/>
      <c r="AL172" s="1026"/>
      <c r="AM172" s="1024" t="s">
        <v>1942</v>
      </c>
      <c r="AN172" s="1025"/>
      <c r="AO172" s="1026"/>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5" si="583">+$C$170&amp;B174</f>
        <v>ServiceM/O Client</v>
      </c>
      <c r="B174" s="710" t="s">
        <v>159</v>
      </c>
      <c r="C174" s="801">
        <f>+SUM(F174,I174,L174,O174,R174,U174,X174,AA174,AD174,AG174,AJ174,AM174)</f>
        <v>5831.2570103689995</v>
      </c>
      <c r="D174" s="747">
        <f>+SUM(G174,J174,M174,P174,S174,V174,Y174,AB174,AE174,AH174,AK174,AN174)</f>
        <v>1446151.7385715118</v>
      </c>
      <c r="E174" s="733">
        <f>+SUM(H174,K174,N174,Q174,T174,W174,Z174,AC174,AF174,AI174,AL174,AO174)</f>
        <v>1086059.9556672054</v>
      </c>
      <c r="F174" s="802">
        <v>273.14254073210458</v>
      </c>
      <c r="G174" s="803">
        <v>67739.35010156194</v>
      </c>
      <c r="H174" s="748">
        <v>50872.25192627302</v>
      </c>
      <c r="I174" s="802">
        <v>275.44038679782477</v>
      </c>
      <c r="J174" s="803">
        <v>68309.215925860539</v>
      </c>
      <c r="K174" s="748">
        <v>51300.221160321264</v>
      </c>
      <c r="L174" s="802">
        <v>389.31635576353347</v>
      </c>
      <c r="M174" s="803">
        <v>96550.456229356292</v>
      </c>
      <c r="N174" s="748">
        <v>72509.392628246569</v>
      </c>
      <c r="O174" s="802">
        <v>780.39106378604095</v>
      </c>
      <c r="P174" s="803">
        <v>193536.98381893817</v>
      </c>
      <c r="Q174" s="748">
        <v>145346.27484802256</v>
      </c>
      <c r="R174" s="802">
        <v>605.45197551340232</v>
      </c>
      <c r="S174" s="803">
        <v>150152.08992732377</v>
      </c>
      <c r="T174" s="748">
        <v>112764.21953542015</v>
      </c>
      <c r="U174" s="802">
        <v>405.78105705623432</v>
      </c>
      <c r="V174" s="803">
        <v>100633.70214994611</v>
      </c>
      <c r="W174" s="748">
        <v>75575.910314609529</v>
      </c>
      <c r="X174" s="802">
        <v>370.87407549588283</v>
      </c>
      <c r="Y174" s="803">
        <v>91976.770722978938</v>
      </c>
      <c r="Z174" s="748">
        <v>69074.554812957183</v>
      </c>
      <c r="AA174" s="802">
        <v>366.96266281669745</v>
      </c>
      <c r="AB174" s="803">
        <v>91006.74037854097</v>
      </c>
      <c r="AC174" s="748">
        <v>68346.062024284271</v>
      </c>
      <c r="AD174" s="802">
        <v>306.58361702091241</v>
      </c>
      <c r="AE174" s="803">
        <v>76032.737021186273</v>
      </c>
      <c r="AF174" s="748">
        <v>57100.585502910893</v>
      </c>
      <c r="AG174" s="802">
        <v>609.24393609511401</v>
      </c>
      <c r="AH174" s="803">
        <v>151092.49615158828</v>
      </c>
      <c r="AI174" s="748">
        <v>113470.46460984279</v>
      </c>
      <c r="AJ174" s="802">
        <v>1072.2021954082472</v>
      </c>
      <c r="AK174" s="803">
        <v>265906.14446124533</v>
      </c>
      <c r="AL174" s="748">
        <v>199695.51449039526</v>
      </c>
      <c r="AM174" s="802">
        <v>375.86714388300493</v>
      </c>
      <c r="AN174" s="803">
        <v>93215.051682985213</v>
      </c>
      <c r="AO174" s="748">
        <v>70004.503813921896</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583"/>
        <v>Service% profit / ventes</v>
      </c>
      <c r="B175" s="710" t="s">
        <v>160</v>
      </c>
      <c r="C175" s="801"/>
      <c r="D175" s="732"/>
      <c r="E175" s="804">
        <f>IF(E174=0,0,E174/D174)</f>
        <v>0.751</v>
      </c>
      <c r="F175" s="801"/>
      <c r="G175" s="732"/>
      <c r="H175" s="804">
        <f>IF(H174=0,0,H174/G174)</f>
        <v>0.751</v>
      </c>
      <c r="I175" s="801"/>
      <c r="J175" s="732"/>
      <c r="K175" s="804">
        <f t="shared" ref="K175" si="584">IF(K174=0,0,K174/J174)</f>
        <v>0.751</v>
      </c>
      <c r="L175" s="801"/>
      <c r="M175" s="732"/>
      <c r="N175" s="804">
        <f t="shared" ref="N175" si="585">IF(N174=0,0,N174/M174)</f>
        <v>0.75099999999999989</v>
      </c>
      <c r="O175" s="801"/>
      <c r="P175" s="732"/>
      <c r="Q175" s="804">
        <f t="shared" ref="Q175" si="586">IF(Q174=0,0,Q174/P174)</f>
        <v>0.751</v>
      </c>
      <c r="R175" s="801"/>
      <c r="S175" s="732"/>
      <c r="T175" s="804">
        <f t="shared" ref="T175" si="587">IF(T174=0,0,T174/S174)</f>
        <v>0.751</v>
      </c>
      <c r="U175" s="801"/>
      <c r="V175" s="732"/>
      <c r="W175" s="804">
        <f t="shared" ref="W175" si="588">IF(W174=0,0,W174/V174)</f>
        <v>0.751</v>
      </c>
      <c r="X175" s="801"/>
      <c r="Y175" s="732"/>
      <c r="Z175" s="804">
        <f t="shared" ref="Z175" si="589">IF(Z174=0,0,Z174/Y174)</f>
        <v>0.751</v>
      </c>
      <c r="AA175" s="801"/>
      <c r="AB175" s="732"/>
      <c r="AC175" s="804">
        <f t="shared" ref="AC175" si="590">IF(AC174=0,0,AC174/AB174)</f>
        <v>0.751</v>
      </c>
      <c r="AD175" s="801"/>
      <c r="AE175" s="732"/>
      <c r="AF175" s="804">
        <f t="shared" ref="AF175" si="591">IF(AF174=0,0,AF174/AE174)</f>
        <v>0.751</v>
      </c>
      <c r="AG175" s="801"/>
      <c r="AH175" s="732"/>
      <c r="AI175" s="804">
        <f t="shared" ref="AI175" si="592">IF(AI174=0,0,AI174/AH174)</f>
        <v>0.751</v>
      </c>
      <c r="AJ175" s="801"/>
      <c r="AK175" s="732"/>
      <c r="AL175" s="804">
        <f t="shared" ref="AL175" si="593">IF(AL174=0,0,AL174/AK174)</f>
        <v>0.751</v>
      </c>
      <c r="AM175" s="801"/>
      <c r="AN175" s="732"/>
      <c r="AO175" s="804">
        <f t="shared" ref="AO175" si="594">IF(AO174=0,0,AO174/AN174)</f>
        <v>0.751</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583"/>
        <v>Service</v>
      </c>
      <c r="B176" s="705"/>
      <c r="C176" s="805"/>
      <c r="D176" s="806">
        <f>IFERROR(D174/C174,0)</f>
        <v>248</v>
      </c>
      <c r="E176" s="807"/>
      <c r="F176" s="805"/>
      <c r="G176" s="806">
        <f>IFERROR(G174/F174,0)</f>
        <v>248.00000000000003</v>
      </c>
      <c r="H176" s="807"/>
      <c r="I176" s="805"/>
      <c r="J176" s="806">
        <f t="shared" ref="J176" si="595">IFERROR(J174/I174,0)</f>
        <v>247.99999999999997</v>
      </c>
      <c r="K176" s="807"/>
      <c r="L176" s="805"/>
      <c r="M176" s="806">
        <f t="shared" ref="M176" si="596">IFERROR(M174/L174,0)</f>
        <v>247.99999999999997</v>
      </c>
      <c r="N176" s="807"/>
      <c r="O176" s="805"/>
      <c r="P176" s="806">
        <f t="shared" ref="P176" si="597">IFERROR(P174/O174,0)</f>
        <v>248.00000000000003</v>
      </c>
      <c r="Q176" s="807"/>
      <c r="R176" s="805"/>
      <c r="S176" s="806">
        <f t="shared" ref="S176" si="598">IFERROR(S174/R174,0)</f>
        <v>248</v>
      </c>
      <c r="T176" s="807"/>
      <c r="U176" s="805"/>
      <c r="V176" s="806">
        <f t="shared" ref="V176" si="599">IFERROR(V174/U174,0)</f>
        <v>248</v>
      </c>
      <c r="W176" s="807"/>
      <c r="X176" s="805"/>
      <c r="Y176" s="806">
        <f t="shared" ref="Y176" si="600">IFERROR(Y174/X174,0)</f>
        <v>247.99999999999997</v>
      </c>
      <c r="Z176" s="807"/>
      <c r="AA176" s="805"/>
      <c r="AB176" s="806">
        <f t="shared" ref="AB176" si="601">IFERROR(AB174/AA174,0)</f>
        <v>248</v>
      </c>
      <c r="AC176" s="807"/>
      <c r="AD176" s="805"/>
      <c r="AE176" s="806">
        <f t="shared" ref="AE176" si="602">IFERROR(AE174/AD174,0)</f>
        <v>247.99999999999997</v>
      </c>
      <c r="AF176" s="807"/>
      <c r="AG176" s="805"/>
      <c r="AH176" s="806">
        <f t="shared" ref="AH176" si="603">IFERROR(AH174/AG174,0)</f>
        <v>248</v>
      </c>
      <c r="AI176" s="807"/>
      <c r="AJ176" s="805"/>
      <c r="AK176" s="806">
        <f t="shared" ref="AK176" si="604">IFERROR(AK174/AJ174,0)</f>
        <v>248.00000000000003</v>
      </c>
      <c r="AL176" s="807"/>
      <c r="AM176" s="805"/>
      <c r="AN176" s="806">
        <f t="shared" ref="AN176" si="605">IFERROR(AN174/AM174,0)</f>
        <v>247.99999999999997</v>
      </c>
      <c r="AO176" s="807"/>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583"/>
        <v>ServiceM/O Garantie</v>
      </c>
      <c r="B177" s="701" t="s">
        <v>161</v>
      </c>
      <c r="C177" s="808">
        <f>+SUM(F177,I177,L177,O177,R177,U177,X177,AA177,AD177,AG177,AJ177,AM177)</f>
        <v>3705.8723315837588</v>
      </c>
      <c r="D177" s="809">
        <f>+SUM(G177,J177,M177,P177,S177,V177,Y177,AB177,AE177,AH177,AK177,AN177)</f>
        <v>734124.51749080711</v>
      </c>
      <c r="E177" s="760">
        <f>+SUM(H177,K177,N177,Q177,T177,W177,Z177,AC177,AF177,AI177,AL177,AO177)</f>
        <v>517154.83058909106</v>
      </c>
      <c r="F177" s="810">
        <v>307.76786631526647</v>
      </c>
      <c r="G177" s="811">
        <v>60968.084203081962</v>
      </c>
      <c r="H177" s="761">
        <v>42949.034538655244</v>
      </c>
      <c r="I177" s="810">
        <v>262.04222667877389</v>
      </c>
      <c r="J177" s="811">
        <v>51909.94346547249</v>
      </c>
      <c r="K177" s="761">
        <v>36568.017249351549</v>
      </c>
      <c r="L177" s="810">
        <v>258.04728587154682</v>
      </c>
      <c r="M177" s="811">
        <v>51118.555168710373</v>
      </c>
      <c r="N177" s="761">
        <v>36010.522885941558</v>
      </c>
      <c r="O177" s="810">
        <v>304.3128967944462</v>
      </c>
      <c r="P177" s="811">
        <v>60283.662937189707</v>
      </c>
      <c r="Q177" s="761">
        <v>42466.89321878233</v>
      </c>
      <c r="R177" s="810">
        <v>369.68120613100507</v>
      </c>
      <c r="S177" s="811">
        <v>73232.969944315497</v>
      </c>
      <c r="T177" s="761">
        <v>51589.046902472815</v>
      </c>
      <c r="U177" s="810">
        <v>357.52774516460863</v>
      </c>
      <c r="V177" s="811">
        <v>70825.398158380238</v>
      </c>
      <c r="W177" s="761">
        <v>49893.030287550246</v>
      </c>
      <c r="X177" s="810">
        <v>309.83757954531097</v>
      </c>
      <c r="Y177" s="811">
        <v>61378.089483998214</v>
      </c>
      <c r="Z177" s="761">
        <v>43237.863213547622</v>
      </c>
      <c r="AA177" s="810">
        <v>362.03195391120693</v>
      </c>
      <c r="AB177" s="811">
        <v>71717.671225801634</v>
      </c>
      <c r="AC177" s="761">
        <v>50521.593039545922</v>
      </c>
      <c r="AD177" s="810">
        <v>315.26719607555287</v>
      </c>
      <c r="AE177" s="811">
        <v>62453.683638025766</v>
      </c>
      <c r="AF177" s="761">
        <v>43995.566708330713</v>
      </c>
      <c r="AG177" s="810">
        <v>297.82830108588445</v>
      </c>
      <c r="AH177" s="811">
        <v>58999.079910651286</v>
      </c>
      <c r="AI177" s="761">
        <v>41561.967280962228</v>
      </c>
      <c r="AJ177" s="810">
        <v>293.66824067836285</v>
      </c>
      <c r="AK177" s="811">
        <v>58174.981812782054</v>
      </c>
      <c r="AL177" s="761">
        <v>40981.430461882774</v>
      </c>
      <c r="AM177" s="810">
        <v>267.85983333179314</v>
      </c>
      <c r="AN177" s="811">
        <v>53062.397542397979</v>
      </c>
      <c r="AO177" s="761">
        <v>37379.86480206807</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583"/>
        <v>Service% profit / ventes</v>
      </c>
      <c r="B178" s="710" t="s">
        <v>160</v>
      </c>
      <c r="C178" s="710"/>
      <c r="D178" s="732"/>
      <c r="E178" s="804">
        <f>IF(E177=0,0,E177/D177)</f>
        <v>0.70445110913431253</v>
      </c>
      <c r="F178" s="710"/>
      <c r="G178" s="732"/>
      <c r="H178" s="804">
        <f>IF(H177=0,0,H177/G177)</f>
        <v>0.70445110913431253</v>
      </c>
      <c r="I178" s="710"/>
      <c r="J178" s="732"/>
      <c r="K178" s="804">
        <f t="shared" ref="K178" si="606">IF(K177=0,0,K177/J177)</f>
        <v>0.70445110913431241</v>
      </c>
      <c r="L178" s="710"/>
      <c r="M178" s="732"/>
      <c r="N178" s="804">
        <f t="shared" ref="N178" si="607">IF(N177=0,0,N177/M177)</f>
        <v>0.70445110913431241</v>
      </c>
      <c r="O178" s="710"/>
      <c r="P178" s="732"/>
      <c r="Q178" s="804">
        <f t="shared" ref="Q178" si="608">IF(Q177=0,0,Q177/P177)</f>
        <v>0.70445110913431241</v>
      </c>
      <c r="R178" s="710"/>
      <c r="S178" s="732"/>
      <c r="T178" s="804">
        <f t="shared" ref="T178" si="609">IF(T177=0,0,T177/S177)</f>
        <v>0.70445110913431241</v>
      </c>
      <c r="U178" s="710"/>
      <c r="V178" s="732"/>
      <c r="W178" s="804">
        <f t="shared" ref="W178" si="610">IF(W177=0,0,W177/V177)</f>
        <v>0.70445110913431241</v>
      </c>
      <c r="X178" s="710"/>
      <c r="Y178" s="732"/>
      <c r="Z178" s="804">
        <f t="shared" ref="Z178" si="611">IF(Z177=0,0,Z177/Y177)</f>
        <v>0.70445110913431241</v>
      </c>
      <c r="AA178" s="710"/>
      <c r="AB178" s="732"/>
      <c r="AC178" s="804">
        <f t="shared" ref="AC178" si="612">IF(AC177=0,0,AC177/AB177)</f>
        <v>0.70445110913431241</v>
      </c>
      <c r="AD178" s="710"/>
      <c r="AE178" s="732"/>
      <c r="AF178" s="804">
        <f t="shared" ref="AF178" si="613">IF(AF177=0,0,AF177/AE177)</f>
        <v>0.70445110913431241</v>
      </c>
      <c r="AG178" s="710"/>
      <c r="AH178" s="732"/>
      <c r="AI178" s="804">
        <f t="shared" ref="AI178" si="614">IF(AI177=0,0,AI177/AH177)</f>
        <v>0.70445110913431241</v>
      </c>
      <c r="AJ178" s="710"/>
      <c r="AK178" s="732"/>
      <c r="AL178" s="804">
        <f t="shared" ref="AL178" si="615">IF(AL177=0,0,AL177/AK177)</f>
        <v>0.70445110913431241</v>
      </c>
      <c r="AM178" s="710"/>
      <c r="AN178" s="732"/>
      <c r="AO178" s="804">
        <f t="shared" ref="AO178" si="616">IF(AO177=0,0,AO177/AN177)</f>
        <v>0.70445110913431241</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583"/>
        <v>Service</v>
      </c>
      <c r="B179" s="705"/>
      <c r="C179" s="705"/>
      <c r="D179" s="806">
        <f>IFERROR(D177/C177,0)</f>
        <v>198.09762771214201</v>
      </c>
      <c r="E179" s="807"/>
      <c r="F179" s="705"/>
      <c r="G179" s="806">
        <f>IFERROR(G177/F177,0)</f>
        <v>198.09762771214204</v>
      </c>
      <c r="H179" s="807"/>
      <c r="I179" s="705"/>
      <c r="J179" s="806">
        <f t="shared" ref="J179" si="617">IFERROR(J177/I177,0)</f>
        <v>198.09762771214207</v>
      </c>
      <c r="K179" s="807"/>
      <c r="L179" s="705"/>
      <c r="M179" s="806">
        <f t="shared" ref="M179" si="618">IFERROR(M177/L177,0)</f>
        <v>198.09762771214204</v>
      </c>
      <c r="N179" s="807"/>
      <c r="O179" s="705"/>
      <c r="P179" s="806">
        <f t="shared" ref="P179" si="619">IFERROR(P177/O177,0)</f>
        <v>198.09762771214204</v>
      </c>
      <c r="Q179" s="807"/>
      <c r="R179" s="705"/>
      <c r="S179" s="806">
        <f t="shared" ref="S179" si="620">IFERROR(S177/R177,0)</f>
        <v>198.09762771214207</v>
      </c>
      <c r="T179" s="807"/>
      <c r="U179" s="705"/>
      <c r="V179" s="806">
        <f t="shared" ref="V179" si="621">IFERROR(V177/U177,0)</f>
        <v>198.09762771214204</v>
      </c>
      <c r="W179" s="807"/>
      <c r="X179" s="705"/>
      <c r="Y179" s="806">
        <f t="shared" ref="Y179" si="622">IFERROR(Y177/X177,0)</f>
        <v>198.09762771214204</v>
      </c>
      <c r="Z179" s="807"/>
      <c r="AA179" s="705"/>
      <c r="AB179" s="806">
        <f t="shared" ref="AB179" si="623">IFERROR(AB177/AA177,0)</f>
        <v>198.09762771214204</v>
      </c>
      <c r="AC179" s="807"/>
      <c r="AD179" s="705"/>
      <c r="AE179" s="806">
        <f t="shared" ref="AE179" si="624">IFERROR(AE177/AD177,0)</f>
        <v>198.09762771214204</v>
      </c>
      <c r="AF179" s="807"/>
      <c r="AG179" s="705"/>
      <c r="AH179" s="806">
        <f t="shared" ref="AH179" si="625">IFERROR(AH177/AG177,0)</f>
        <v>198.09762771214204</v>
      </c>
      <c r="AI179" s="807"/>
      <c r="AJ179" s="705"/>
      <c r="AK179" s="806">
        <f t="shared" ref="AK179" si="626">IFERROR(AK177/AJ177,0)</f>
        <v>198.09762771214204</v>
      </c>
      <c r="AL179" s="807"/>
      <c r="AM179" s="705"/>
      <c r="AN179" s="806">
        <f t="shared" ref="AN179" si="627">IFERROR(AN177/AM177,0)</f>
        <v>198.09762771214207</v>
      </c>
      <c r="AO179" s="807"/>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583"/>
        <v>ServiceM/O Interne</v>
      </c>
      <c r="B180" s="710" t="s">
        <v>162</v>
      </c>
      <c r="C180" s="801">
        <f>+SUM(F180,I180,L180,O180,R180,U180,X180,AA180,AD180,AG180,AJ180,AM180)</f>
        <v>3545.3648877098622</v>
      </c>
      <c r="D180" s="747">
        <f>+SUM(G180,J180,M180,P180,S180,V180,Y180,AB180,AE180,AH180,AK180,AN180)</f>
        <v>763624.65068950283</v>
      </c>
      <c r="E180" s="733">
        <f>+SUM(H180,K180,N180,Q180,T180,W180,Z180,AC180,AF180,AI180,AL180,AO180)</f>
        <v>563358.02844391204</v>
      </c>
      <c r="F180" s="802">
        <v>199.93155012383974</v>
      </c>
      <c r="G180" s="803">
        <v>43062.608493239539</v>
      </c>
      <c r="H180" s="748">
        <v>31769.097813302134</v>
      </c>
      <c r="I180" s="802">
        <v>250.4234607212635</v>
      </c>
      <c r="J180" s="803">
        <v>53937.897444811802</v>
      </c>
      <c r="K180" s="748">
        <v>39792.255966962599</v>
      </c>
      <c r="L180" s="802">
        <v>311.32486035910796</v>
      </c>
      <c r="M180" s="803">
        <v>67055.252497930574</v>
      </c>
      <c r="N180" s="748">
        <v>49469.48060141004</v>
      </c>
      <c r="O180" s="802">
        <v>277.38973639893936</v>
      </c>
      <c r="P180" s="803">
        <v>59746.076150520035</v>
      </c>
      <c r="Q180" s="748">
        <v>44077.193732582433</v>
      </c>
      <c r="R180" s="802">
        <v>289.89671921210072</v>
      </c>
      <c r="S180" s="803">
        <v>62439.914636648107</v>
      </c>
      <c r="T180" s="748">
        <v>46064.551706321436</v>
      </c>
      <c r="U180" s="802">
        <v>349.71729366503217</v>
      </c>
      <c r="V180" s="803">
        <v>75324.474256736343</v>
      </c>
      <c r="W180" s="748">
        <v>55570.033356746018</v>
      </c>
      <c r="X180" s="802">
        <v>294.4722356892255</v>
      </c>
      <c r="Y180" s="803">
        <v>63425.420298894736</v>
      </c>
      <c r="Z180" s="748">
        <v>46791.600690926985</v>
      </c>
      <c r="AA180" s="802">
        <v>285.51296308677001</v>
      </c>
      <c r="AB180" s="803">
        <v>61495.711614973807</v>
      </c>
      <c r="AC180" s="748">
        <v>45367.97341715682</v>
      </c>
      <c r="AD180" s="802">
        <v>319.14337237196088</v>
      </c>
      <c r="AE180" s="803">
        <v>68739.256456288451</v>
      </c>
      <c r="AF180" s="748">
        <v>50711.841162996978</v>
      </c>
      <c r="AG180" s="802">
        <v>381.85221492953718</v>
      </c>
      <c r="AH180" s="803">
        <v>82245.91078097331</v>
      </c>
      <c r="AI180" s="748">
        <v>60676.268246849497</v>
      </c>
      <c r="AJ180" s="802">
        <v>304.99297103232948</v>
      </c>
      <c r="AK180" s="803">
        <v>65691.447380965838</v>
      </c>
      <c r="AL180" s="748">
        <v>48463.344195020807</v>
      </c>
      <c r="AM180" s="802">
        <v>280.7075101197558</v>
      </c>
      <c r="AN180" s="803">
        <v>60460.6806775203</v>
      </c>
      <c r="AO180" s="748">
        <v>44604.387553636356</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583"/>
        <v>Service% profit / ventes</v>
      </c>
      <c r="B181" s="710" t="s">
        <v>160</v>
      </c>
      <c r="C181" s="801"/>
      <c r="D181" s="812"/>
      <c r="E181" s="804">
        <f>IF(E180=0,0,E180/D180)</f>
        <v>0.73774206730392577</v>
      </c>
      <c r="F181" s="801"/>
      <c r="G181" s="812"/>
      <c r="H181" s="804">
        <f>IF(H180=0,0,H180/G180)</f>
        <v>0.73774206730392589</v>
      </c>
      <c r="I181" s="801"/>
      <c r="J181" s="812"/>
      <c r="K181" s="804">
        <f t="shared" ref="K181" si="628">IF(K180=0,0,K180/J180)</f>
        <v>0.73774206730392589</v>
      </c>
      <c r="L181" s="801"/>
      <c r="M181" s="812"/>
      <c r="N181" s="804">
        <f t="shared" ref="N181" si="629">IF(N180=0,0,N180/M180)</f>
        <v>0.73774206730392589</v>
      </c>
      <c r="O181" s="801"/>
      <c r="P181" s="812"/>
      <c r="Q181" s="804">
        <f t="shared" ref="Q181" si="630">IF(Q180=0,0,Q180/P180)</f>
        <v>0.73774206730392589</v>
      </c>
      <c r="R181" s="801"/>
      <c r="S181" s="812"/>
      <c r="T181" s="804">
        <f t="shared" ref="T181" si="631">IF(T180=0,0,T180/S180)</f>
        <v>0.73774206730392589</v>
      </c>
      <c r="U181" s="801"/>
      <c r="V181" s="812"/>
      <c r="W181" s="804">
        <f t="shared" ref="W181" si="632">IF(W180=0,0,W180/V180)</f>
        <v>0.73774206730392589</v>
      </c>
      <c r="X181" s="801"/>
      <c r="Y181" s="812"/>
      <c r="Z181" s="804">
        <f t="shared" ref="Z181" si="633">IF(Z180=0,0,Z180/Y180)</f>
        <v>0.73774206730392589</v>
      </c>
      <c r="AA181" s="801"/>
      <c r="AB181" s="812"/>
      <c r="AC181" s="804">
        <f t="shared" ref="AC181" si="634">IF(AC180=0,0,AC180/AB180)</f>
        <v>0.73774206730392589</v>
      </c>
      <c r="AD181" s="801"/>
      <c r="AE181" s="812"/>
      <c r="AF181" s="804">
        <f t="shared" ref="AF181" si="635">IF(AF180=0,0,AF180/AE180)</f>
        <v>0.73774206730392589</v>
      </c>
      <c r="AG181" s="801"/>
      <c r="AH181" s="812"/>
      <c r="AI181" s="804">
        <f t="shared" ref="AI181" si="636">IF(AI180=0,0,AI180/AH180)</f>
        <v>0.73774206730392589</v>
      </c>
      <c r="AJ181" s="801"/>
      <c r="AK181" s="812"/>
      <c r="AL181" s="804">
        <f t="shared" ref="AL181" si="637">IF(AL180=0,0,AL180/AK180)</f>
        <v>0.73774206730392589</v>
      </c>
      <c r="AM181" s="801"/>
      <c r="AN181" s="812"/>
      <c r="AO181" s="804">
        <f t="shared" ref="AO181" si="638">IF(AO180=0,0,AO180/AN180)</f>
        <v>0.73774206730392589</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583"/>
        <v>Service</v>
      </c>
      <c r="B182" s="710"/>
      <c r="C182" s="801"/>
      <c r="D182" s="813">
        <f>IFERROR(D180/C180,0)</f>
        <v>215.38675845091032</v>
      </c>
      <c r="E182" s="804"/>
      <c r="F182" s="801"/>
      <c r="G182" s="813">
        <f>IFERROR(G180/F180,0)</f>
        <v>215.38675845091032</v>
      </c>
      <c r="H182" s="804"/>
      <c r="I182" s="801"/>
      <c r="J182" s="813">
        <f t="shared" ref="J182" si="639">IFERROR(J180/I180,0)</f>
        <v>215.38675845091029</v>
      </c>
      <c r="K182" s="804"/>
      <c r="L182" s="801"/>
      <c r="M182" s="813">
        <f t="shared" ref="M182" si="640">IFERROR(M180/L180,0)</f>
        <v>215.38675845091032</v>
      </c>
      <c r="N182" s="804"/>
      <c r="O182" s="801"/>
      <c r="P182" s="813">
        <f t="shared" ref="P182" si="641">IFERROR(P180/O180,0)</f>
        <v>215.38675845091032</v>
      </c>
      <c r="Q182" s="804"/>
      <c r="R182" s="801"/>
      <c r="S182" s="813">
        <f t="shared" ref="S182" si="642">IFERROR(S180/R180,0)</f>
        <v>215.38675845091032</v>
      </c>
      <c r="T182" s="804"/>
      <c r="U182" s="801"/>
      <c r="V182" s="813">
        <f t="shared" ref="V182" si="643">IFERROR(V180/U180,0)</f>
        <v>215.38675845091029</v>
      </c>
      <c r="W182" s="804"/>
      <c r="X182" s="801"/>
      <c r="Y182" s="813">
        <f t="shared" ref="Y182" si="644">IFERROR(Y180/X180,0)</f>
        <v>215.38675845091029</v>
      </c>
      <c r="Z182" s="804"/>
      <c r="AA182" s="801"/>
      <c r="AB182" s="813">
        <f t="shared" ref="AB182" si="645">IFERROR(AB180/AA180,0)</f>
        <v>215.38675845091032</v>
      </c>
      <c r="AC182" s="804"/>
      <c r="AD182" s="801"/>
      <c r="AE182" s="813">
        <f t="shared" ref="AE182" si="646">IFERROR(AE180/AD180,0)</f>
        <v>215.38675845091029</v>
      </c>
      <c r="AF182" s="804"/>
      <c r="AG182" s="801"/>
      <c r="AH182" s="813">
        <f t="shared" ref="AH182" si="647">IFERROR(AH180/AG180,0)</f>
        <v>215.38675845091029</v>
      </c>
      <c r="AI182" s="804"/>
      <c r="AJ182" s="801"/>
      <c r="AK182" s="813">
        <f t="shared" ref="AK182" si="648">IFERROR(AK180/AJ180,0)</f>
        <v>215.38675845091032</v>
      </c>
      <c r="AL182" s="804"/>
      <c r="AM182" s="801"/>
      <c r="AN182" s="813">
        <f t="shared" ref="AN182" si="649">IFERROR(AN180/AM180,0)</f>
        <v>215.38675845091029</v>
      </c>
      <c r="AO182" s="804"/>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583"/>
        <v>ServiceM/O Esthétique</v>
      </c>
      <c r="B183" s="701" t="s">
        <v>163</v>
      </c>
      <c r="C183" s="808">
        <f>+SUM(F183,I183,L183,O183,R183,U183,X183,AA183,AD183,AG183,AJ183,AM183)</f>
        <v>0</v>
      </c>
      <c r="D183" s="809">
        <f>+SUM(G183,J183,M183,P183,S183,V183,Y183,AB183,AE183,AH183,AK183,AN183)</f>
        <v>4864.4457722291218</v>
      </c>
      <c r="E183" s="760">
        <f>+SUM(H183,K183,N183,Q183,T183,W183,Z183,AC183,AF183,AI183,AL183,AO183)</f>
        <v>1839.4929114495505</v>
      </c>
      <c r="F183" s="810">
        <v>0</v>
      </c>
      <c r="G183" s="811">
        <v>0</v>
      </c>
      <c r="H183" s="761">
        <v>0</v>
      </c>
      <c r="I183" s="810">
        <v>0</v>
      </c>
      <c r="J183" s="811">
        <v>63.770919929589951</v>
      </c>
      <c r="K183" s="761">
        <v>24.115009326816338</v>
      </c>
      <c r="L183" s="810">
        <v>0</v>
      </c>
      <c r="M183" s="811">
        <v>324.06976260366378</v>
      </c>
      <c r="N183" s="761">
        <v>122.54716344620809</v>
      </c>
      <c r="O183" s="810">
        <v>0</v>
      </c>
      <c r="P183" s="811">
        <v>979.98152650783743</v>
      </c>
      <c r="Q183" s="761">
        <v>370.5805667839951</v>
      </c>
      <c r="R183" s="810">
        <v>0</v>
      </c>
      <c r="S183" s="811">
        <v>286.11054215882911</v>
      </c>
      <c r="T183" s="761">
        <v>108.19286283275366</v>
      </c>
      <c r="U183" s="810">
        <v>0</v>
      </c>
      <c r="V183" s="811">
        <v>596.51820588579994</v>
      </c>
      <c r="W183" s="761">
        <v>225.57369588574963</v>
      </c>
      <c r="X183" s="810">
        <v>0</v>
      </c>
      <c r="Y183" s="811">
        <v>127.5418398591799</v>
      </c>
      <c r="Z183" s="761">
        <v>48.230018653632676</v>
      </c>
      <c r="AA183" s="810">
        <v>0</v>
      </c>
      <c r="AB183" s="811">
        <v>312.49147100573242</v>
      </c>
      <c r="AC183" s="761">
        <v>118.16882595035585</v>
      </c>
      <c r="AD183" s="810">
        <v>0</v>
      </c>
      <c r="AE183" s="811">
        <v>220.29057478104727</v>
      </c>
      <c r="AF183" s="761">
        <v>83.303005058105725</v>
      </c>
      <c r="AG183" s="810">
        <v>0</v>
      </c>
      <c r="AH183" s="811">
        <v>423.49297918003003</v>
      </c>
      <c r="AI183" s="761">
        <v>160.14410885154888</v>
      </c>
      <c r="AJ183" s="810">
        <v>0</v>
      </c>
      <c r="AK183" s="811">
        <v>1343.1344107447528</v>
      </c>
      <c r="AL183" s="761">
        <v>507.90703471173754</v>
      </c>
      <c r="AM183" s="810">
        <v>0</v>
      </c>
      <c r="AN183" s="811">
        <v>187.04353957265894</v>
      </c>
      <c r="AO183" s="761">
        <v>70.730619948646776</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583"/>
        <v>Service% profit / ventes</v>
      </c>
      <c r="B184" s="710" t="s">
        <v>160</v>
      </c>
      <c r="C184" s="814"/>
      <c r="D184" s="815">
        <f>IF(C184&lt;=0,0,E184/C184)</f>
        <v>0</v>
      </c>
      <c r="E184" s="804">
        <f>IF(E183=0,0,E183/D183)</f>
        <v>0.37815056382191037</v>
      </c>
      <c r="F184" s="814"/>
      <c r="G184" s="815">
        <f>IF(F184&lt;=0,0,H184/F184)</f>
        <v>0</v>
      </c>
      <c r="H184" s="804">
        <f>IF(H183=0,0,H183/G183)</f>
        <v>0</v>
      </c>
      <c r="I184" s="814"/>
      <c r="J184" s="815">
        <f t="shared" ref="J184" si="650">IF(I184&lt;=0,0,K184/I184)</f>
        <v>0</v>
      </c>
      <c r="K184" s="804">
        <f t="shared" ref="K184" si="651">IF(K183=0,0,K183/J183)</f>
        <v>0.37815056382191031</v>
      </c>
      <c r="L184" s="814"/>
      <c r="M184" s="815">
        <f t="shared" ref="M184" si="652">IF(L184&lt;=0,0,N184/L184)</f>
        <v>0</v>
      </c>
      <c r="N184" s="804">
        <f t="shared" ref="N184" si="653">IF(N183=0,0,N183/M183)</f>
        <v>0.37815056382191031</v>
      </c>
      <c r="O184" s="814"/>
      <c r="P184" s="815">
        <f t="shared" ref="P184" si="654">IF(O184&lt;=0,0,Q184/O184)</f>
        <v>0</v>
      </c>
      <c r="Q184" s="804">
        <f t="shared" ref="Q184" si="655">IF(Q183=0,0,Q183/P183)</f>
        <v>0.37815056382191031</v>
      </c>
      <c r="R184" s="814"/>
      <c r="S184" s="815">
        <f t="shared" ref="S184" si="656">IF(R184&lt;=0,0,T184/R184)</f>
        <v>0</v>
      </c>
      <c r="T184" s="804">
        <f t="shared" ref="T184" si="657">IF(T183=0,0,T183/S183)</f>
        <v>0.37815056382191031</v>
      </c>
      <c r="U184" s="814"/>
      <c r="V184" s="815">
        <f t="shared" ref="V184" si="658">IF(U184&lt;=0,0,W184/U184)</f>
        <v>0</v>
      </c>
      <c r="W184" s="804">
        <f t="shared" ref="W184" si="659">IF(W183=0,0,W183/V183)</f>
        <v>0.37815056382191031</v>
      </c>
      <c r="X184" s="814"/>
      <c r="Y184" s="815">
        <f t="shared" ref="Y184" si="660">IF(X184&lt;=0,0,Z184/X184)</f>
        <v>0</v>
      </c>
      <c r="Z184" s="804">
        <f t="shared" ref="Z184" si="661">IF(Z183=0,0,Z183/Y183)</f>
        <v>0.37815056382191031</v>
      </c>
      <c r="AA184" s="814"/>
      <c r="AB184" s="815">
        <f t="shared" ref="AB184" si="662">IF(AA184&lt;=0,0,AC184/AA184)</f>
        <v>0</v>
      </c>
      <c r="AC184" s="804">
        <f t="shared" ref="AC184" si="663">IF(AC183=0,0,AC183/AB183)</f>
        <v>0.37815056382191031</v>
      </c>
      <c r="AD184" s="814"/>
      <c r="AE184" s="815">
        <f t="shared" ref="AE184" si="664">IF(AD184&lt;=0,0,AF184/AD184)</f>
        <v>0</v>
      </c>
      <c r="AF184" s="804">
        <f t="shared" ref="AF184" si="665">IF(AF183=0,0,AF183/AE183)</f>
        <v>0.37815056382191031</v>
      </c>
      <c r="AG184" s="814"/>
      <c r="AH184" s="815">
        <f t="shared" ref="AH184" si="666">IF(AG184&lt;=0,0,AI184/AG184)</f>
        <v>0</v>
      </c>
      <c r="AI184" s="804">
        <f t="shared" ref="AI184" si="667">IF(AI183=0,0,AI183/AH183)</f>
        <v>0.37815056382191031</v>
      </c>
      <c r="AJ184" s="814"/>
      <c r="AK184" s="815">
        <f t="shared" ref="AK184" si="668">IF(AJ184&lt;=0,0,AL184/AJ184)</f>
        <v>0</v>
      </c>
      <c r="AL184" s="804">
        <f t="shared" ref="AL184" si="669">IF(AL183=0,0,AL183/AK183)</f>
        <v>0.37815056382191031</v>
      </c>
      <c r="AM184" s="814"/>
      <c r="AN184" s="815">
        <f t="shared" ref="AN184" si="670">IF(AM184&lt;=0,0,AO184/AM184)</f>
        <v>0</v>
      </c>
      <c r="AO184" s="804">
        <f t="shared" ref="AO184" si="671">IF(AO183=0,0,AO183/AN183)</f>
        <v>0.37815056382191031</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583"/>
        <v>Service</v>
      </c>
      <c r="B185" s="705"/>
      <c r="C185" s="816"/>
      <c r="D185" s="817">
        <f>IFERROR(D183/C183,0)</f>
        <v>0</v>
      </c>
      <c r="E185" s="807"/>
      <c r="F185" s="816"/>
      <c r="G185" s="817">
        <f>IFERROR(G183/F183,0)</f>
        <v>0</v>
      </c>
      <c r="H185" s="807"/>
      <c r="I185" s="816"/>
      <c r="J185" s="817">
        <f t="shared" ref="J185" si="672">IFERROR(J183/I183,0)</f>
        <v>0</v>
      </c>
      <c r="K185" s="807"/>
      <c r="L185" s="816"/>
      <c r="M185" s="817">
        <f t="shared" ref="M185" si="673">IFERROR(M183/L183,0)</f>
        <v>0</v>
      </c>
      <c r="N185" s="807"/>
      <c r="O185" s="816"/>
      <c r="P185" s="817">
        <f t="shared" ref="P185" si="674">IFERROR(P183/O183,0)</f>
        <v>0</v>
      </c>
      <c r="Q185" s="807"/>
      <c r="R185" s="816"/>
      <c r="S185" s="817">
        <f t="shared" ref="S185" si="675">IFERROR(S183/R183,0)</f>
        <v>0</v>
      </c>
      <c r="T185" s="807"/>
      <c r="U185" s="816"/>
      <c r="V185" s="817">
        <f t="shared" ref="V185" si="676">IFERROR(V183/U183,0)</f>
        <v>0</v>
      </c>
      <c r="W185" s="807"/>
      <c r="X185" s="816"/>
      <c r="Y185" s="817">
        <f t="shared" ref="Y185" si="677">IFERROR(Y183/X183,0)</f>
        <v>0</v>
      </c>
      <c r="Z185" s="807"/>
      <c r="AA185" s="816"/>
      <c r="AB185" s="817">
        <f t="shared" ref="AB185" si="678">IFERROR(AB183/AA183,0)</f>
        <v>0</v>
      </c>
      <c r="AC185" s="807"/>
      <c r="AD185" s="816"/>
      <c r="AE185" s="817">
        <f t="shared" ref="AE185" si="679">IFERROR(AE183/AD183,0)</f>
        <v>0</v>
      </c>
      <c r="AF185" s="807"/>
      <c r="AG185" s="816"/>
      <c r="AH185" s="817">
        <f t="shared" ref="AH185" si="680">IFERROR(AH183/AG183,0)</f>
        <v>0</v>
      </c>
      <c r="AI185" s="807"/>
      <c r="AJ185" s="816"/>
      <c r="AK185" s="817">
        <f t="shared" ref="AK185" si="681">IFERROR(AK183/AJ183,0)</f>
        <v>0</v>
      </c>
      <c r="AL185" s="807"/>
      <c r="AM185" s="816"/>
      <c r="AN185" s="817">
        <f t="shared" ref="AN185" si="682">IFERROR(AN183/AM183,0)</f>
        <v>0</v>
      </c>
      <c r="AO185" s="807"/>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583"/>
        <v>ServiceAjustement M/O</v>
      </c>
      <c r="B186" s="710" t="s">
        <v>164</v>
      </c>
      <c r="C186" s="801"/>
      <c r="D186" s="747"/>
      <c r="E186" s="733">
        <f>+SUM(H186,K186,N186,Q186,T186,W186,Z186,AC186,AF186,AI186,AL186,AO186)</f>
        <v>-45545.001471117874</v>
      </c>
      <c r="F186" s="802"/>
      <c r="G186" s="803"/>
      <c r="H186" s="748">
        <v>-2695.2577797007798</v>
      </c>
      <c r="I186" s="802"/>
      <c r="J186" s="803"/>
      <c r="K186" s="748">
        <v>-2716.0682564709787</v>
      </c>
      <c r="L186" s="802"/>
      <c r="M186" s="803"/>
      <c r="N186" s="748">
        <v>-3323.0702442997044</v>
      </c>
      <c r="O186" s="802"/>
      <c r="P186" s="803"/>
      <c r="Q186" s="748">
        <v>-4802.576447707208</v>
      </c>
      <c r="R186" s="802"/>
      <c r="S186" s="803"/>
      <c r="T186" s="748">
        <v>-4411.4934015380704</v>
      </c>
      <c r="U186" s="802"/>
      <c r="V186" s="803"/>
      <c r="W186" s="748">
        <v>-3858.8080346597339</v>
      </c>
      <c r="X186" s="802"/>
      <c r="Y186" s="803"/>
      <c r="Z186" s="748">
        <v>-3370.8815544019317</v>
      </c>
      <c r="AA186" s="802"/>
      <c r="AB186" s="803"/>
      <c r="AC186" s="748">
        <v>-3512.3132332546952</v>
      </c>
      <c r="AD186" s="802"/>
      <c r="AE186" s="803"/>
      <c r="AF186" s="748">
        <v>-3242.4267491265255</v>
      </c>
      <c r="AG186" s="802"/>
      <c r="AH186" s="803"/>
      <c r="AI186" s="748">
        <v>-4487.7795387013848</v>
      </c>
      <c r="AJ186" s="802"/>
      <c r="AK186" s="803"/>
      <c r="AL186" s="748">
        <v>-5922.1118032977665</v>
      </c>
      <c r="AM186" s="802"/>
      <c r="AN186" s="803"/>
      <c r="AO186" s="748">
        <v>-3202.2144279590957</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583"/>
        <v>ServiceSous-total M/O</v>
      </c>
      <c r="B187" s="818" t="s">
        <v>165</v>
      </c>
      <c r="C187" s="819">
        <f t="shared" ref="C187:AO187" si="683">C174+C177+C180+C183+C186</f>
        <v>13082.49422966262</v>
      </c>
      <c r="D187" s="820">
        <f t="shared" si="683"/>
        <v>2948765.352524051</v>
      </c>
      <c r="E187" s="821">
        <f t="shared" si="683"/>
        <v>2122867.3061405402</v>
      </c>
      <c r="F187" s="819">
        <f t="shared" si="683"/>
        <v>780.84195717121088</v>
      </c>
      <c r="G187" s="820">
        <f t="shared" si="683"/>
        <v>171770.04279788345</v>
      </c>
      <c r="H187" s="821">
        <f t="shared" si="683"/>
        <v>122895.12649852961</v>
      </c>
      <c r="I187" s="819">
        <f t="shared" si="683"/>
        <v>787.90607419786215</v>
      </c>
      <c r="J187" s="820">
        <f t="shared" si="683"/>
        <v>174220.8277560744</v>
      </c>
      <c r="K187" s="821">
        <f t="shared" si="683"/>
        <v>124968.54112949126</v>
      </c>
      <c r="L187" s="819">
        <f t="shared" si="683"/>
        <v>958.6885019941883</v>
      </c>
      <c r="M187" s="820">
        <f t="shared" si="683"/>
        <v>215048.3336586009</v>
      </c>
      <c r="N187" s="821">
        <f t="shared" si="683"/>
        <v>154788.87303474464</v>
      </c>
      <c r="O187" s="819">
        <f t="shared" si="683"/>
        <v>1362.0936969794266</v>
      </c>
      <c r="P187" s="820">
        <f t="shared" si="683"/>
        <v>314546.70443315577</v>
      </c>
      <c r="Q187" s="821">
        <f t="shared" si="683"/>
        <v>227458.36591846409</v>
      </c>
      <c r="R187" s="819">
        <f t="shared" si="683"/>
        <v>1265.029900856508</v>
      </c>
      <c r="S187" s="820">
        <f t="shared" si="683"/>
        <v>286111.08505044621</v>
      </c>
      <c r="T187" s="821">
        <f t="shared" si="683"/>
        <v>206114.51760550909</v>
      </c>
      <c r="U187" s="819">
        <f t="shared" si="683"/>
        <v>1113.0260958858751</v>
      </c>
      <c r="V187" s="820">
        <f t="shared" si="683"/>
        <v>247380.09277094851</v>
      </c>
      <c r="W187" s="821">
        <f t="shared" si="683"/>
        <v>177405.73962013179</v>
      </c>
      <c r="X187" s="819">
        <f t="shared" si="683"/>
        <v>975.18389073041931</v>
      </c>
      <c r="Y187" s="820">
        <f t="shared" si="683"/>
        <v>216907.82234573105</v>
      </c>
      <c r="Z187" s="821">
        <f t="shared" si="683"/>
        <v>155781.36718168348</v>
      </c>
      <c r="AA187" s="819">
        <f t="shared" si="683"/>
        <v>1014.5075798146744</v>
      </c>
      <c r="AB187" s="820">
        <f t="shared" si="683"/>
        <v>224532.61469032214</v>
      </c>
      <c r="AC187" s="821">
        <f t="shared" si="683"/>
        <v>160841.48407368269</v>
      </c>
      <c r="AD187" s="819">
        <f t="shared" si="683"/>
        <v>940.99418546842617</v>
      </c>
      <c r="AE187" s="820">
        <f t="shared" si="683"/>
        <v>207445.96769028154</v>
      </c>
      <c r="AF187" s="821">
        <f t="shared" si="683"/>
        <v>148648.86963017017</v>
      </c>
      <c r="AG187" s="819">
        <f t="shared" si="683"/>
        <v>1288.9244521105356</v>
      </c>
      <c r="AH187" s="820">
        <f t="shared" si="683"/>
        <v>292760.97982239287</v>
      </c>
      <c r="AI187" s="821">
        <f t="shared" si="683"/>
        <v>211381.0647078047</v>
      </c>
      <c r="AJ187" s="819">
        <f t="shared" si="683"/>
        <v>1670.8634071189394</v>
      </c>
      <c r="AK187" s="820">
        <f t="shared" si="683"/>
        <v>391115.70806573797</v>
      </c>
      <c r="AL187" s="821">
        <f t="shared" si="683"/>
        <v>283726.08437871281</v>
      </c>
      <c r="AM187" s="819">
        <f t="shared" si="683"/>
        <v>924.43448733455398</v>
      </c>
      <c r="AN187" s="820">
        <f t="shared" si="683"/>
        <v>206925.17344247617</v>
      </c>
      <c r="AO187" s="821">
        <f t="shared" si="683"/>
        <v>148857.27236161588</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583"/>
        <v>Service% protit / ventes</v>
      </c>
      <c r="B188" s="822" t="s">
        <v>166</v>
      </c>
      <c r="C188" s="823"/>
      <c r="D188" s="824">
        <f>IFERROR(D187/C187,0)</f>
        <v>225.3977950044237</v>
      </c>
      <c r="E188" s="825">
        <f>IF(E187=0,0,E187/D187)</f>
        <v>0.71991733907326061</v>
      </c>
      <c r="F188" s="823"/>
      <c r="G188" s="824">
        <f>IFERROR(G187/F187,0)</f>
        <v>219.98054948297352</v>
      </c>
      <c r="H188" s="825">
        <f>IF(H187=0,0,H187/G187)</f>
        <v>0.71546309529151453</v>
      </c>
      <c r="I188" s="823"/>
      <c r="J188" s="824">
        <f t="shared" ref="J188" si="684">IFERROR(J187/I187,0)</f>
        <v>221.11877730279227</v>
      </c>
      <c r="K188" s="825">
        <f t="shared" ref="K188" si="685">IF(K187=0,0,K187/J187)</f>
        <v>0.71729966353080932</v>
      </c>
      <c r="L188" s="823"/>
      <c r="M188" s="824">
        <f t="shared" ref="M188" si="686">IFERROR(M187/L187,0)</f>
        <v>224.31512760534238</v>
      </c>
      <c r="N188" s="825">
        <f t="shared" ref="N188" si="687">IF(N187=0,0,N187/M187)</f>
        <v>0.71978643313032631</v>
      </c>
      <c r="O188" s="823"/>
      <c r="P188" s="824">
        <f t="shared" ref="P188" si="688">IFERROR(P187/O187,0)</f>
        <v>230.92883046936731</v>
      </c>
      <c r="Q188" s="825">
        <f t="shared" ref="Q188" si="689">IF(Q187=0,0,Q187/P187)</f>
        <v>0.72313065981208269</v>
      </c>
      <c r="R188" s="823"/>
      <c r="S188" s="824">
        <f t="shared" ref="S188" si="690">IFERROR(S187/R187,0)</f>
        <v>226.16942481496309</v>
      </c>
      <c r="T188" s="825">
        <f t="shared" ref="T188" si="691">IF(T187=0,0,T187/S187)</f>
        <v>0.72040032132682874</v>
      </c>
      <c r="U188" s="823"/>
      <c r="V188" s="824">
        <f t="shared" ref="V188" si="692">IFERROR(V187/U187,0)</f>
        <v>222.25902311306976</v>
      </c>
      <c r="W188" s="825">
        <f t="shared" ref="W188" si="693">IF(W187=0,0,W187/V187)</f>
        <v>0.71713830176461846</v>
      </c>
      <c r="X188" s="823"/>
      <c r="Y188" s="824">
        <f t="shared" ref="Y188" si="694">IFERROR(Y187/X187,0)</f>
        <v>222.42761022566282</v>
      </c>
      <c r="Z188" s="825">
        <f t="shared" ref="Z188" si="695">IF(Z187=0,0,Z187/Y187)</f>
        <v>0.71819155942371848</v>
      </c>
      <c r="AA188" s="823"/>
      <c r="AB188" s="824">
        <f t="shared" ref="AB188" si="696">IFERROR(AB187/AA187,0)</f>
        <v>221.32177142662525</v>
      </c>
      <c r="AC188" s="825">
        <f t="shared" ref="AC188" si="697">IF(AC187=0,0,AC187/AB187)</f>
        <v>0.71633906858260676</v>
      </c>
      <c r="AD188" s="823"/>
      <c r="AE188" s="824">
        <f t="shared" ref="AE188" si="698">IFERROR(AE187/AD187,0)</f>
        <v>220.45403775477646</v>
      </c>
      <c r="AF188" s="825">
        <f t="shared" ref="AF188" si="699">IF(AF187=0,0,AF187/AE187)</f>
        <v>0.71656668618453989</v>
      </c>
      <c r="AG188" s="823"/>
      <c r="AH188" s="824">
        <f t="shared" ref="AH188" si="700">IFERROR(AH187/AG187,0)</f>
        <v>227.13587234924012</v>
      </c>
      <c r="AI188" s="825">
        <f t="shared" ref="AI188" si="701">IF(AI187=0,0,AI187/AH187)</f>
        <v>0.72202608706953264</v>
      </c>
      <c r="AJ188" s="823"/>
      <c r="AK188" s="824">
        <f t="shared" ref="AK188" si="702">IFERROR(AK187/AJ187,0)</f>
        <v>234.08000103379882</v>
      </c>
      <c r="AL188" s="825">
        <f t="shared" ref="AL188" si="703">IF(AL187=0,0,AL187/AK187)</f>
        <v>0.72542748482764763</v>
      </c>
      <c r="AM188" s="823"/>
      <c r="AN188" s="824">
        <f t="shared" ref="AN188" si="704">IFERROR(AN187/AM187,0)</f>
        <v>223.83973799929177</v>
      </c>
      <c r="AO188" s="825">
        <f t="shared" ref="AO188" si="705">IF(AO187=0,0,AO187/AN187)</f>
        <v>0.71937729897806379</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583"/>
        <v>Service</v>
      </c>
      <c r="B189" s="826"/>
      <c r="C189" s="801"/>
      <c r="D189" s="747"/>
      <c r="E189" s="827"/>
      <c r="F189" s="801"/>
      <c r="G189" s="747"/>
      <c r="H189" s="827"/>
      <c r="I189" s="801"/>
      <c r="J189" s="747"/>
      <c r="K189" s="827"/>
      <c r="L189" s="801"/>
      <c r="M189" s="747"/>
      <c r="N189" s="827"/>
      <c r="O189" s="801"/>
      <c r="P189" s="747"/>
      <c r="Q189" s="827"/>
      <c r="R189" s="801"/>
      <c r="S189" s="747"/>
      <c r="T189" s="827"/>
      <c r="U189" s="801"/>
      <c r="V189" s="747"/>
      <c r="W189" s="827"/>
      <c r="X189" s="801"/>
      <c r="Y189" s="747"/>
      <c r="Z189" s="827"/>
      <c r="AA189" s="801"/>
      <c r="AB189" s="747"/>
      <c r="AC189" s="827"/>
      <c r="AD189" s="801"/>
      <c r="AE189" s="747"/>
      <c r="AF189" s="827"/>
      <c r="AG189" s="801"/>
      <c r="AH189" s="747"/>
      <c r="AI189" s="827"/>
      <c r="AJ189" s="801"/>
      <c r="AK189" s="747"/>
      <c r="AL189" s="827"/>
      <c r="AM189" s="801"/>
      <c r="AN189" s="747"/>
      <c r="AO189" s="827"/>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583"/>
        <v>ServiceSous-traitement</v>
      </c>
      <c r="B190" s="828" t="s">
        <v>167</v>
      </c>
      <c r="C190" s="801">
        <f>+SUM(F190,I190,L190,O190,R190,U190,X190,AA190,AD190,AG190,AJ190,AM190)</f>
        <v>0</v>
      </c>
      <c r="D190" s="812">
        <f>+SUM(G190,J190,M190,P190,S190,V190,Y190,AB190,AE190,AH190,AK190,AN190)</f>
        <v>286672.09072567453</v>
      </c>
      <c r="E190" s="733">
        <f>+SUM(H190,K190,N190,Q190,T190,W190,Z190,AC190,AF190,AI190,AL190,AO190)</f>
        <v>62817.220834615509</v>
      </c>
      <c r="F190" s="802">
        <v>0</v>
      </c>
      <c r="G190" s="829">
        <v>14155.861843538976</v>
      </c>
      <c r="H190" s="748">
        <v>3101.9130508272219</v>
      </c>
      <c r="I190" s="802">
        <v>0</v>
      </c>
      <c r="J190" s="829">
        <v>19616.998539677545</v>
      </c>
      <c r="K190" s="748">
        <v>4298.5884194721502</v>
      </c>
      <c r="L190" s="802">
        <v>0</v>
      </c>
      <c r="M190" s="829">
        <v>24550.197371667207</v>
      </c>
      <c r="N190" s="748">
        <v>5379.5790372393512</v>
      </c>
      <c r="O190" s="802">
        <v>0</v>
      </c>
      <c r="P190" s="829">
        <v>34790.596683403084</v>
      </c>
      <c r="Q190" s="748">
        <v>7623.5136434006663</v>
      </c>
      <c r="R190" s="802">
        <v>0</v>
      </c>
      <c r="S190" s="829">
        <v>35279.231557541265</v>
      </c>
      <c r="T190" s="748">
        <v>7730.5860993154811</v>
      </c>
      <c r="U190" s="802">
        <v>0</v>
      </c>
      <c r="V190" s="829">
        <v>28934.706896221418</v>
      </c>
      <c r="W190" s="748">
        <v>6340.3377297168745</v>
      </c>
      <c r="X190" s="802">
        <v>0</v>
      </c>
      <c r="Y190" s="829">
        <v>24681.887898534012</v>
      </c>
      <c r="Z190" s="748">
        <v>5408.4358153340672</v>
      </c>
      <c r="AA190" s="802">
        <v>0</v>
      </c>
      <c r="AB190" s="829">
        <v>19669.074890252403</v>
      </c>
      <c r="AC190" s="748">
        <v>4309.9996859335661</v>
      </c>
      <c r="AD190" s="802">
        <v>0</v>
      </c>
      <c r="AE190" s="829">
        <v>27614.687066869901</v>
      </c>
      <c r="AF190" s="748">
        <v>6051.0874684984065</v>
      </c>
      <c r="AG190" s="802">
        <v>0</v>
      </c>
      <c r="AH190" s="829">
        <v>24591.142143153709</v>
      </c>
      <c r="AI190" s="748">
        <v>5388.5510887075625</v>
      </c>
      <c r="AJ190" s="802">
        <v>0</v>
      </c>
      <c r="AK190" s="829">
        <v>18225.059081138334</v>
      </c>
      <c r="AL190" s="748">
        <v>3993.5787195947228</v>
      </c>
      <c r="AM190" s="802">
        <v>0</v>
      </c>
      <c r="AN190" s="829">
        <v>14562.646753676678</v>
      </c>
      <c r="AO190" s="748">
        <v>3191.0500765754377</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583"/>
        <v>Service% profit / ventes</v>
      </c>
      <c r="B191" s="828" t="s">
        <v>160</v>
      </c>
      <c r="C191" s="801"/>
      <c r="D191" s="812"/>
      <c r="E191" s="804">
        <f>IF(E190=0,0,E190/D190)</f>
        <v>0.21912569401367804</v>
      </c>
      <c r="F191" s="801"/>
      <c r="G191" s="812"/>
      <c r="H191" s="804">
        <f>IF(H190=0,0,H190/G190)</f>
        <v>0.21912569401367804</v>
      </c>
      <c r="I191" s="801"/>
      <c r="J191" s="812"/>
      <c r="K191" s="804">
        <f t="shared" ref="K191" si="706">IF(K190=0,0,K190/J190)</f>
        <v>0.21912569401367801</v>
      </c>
      <c r="L191" s="801"/>
      <c r="M191" s="812"/>
      <c r="N191" s="804">
        <f t="shared" ref="N191" si="707">IF(N190=0,0,N190/M190)</f>
        <v>0.21912569401367804</v>
      </c>
      <c r="O191" s="801"/>
      <c r="P191" s="812"/>
      <c r="Q191" s="804">
        <f t="shared" ref="Q191" si="708">IF(Q190=0,0,Q190/P190)</f>
        <v>0.21912569401367804</v>
      </c>
      <c r="R191" s="801"/>
      <c r="S191" s="812"/>
      <c r="T191" s="804">
        <f t="shared" ref="T191" si="709">IF(T190=0,0,T190/S190)</f>
        <v>0.21912569401367804</v>
      </c>
      <c r="U191" s="801"/>
      <c r="V191" s="812"/>
      <c r="W191" s="804">
        <f t="shared" ref="W191" si="710">IF(W190=0,0,W190/V190)</f>
        <v>0.21912569401367804</v>
      </c>
      <c r="X191" s="801"/>
      <c r="Y191" s="812"/>
      <c r="Z191" s="804">
        <f t="shared" ref="Z191" si="711">IF(Z190=0,0,Z190/Y190)</f>
        <v>0.21912569401367804</v>
      </c>
      <c r="AA191" s="801"/>
      <c r="AB191" s="812"/>
      <c r="AC191" s="804">
        <f t="shared" ref="AC191" si="712">IF(AC190=0,0,AC190/AB190)</f>
        <v>0.21912569401367804</v>
      </c>
      <c r="AD191" s="801"/>
      <c r="AE191" s="812"/>
      <c r="AF191" s="804">
        <f t="shared" ref="AF191" si="713">IF(AF190=0,0,AF190/AE190)</f>
        <v>0.21912569401367804</v>
      </c>
      <c r="AG191" s="801"/>
      <c r="AH191" s="812"/>
      <c r="AI191" s="804">
        <f t="shared" ref="AI191" si="714">IF(AI190=0,0,AI190/AH190)</f>
        <v>0.21912569401367804</v>
      </c>
      <c r="AJ191" s="801"/>
      <c r="AK191" s="812"/>
      <c r="AL191" s="804">
        <f t="shared" ref="AL191" si="715">IF(AL190=0,0,AL190/AK190)</f>
        <v>0.21912569401367804</v>
      </c>
      <c r="AM191" s="801"/>
      <c r="AN191" s="812"/>
      <c r="AO191" s="804">
        <f t="shared" ref="AO191" si="716">IF(AO190=0,0,AO190/AN190)</f>
        <v>0.21912569401367807</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583"/>
        <v>Service</v>
      </c>
      <c r="B192" s="828"/>
      <c r="C192" s="801"/>
      <c r="D192" s="812"/>
      <c r="E192" s="804"/>
      <c r="F192" s="801"/>
      <c r="G192" s="812"/>
      <c r="H192" s="804"/>
      <c r="I192" s="801"/>
      <c r="J192" s="812"/>
      <c r="K192" s="804"/>
      <c r="L192" s="801"/>
      <c r="M192" s="812"/>
      <c r="N192" s="804"/>
      <c r="O192" s="801"/>
      <c r="P192" s="812"/>
      <c r="Q192" s="804"/>
      <c r="R192" s="801"/>
      <c r="S192" s="812"/>
      <c r="T192" s="804"/>
      <c r="U192" s="801"/>
      <c r="V192" s="812"/>
      <c r="W192" s="804"/>
      <c r="X192" s="801"/>
      <c r="Y192" s="812"/>
      <c r="Z192" s="804"/>
      <c r="AA192" s="801"/>
      <c r="AB192" s="812"/>
      <c r="AC192" s="804"/>
      <c r="AD192" s="801"/>
      <c r="AE192" s="812"/>
      <c r="AF192" s="804"/>
      <c r="AG192" s="801"/>
      <c r="AH192" s="812"/>
      <c r="AI192" s="804"/>
      <c r="AJ192" s="801"/>
      <c r="AK192" s="812"/>
      <c r="AL192" s="804"/>
      <c r="AM192" s="801"/>
      <c r="AN192" s="812"/>
      <c r="AO192" s="804"/>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583"/>
        <v>ServiceM.O. Recond. MCPA</v>
      </c>
      <c r="B193" s="830" t="s">
        <v>168</v>
      </c>
      <c r="C193" s="808">
        <f>+SUM(F193,I193,L193,O193,R193,U193,X193,AA193,AD193,AG193,AJ193,AM193)</f>
        <v>0</v>
      </c>
      <c r="D193" s="831">
        <f>+SUM(G193,J193,M193,P193,S193,V193,Y193,AB193,AE193,AH193,AK193,AN193)</f>
        <v>0</v>
      </c>
      <c r="E193" s="760">
        <f>+SUM(H193,K193,N193,Q193,T193,W193,Z193,AC193,AF193,AI193,AL193,AO193)</f>
        <v>0</v>
      </c>
      <c r="F193" s="810">
        <v>0</v>
      </c>
      <c r="G193" s="832">
        <v>0</v>
      </c>
      <c r="H193" s="761">
        <v>0</v>
      </c>
      <c r="I193" s="810">
        <v>0</v>
      </c>
      <c r="J193" s="832">
        <v>0</v>
      </c>
      <c r="K193" s="761">
        <v>0</v>
      </c>
      <c r="L193" s="810">
        <v>0</v>
      </c>
      <c r="M193" s="832">
        <v>0</v>
      </c>
      <c r="N193" s="761">
        <v>0</v>
      </c>
      <c r="O193" s="810">
        <v>0</v>
      </c>
      <c r="P193" s="832">
        <v>0</v>
      </c>
      <c r="Q193" s="761">
        <v>0</v>
      </c>
      <c r="R193" s="810">
        <v>0</v>
      </c>
      <c r="S193" s="832">
        <v>0</v>
      </c>
      <c r="T193" s="761">
        <v>0</v>
      </c>
      <c r="U193" s="810">
        <v>0</v>
      </c>
      <c r="V193" s="832">
        <v>0</v>
      </c>
      <c r="W193" s="761">
        <v>0</v>
      </c>
      <c r="X193" s="810">
        <v>0</v>
      </c>
      <c r="Y193" s="832">
        <v>0</v>
      </c>
      <c r="Z193" s="761">
        <v>0</v>
      </c>
      <c r="AA193" s="810">
        <v>0</v>
      </c>
      <c r="AB193" s="832">
        <v>0</v>
      </c>
      <c r="AC193" s="761">
        <v>0</v>
      </c>
      <c r="AD193" s="810">
        <v>0</v>
      </c>
      <c r="AE193" s="832">
        <v>0</v>
      </c>
      <c r="AF193" s="761">
        <v>0</v>
      </c>
      <c r="AG193" s="810">
        <v>0</v>
      </c>
      <c r="AH193" s="832">
        <v>0</v>
      </c>
      <c r="AI193" s="761">
        <v>0</v>
      </c>
      <c r="AJ193" s="810">
        <v>0</v>
      </c>
      <c r="AK193" s="832">
        <v>0</v>
      </c>
      <c r="AL193" s="761">
        <v>0</v>
      </c>
      <c r="AM193" s="810">
        <v>0</v>
      </c>
      <c r="AN193" s="832">
        <v>0</v>
      </c>
      <c r="AO193" s="761">
        <v>0</v>
      </c>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583"/>
        <v>Service% profit / ventes</v>
      </c>
      <c r="B194" s="774" t="s">
        <v>160</v>
      </c>
      <c r="C194" s="805"/>
      <c r="D194" s="833"/>
      <c r="E194" s="807">
        <f>IF(E193=0,0,E193/D193)</f>
        <v>0</v>
      </c>
      <c r="F194" s="805"/>
      <c r="G194" s="833"/>
      <c r="H194" s="807">
        <f>IF(H193=0,0,H193/G193)</f>
        <v>0</v>
      </c>
      <c r="I194" s="805"/>
      <c r="J194" s="833"/>
      <c r="K194" s="807">
        <f t="shared" ref="K194" si="717">IF(K193=0,0,K193/J193)</f>
        <v>0</v>
      </c>
      <c r="L194" s="805"/>
      <c r="M194" s="833"/>
      <c r="N194" s="807">
        <f t="shared" ref="N194" si="718">IF(N193=0,0,N193/M193)</f>
        <v>0</v>
      </c>
      <c r="O194" s="805"/>
      <c r="P194" s="833"/>
      <c r="Q194" s="807">
        <f t="shared" ref="Q194" si="719">IF(Q193=0,0,Q193/P193)</f>
        <v>0</v>
      </c>
      <c r="R194" s="805"/>
      <c r="S194" s="833"/>
      <c r="T194" s="807">
        <f t="shared" ref="T194" si="720">IF(T193=0,0,T193/S193)</f>
        <v>0</v>
      </c>
      <c r="U194" s="805"/>
      <c r="V194" s="833"/>
      <c r="W194" s="807">
        <f t="shared" ref="W194" si="721">IF(W193=0,0,W193/V193)</f>
        <v>0</v>
      </c>
      <c r="X194" s="805"/>
      <c r="Y194" s="833"/>
      <c r="Z194" s="807">
        <f t="shared" ref="Z194" si="722">IF(Z193=0,0,Z193/Y193)</f>
        <v>0</v>
      </c>
      <c r="AA194" s="805"/>
      <c r="AB194" s="833"/>
      <c r="AC194" s="807">
        <f t="shared" ref="AC194" si="723">IF(AC193=0,0,AC193/AB193)</f>
        <v>0</v>
      </c>
      <c r="AD194" s="805"/>
      <c r="AE194" s="833"/>
      <c r="AF194" s="807">
        <f t="shared" ref="AF194" si="724">IF(AF193=0,0,AF193/AE193)</f>
        <v>0</v>
      </c>
      <c r="AG194" s="805"/>
      <c r="AH194" s="833"/>
      <c r="AI194" s="807">
        <f t="shared" ref="AI194" si="725">IF(AI193=0,0,AI193/AH193)</f>
        <v>0</v>
      </c>
      <c r="AJ194" s="805"/>
      <c r="AK194" s="833"/>
      <c r="AL194" s="807">
        <f t="shared" ref="AL194" si="726">IF(AL193=0,0,AL193/AK193)</f>
        <v>0</v>
      </c>
      <c r="AM194" s="805"/>
      <c r="AN194" s="833"/>
      <c r="AO194" s="807">
        <f t="shared" ref="AO194" si="727">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583"/>
        <v>Service</v>
      </c>
      <c r="B195" s="826"/>
      <c r="C195" s="834"/>
      <c r="D195" s="835"/>
      <c r="E195" s="836"/>
      <c r="F195" s="834"/>
      <c r="G195" s="835"/>
      <c r="H195" s="836"/>
      <c r="I195" s="834"/>
      <c r="J195" s="835"/>
      <c r="K195" s="836"/>
      <c r="L195" s="834"/>
      <c r="M195" s="835"/>
      <c r="N195" s="836"/>
      <c r="O195" s="834"/>
      <c r="P195" s="835"/>
      <c r="Q195" s="836"/>
      <c r="R195" s="834"/>
      <c r="S195" s="835"/>
      <c r="T195" s="836"/>
      <c r="U195" s="834"/>
      <c r="V195" s="835"/>
      <c r="W195" s="836"/>
      <c r="X195" s="834"/>
      <c r="Y195" s="835"/>
      <c r="Z195" s="836"/>
      <c r="AA195" s="834"/>
      <c r="AB195" s="835"/>
      <c r="AC195" s="836"/>
      <c r="AD195" s="834"/>
      <c r="AE195" s="835"/>
      <c r="AF195" s="836"/>
      <c r="AG195" s="834"/>
      <c r="AH195" s="835"/>
      <c r="AI195" s="836"/>
      <c r="AJ195" s="834"/>
      <c r="AK195" s="835"/>
      <c r="AL195" s="836"/>
      <c r="AM195" s="834"/>
      <c r="AN195" s="835"/>
      <c r="AO195" s="836"/>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583"/>
        <v>ServiceTotal Mécanique</v>
      </c>
      <c r="B196" s="734" t="s">
        <v>169</v>
      </c>
      <c r="C196" s="735"/>
      <c r="D196" s="837">
        <f>D187+D190+D193</f>
        <v>3235437.4432497257</v>
      </c>
      <c r="E196" s="737">
        <f>E187+E190+E193</f>
        <v>2185684.5269751558</v>
      </c>
      <c r="F196" s="735"/>
      <c r="G196" s="837">
        <f>G187+G190+G193</f>
        <v>185925.90464142241</v>
      </c>
      <c r="H196" s="737">
        <f>H187+H190+H193</f>
        <v>125997.03954935684</v>
      </c>
      <c r="I196" s="735"/>
      <c r="J196" s="837">
        <f t="shared" ref="J196:K196" si="728">J187+J190+J193</f>
        <v>193837.82629575196</v>
      </c>
      <c r="K196" s="737">
        <f t="shared" si="728"/>
        <v>129267.12954896341</v>
      </c>
      <c r="L196" s="735"/>
      <c r="M196" s="837">
        <f t="shared" ref="M196:N196" si="729">M187+M190+M193</f>
        <v>239598.53103026812</v>
      </c>
      <c r="N196" s="737">
        <f t="shared" si="729"/>
        <v>160168.45207198398</v>
      </c>
      <c r="O196" s="735"/>
      <c r="P196" s="837">
        <f t="shared" ref="P196:Q196" si="730">P187+P190+P193</f>
        <v>349337.30111655884</v>
      </c>
      <c r="Q196" s="737">
        <f t="shared" si="730"/>
        <v>235081.87956186474</v>
      </c>
      <c r="R196" s="735"/>
      <c r="S196" s="837">
        <f t="shared" ref="S196:T196" si="731">S187+S190+S193</f>
        <v>321390.31660798751</v>
      </c>
      <c r="T196" s="737">
        <f t="shared" si="731"/>
        <v>213845.10370482458</v>
      </c>
      <c r="U196" s="735"/>
      <c r="V196" s="837">
        <f t="shared" ref="V196:W196" si="732">V187+V190+V193</f>
        <v>276314.79966716992</v>
      </c>
      <c r="W196" s="737">
        <f t="shared" si="732"/>
        <v>183746.07734984867</v>
      </c>
      <c r="X196" s="735"/>
      <c r="Y196" s="837">
        <f t="shared" ref="Y196:Z196" si="733">Y187+Y190+Y193</f>
        <v>241589.71024426506</v>
      </c>
      <c r="Z196" s="737">
        <f t="shared" si="733"/>
        <v>161189.80299701754</v>
      </c>
      <c r="AA196" s="735"/>
      <c r="AB196" s="837">
        <f t="shared" ref="AB196:AC196" si="734">AB187+AB190+AB193</f>
        <v>244201.68958057454</v>
      </c>
      <c r="AC196" s="737">
        <f t="shared" si="734"/>
        <v>165151.48375961627</v>
      </c>
      <c r="AD196" s="735"/>
      <c r="AE196" s="837">
        <f t="shared" ref="AE196:AF196" si="735">AE187+AE190+AE193</f>
        <v>235060.65475715144</v>
      </c>
      <c r="AF196" s="737">
        <f t="shared" si="735"/>
        <v>154699.95709866859</v>
      </c>
      <c r="AG196" s="735"/>
      <c r="AH196" s="837">
        <f t="shared" ref="AH196:AI196" si="736">AH187+AH190+AH193</f>
        <v>317352.12196554657</v>
      </c>
      <c r="AI196" s="737">
        <f t="shared" si="736"/>
        <v>216769.61579651225</v>
      </c>
      <c r="AJ196" s="735"/>
      <c r="AK196" s="837">
        <f t="shared" ref="AK196:AL196" si="737">AK187+AK190+AK193</f>
        <v>409340.76714687631</v>
      </c>
      <c r="AL196" s="737">
        <f t="shared" si="737"/>
        <v>287719.66309830756</v>
      </c>
      <c r="AM196" s="735"/>
      <c r="AN196" s="837">
        <f t="shared" ref="AN196:AO196" si="738">AN187+AN190+AN193</f>
        <v>221487.82019615284</v>
      </c>
      <c r="AO196" s="737">
        <f t="shared" si="738"/>
        <v>152048.3224381913</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583"/>
        <v>Service</v>
      </c>
      <c r="B197" s="738"/>
      <c r="C197" s="738"/>
      <c r="D197" s="739"/>
      <c r="E197" s="838">
        <f>IFERROR(E196/D196,0)</f>
        <v>0.67554529033941668</v>
      </c>
      <c r="F197" s="738"/>
      <c r="G197" s="739"/>
      <c r="H197" s="838">
        <f>IFERROR(H196/G196,0)</f>
        <v>0.67767339786435532</v>
      </c>
      <c r="I197" s="738"/>
      <c r="J197" s="739"/>
      <c r="K197" s="838">
        <f t="shared" ref="K197" si="739">IFERROR(K196/J196,0)</f>
        <v>0.66688288874913138</v>
      </c>
      <c r="L197" s="738"/>
      <c r="M197" s="739"/>
      <c r="N197" s="838">
        <f t="shared" ref="N197" si="740">IFERROR(N196/M196,0)</f>
        <v>0.66848678655609184</v>
      </c>
      <c r="O197" s="738"/>
      <c r="P197" s="739"/>
      <c r="Q197" s="838">
        <f t="shared" ref="Q197" si="741">IFERROR(Q196/P196,0)</f>
        <v>0.67293666840183219</v>
      </c>
      <c r="R197" s="738"/>
      <c r="S197" s="739"/>
      <c r="T197" s="838">
        <f t="shared" ref="T197" si="742">IFERROR(T196/S196,0)</f>
        <v>0.66537506780473388</v>
      </c>
      <c r="U197" s="738"/>
      <c r="V197" s="739"/>
      <c r="W197" s="838">
        <f t="shared" ref="W197" si="743">IFERROR(W196/V196,0)</f>
        <v>0.66498818583433361</v>
      </c>
      <c r="X197" s="738"/>
      <c r="Y197" s="739"/>
      <c r="Z197" s="838">
        <f t="shared" ref="Z197" si="744">IFERROR(Z196/Y196,0)</f>
        <v>0.6672047531910309</v>
      </c>
      <c r="AA197" s="738"/>
      <c r="AB197" s="739"/>
      <c r="AC197" s="838">
        <f t="shared" ref="AC197" si="745">IFERROR(AC196/AB196,0)</f>
        <v>0.6762913231405977</v>
      </c>
      <c r="AD197" s="738"/>
      <c r="AE197" s="739"/>
      <c r="AF197" s="838">
        <f t="shared" ref="AF197" si="746">IFERROR(AF196/AE196,0)</f>
        <v>0.65812782346962306</v>
      </c>
      <c r="AG197" s="738"/>
      <c r="AH197" s="739"/>
      <c r="AI197" s="838">
        <f t="shared" ref="AI197" si="747">IFERROR(AI196/AH196,0)</f>
        <v>0.68305708641219021</v>
      </c>
      <c r="AJ197" s="738"/>
      <c r="AK197" s="739"/>
      <c r="AL197" s="838">
        <f t="shared" ref="AL197" si="748">IFERROR(AL196/AK196,0)</f>
        <v>0.70288543480222276</v>
      </c>
      <c r="AM197" s="738"/>
      <c r="AN197" s="739"/>
      <c r="AO197" s="838">
        <f t="shared" ref="AO197" si="749">IFERROR(AO196/AN196,0)</f>
        <v>0.68648615668137003</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583"/>
        <v>Service</v>
      </c>
      <c r="B198" s="741"/>
      <c r="C198" s="741"/>
      <c r="D198" s="742"/>
      <c r="E198" s="839"/>
      <c r="F198" s="741"/>
      <c r="G198" s="742"/>
      <c r="H198" s="839"/>
      <c r="I198" s="741"/>
      <c r="J198" s="742"/>
      <c r="K198" s="839"/>
      <c r="L198" s="741"/>
      <c r="M198" s="742"/>
      <c r="N198" s="839"/>
      <c r="O198" s="741"/>
      <c r="P198" s="742"/>
      <c r="Q198" s="839"/>
      <c r="R198" s="741"/>
      <c r="S198" s="742"/>
      <c r="T198" s="839"/>
      <c r="U198" s="741"/>
      <c r="V198" s="742"/>
      <c r="W198" s="839"/>
      <c r="X198" s="741"/>
      <c r="Y198" s="742"/>
      <c r="Z198" s="839"/>
      <c r="AA198" s="741"/>
      <c r="AB198" s="742"/>
      <c r="AC198" s="839"/>
      <c r="AD198" s="741"/>
      <c r="AE198" s="742"/>
      <c r="AF198" s="839"/>
      <c r="AG198" s="741"/>
      <c r="AH198" s="742"/>
      <c r="AI198" s="839"/>
      <c r="AJ198" s="741"/>
      <c r="AK198" s="742"/>
      <c r="AL198" s="839"/>
      <c r="AM198" s="741"/>
      <c r="AN198" s="742"/>
      <c r="AO198" s="839"/>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583"/>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583"/>
        <v>ServiceSalaires cadres</v>
      </c>
      <c r="B200" s="757" t="s">
        <v>112</v>
      </c>
      <c r="C200" s="710"/>
      <c r="D200" s="732"/>
      <c r="E200" s="733">
        <f t="shared" ref="E200:E211" si="750">+SUM(H200,K200,N200,Q200,T200,W200,Z200,AC200,AF200,AI200,AL200,AO200)</f>
        <v>137787.02500000002</v>
      </c>
      <c r="F200" s="710"/>
      <c r="G200" s="732"/>
      <c r="H200" s="748">
        <v>11204.70316091954</v>
      </c>
      <c r="I200" s="710"/>
      <c r="J200" s="732"/>
      <c r="K200" s="748">
        <v>10834.637931034482</v>
      </c>
      <c r="L200" s="710"/>
      <c r="M200" s="732"/>
      <c r="N200" s="748">
        <v>11944.833620689657</v>
      </c>
      <c r="O200" s="710"/>
      <c r="P200" s="732"/>
      <c r="Q200" s="748">
        <v>11204.70316091954</v>
      </c>
      <c r="R200" s="710"/>
      <c r="S200" s="732"/>
      <c r="T200" s="748">
        <v>11574.768390804598</v>
      </c>
      <c r="U200" s="710"/>
      <c r="V200" s="732"/>
      <c r="W200" s="748">
        <v>11574.768390804598</v>
      </c>
      <c r="X200" s="710"/>
      <c r="Y200" s="732"/>
      <c r="Z200" s="748">
        <v>11574.768390804598</v>
      </c>
      <c r="AA200" s="710"/>
      <c r="AB200" s="732"/>
      <c r="AC200" s="748">
        <v>11574.768390804598</v>
      </c>
      <c r="AD200" s="710"/>
      <c r="AE200" s="732"/>
      <c r="AF200" s="748">
        <v>11574.768390804598</v>
      </c>
      <c r="AG200" s="710"/>
      <c r="AH200" s="732"/>
      <c r="AI200" s="748">
        <v>11204.70316091954</v>
      </c>
      <c r="AJ200" s="710"/>
      <c r="AK200" s="732"/>
      <c r="AL200" s="748">
        <v>11574.768390804598</v>
      </c>
      <c r="AM200" s="710"/>
      <c r="AN200" s="732"/>
      <c r="AO200" s="748">
        <v>11944.833620689657</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583"/>
        <v>ServiceSalaires commis</v>
      </c>
      <c r="B201" s="758" t="s">
        <v>113</v>
      </c>
      <c r="C201" s="710"/>
      <c r="D201" s="732"/>
      <c r="E201" s="733">
        <f t="shared" si="750"/>
        <v>116560.93868650004</v>
      </c>
      <c r="F201" s="710"/>
      <c r="G201" s="732"/>
      <c r="H201" s="748">
        <v>9403.9419058103449</v>
      </c>
      <c r="I201" s="710"/>
      <c r="J201" s="732"/>
      <c r="K201" s="748">
        <v>8991.3157039463604</v>
      </c>
      <c r="L201" s="710"/>
      <c r="M201" s="732"/>
      <c r="N201" s="748">
        <v>10229.194309538316</v>
      </c>
      <c r="O201" s="710"/>
      <c r="P201" s="732"/>
      <c r="Q201" s="748">
        <v>9403.9419058103449</v>
      </c>
      <c r="R201" s="710"/>
      <c r="S201" s="732"/>
      <c r="T201" s="748">
        <v>9816.5681076743313</v>
      </c>
      <c r="U201" s="710"/>
      <c r="V201" s="732"/>
      <c r="W201" s="748">
        <v>9816.5681076743313</v>
      </c>
      <c r="X201" s="710"/>
      <c r="Y201" s="732"/>
      <c r="Z201" s="748">
        <v>9816.5681076743313</v>
      </c>
      <c r="AA201" s="710"/>
      <c r="AB201" s="732"/>
      <c r="AC201" s="748">
        <v>9816.5681076743313</v>
      </c>
      <c r="AD201" s="710"/>
      <c r="AE201" s="732"/>
      <c r="AF201" s="748">
        <v>9816.5681076743313</v>
      </c>
      <c r="AG201" s="710"/>
      <c r="AH201" s="732"/>
      <c r="AI201" s="748">
        <v>9403.9419058103449</v>
      </c>
      <c r="AJ201" s="710"/>
      <c r="AK201" s="732"/>
      <c r="AL201" s="748">
        <v>9816.5681076743313</v>
      </c>
      <c r="AM201" s="710"/>
      <c r="AN201" s="732"/>
      <c r="AO201" s="748">
        <v>10229.194309538316</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583"/>
        <v>ServiceSalaires autres</v>
      </c>
      <c r="B202" s="757" t="s">
        <v>114</v>
      </c>
      <c r="C202" s="701"/>
      <c r="D202" s="759"/>
      <c r="E202" s="760">
        <f t="shared" si="750"/>
        <v>175431.207196</v>
      </c>
      <c r="F202" s="701"/>
      <c r="G202" s="759"/>
      <c r="H202" s="761">
        <v>14137.223567494253</v>
      </c>
      <c r="I202" s="701"/>
      <c r="J202" s="759"/>
      <c r="K202" s="761">
        <v>13494.498635708813</v>
      </c>
      <c r="L202" s="701"/>
      <c r="M202" s="759"/>
      <c r="N202" s="761">
        <v>15422.673431065135</v>
      </c>
      <c r="O202" s="701"/>
      <c r="P202" s="759"/>
      <c r="Q202" s="761">
        <v>14137.223567494253</v>
      </c>
      <c r="R202" s="701"/>
      <c r="S202" s="759"/>
      <c r="T202" s="761">
        <v>14779.948499279693</v>
      </c>
      <c r="U202" s="701"/>
      <c r="V202" s="759"/>
      <c r="W202" s="761">
        <v>14779.948499279693</v>
      </c>
      <c r="X202" s="701"/>
      <c r="Y202" s="759"/>
      <c r="Z202" s="761">
        <v>14779.948499279693</v>
      </c>
      <c r="AA202" s="701"/>
      <c r="AB202" s="759"/>
      <c r="AC202" s="761">
        <v>14779.948499279693</v>
      </c>
      <c r="AD202" s="701"/>
      <c r="AE202" s="759"/>
      <c r="AF202" s="761">
        <v>14779.948499279693</v>
      </c>
      <c r="AG202" s="701"/>
      <c r="AH202" s="759"/>
      <c r="AI202" s="761">
        <v>14137.223567494253</v>
      </c>
      <c r="AJ202" s="701"/>
      <c r="AK202" s="759"/>
      <c r="AL202" s="761">
        <v>14779.948499279693</v>
      </c>
      <c r="AM202" s="701"/>
      <c r="AN202" s="759"/>
      <c r="AO202" s="761">
        <v>15422.673431065135</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583"/>
        <v>ServiceSalaires spécialistes</v>
      </c>
      <c r="B203" s="757" t="s">
        <v>115</v>
      </c>
      <c r="C203" s="710"/>
      <c r="D203" s="732"/>
      <c r="E203" s="733">
        <f t="shared" si="750"/>
        <v>355556.64223627653</v>
      </c>
      <c r="F203" s="710"/>
      <c r="G203" s="732"/>
      <c r="H203" s="748">
        <v>24149.299286743022</v>
      </c>
      <c r="I203" s="710"/>
      <c r="J203" s="732"/>
      <c r="K203" s="748">
        <v>23417.677217237877</v>
      </c>
      <c r="L203" s="710"/>
      <c r="M203" s="732"/>
      <c r="N203" s="748">
        <v>28388.986087624806</v>
      </c>
      <c r="O203" s="710"/>
      <c r="P203" s="732"/>
      <c r="Q203" s="748">
        <v>35810.7399323438</v>
      </c>
      <c r="R203" s="710"/>
      <c r="S203" s="732"/>
      <c r="T203" s="748">
        <v>32573.40890000877</v>
      </c>
      <c r="U203" s="710"/>
      <c r="V203" s="732"/>
      <c r="W203" s="748">
        <v>27983.05435304586</v>
      </c>
      <c r="X203" s="710"/>
      <c r="Y203" s="732"/>
      <c r="Z203" s="748">
        <v>27180.556809766003</v>
      </c>
      <c r="AA203" s="710"/>
      <c r="AB203" s="732"/>
      <c r="AC203" s="748">
        <v>27090.634996836605</v>
      </c>
      <c r="AD203" s="710"/>
      <c r="AE203" s="732"/>
      <c r="AF203" s="748">
        <v>25702.544885609823</v>
      </c>
      <c r="AG203" s="710"/>
      <c r="AH203" s="732"/>
      <c r="AI203" s="748">
        <v>31876.135925580464</v>
      </c>
      <c r="AJ203" s="710"/>
      <c r="AK203" s="732"/>
      <c r="AL203" s="748">
        <v>43303.8097553033</v>
      </c>
      <c r="AM203" s="710"/>
      <c r="AN203" s="732"/>
      <c r="AO203" s="748">
        <v>28079.794086176207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583"/>
        <v>Service[...]</v>
      </c>
      <c r="B204" s="710" t="s">
        <v>42</v>
      </c>
      <c r="C204" s="710"/>
      <c r="D204" s="732"/>
      <c r="E204" s="733">
        <f t="shared" si="750"/>
        <v>0</v>
      </c>
      <c r="F204" s="710"/>
      <c r="G204" s="732"/>
      <c r="H204" s="748">
        <v>0</v>
      </c>
      <c r="I204" s="710"/>
      <c r="J204" s="732"/>
      <c r="K204" s="748">
        <v>0</v>
      </c>
      <c r="L204" s="710"/>
      <c r="M204" s="732"/>
      <c r="N204" s="748">
        <v>0</v>
      </c>
      <c r="O204" s="710"/>
      <c r="P204" s="732"/>
      <c r="Q204" s="748">
        <v>0</v>
      </c>
      <c r="R204" s="710"/>
      <c r="S204" s="732"/>
      <c r="T204" s="748">
        <v>0</v>
      </c>
      <c r="U204" s="710"/>
      <c r="V204" s="732"/>
      <c r="W204" s="748">
        <v>0</v>
      </c>
      <c r="X204" s="710"/>
      <c r="Y204" s="732"/>
      <c r="Z204" s="748">
        <v>0</v>
      </c>
      <c r="AA204" s="710"/>
      <c r="AB204" s="732"/>
      <c r="AC204" s="748">
        <v>0</v>
      </c>
      <c r="AD204" s="710"/>
      <c r="AE204" s="732"/>
      <c r="AF204" s="748">
        <v>0</v>
      </c>
      <c r="AG204" s="710"/>
      <c r="AH204" s="732"/>
      <c r="AI204" s="748">
        <v>0</v>
      </c>
      <c r="AJ204" s="710"/>
      <c r="AK204" s="732"/>
      <c r="AL204" s="748">
        <v>0</v>
      </c>
      <c r="AM204" s="710"/>
      <c r="AN204" s="732"/>
      <c r="AO204" s="748">
        <v>0</v>
      </c>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583"/>
        <v>Service[...]</v>
      </c>
      <c r="B205" s="710" t="s">
        <v>42</v>
      </c>
      <c r="C205" s="710"/>
      <c r="D205" s="732"/>
      <c r="E205" s="733">
        <f t="shared" si="750"/>
        <v>0</v>
      </c>
      <c r="F205" s="710"/>
      <c r="G205" s="732"/>
      <c r="H205" s="748">
        <v>0</v>
      </c>
      <c r="I205" s="710"/>
      <c r="J205" s="732"/>
      <c r="K205" s="748">
        <v>0</v>
      </c>
      <c r="L205" s="710"/>
      <c r="M205" s="732"/>
      <c r="N205" s="748">
        <v>0</v>
      </c>
      <c r="O205" s="710"/>
      <c r="P205" s="732"/>
      <c r="Q205" s="748">
        <v>0</v>
      </c>
      <c r="R205" s="710"/>
      <c r="S205" s="732"/>
      <c r="T205" s="748">
        <v>0</v>
      </c>
      <c r="U205" s="710"/>
      <c r="V205" s="732"/>
      <c r="W205" s="748">
        <v>0</v>
      </c>
      <c r="X205" s="710"/>
      <c r="Y205" s="732"/>
      <c r="Z205" s="748">
        <v>0</v>
      </c>
      <c r="AA205" s="710"/>
      <c r="AB205" s="732"/>
      <c r="AC205" s="748">
        <v>0</v>
      </c>
      <c r="AD205" s="710"/>
      <c r="AE205" s="732"/>
      <c r="AF205" s="748">
        <v>0</v>
      </c>
      <c r="AG205" s="710"/>
      <c r="AH205" s="732"/>
      <c r="AI205" s="748">
        <v>0</v>
      </c>
      <c r="AJ205" s="710"/>
      <c r="AK205" s="732"/>
      <c r="AL205" s="748">
        <v>0</v>
      </c>
      <c r="AM205" s="710"/>
      <c r="AN205" s="732"/>
      <c r="AO205" s="748">
        <v>0</v>
      </c>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583"/>
        <v>Service[...]</v>
      </c>
      <c r="B206" s="710" t="s">
        <v>42</v>
      </c>
      <c r="C206" s="710"/>
      <c r="D206" s="732"/>
      <c r="E206" s="733">
        <f t="shared" si="750"/>
        <v>0</v>
      </c>
      <c r="F206" s="710"/>
      <c r="G206" s="732"/>
      <c r="H206" s="748">
        <v>0</v>
      </c>
      <c r="I206" s="710"/>
      <c r="J206" s="732"/>
      <c r="K206" s="748">
        <v>0</v>
      </c>
      <c r="L206" s="710"/>
      <c r="M206" s="732"/>
      <c r="N206" s="748">
        <v>0</v>
      </c>
      <c r="O206" s="710"/>
      <c r="P206" s="732"/>
      <c r="Q206" s="748">
        <v>0</v>
      </c>
      <c r="R206" s="710"/>
      <c r="S206" s="732"/>
      <c r="T206" s="748">
        <v>0</v>
      </c>
      <c r="U206" s="710"/>
      <c r="V206" s="732"/>
      <c r="W206" s="748">
        <v>0</v>
      </c>
      <c r="X206" s="710"/>
      <c r="Y206" s="732"/>
      <c r="Z206" s="748">
        <v>0</v>
      </c>
      <c r="AA206" s="710"/>
      <c r="AB206" s="732"/>
      <c r="AC206" s="748">
        <v>0</v>
      </c>
      <c r="AD206" s="710"/>
      <c r="AE206" s="732"/>
      <c r="AF206" s="748">
        <v>0</v>
      </c>
      <c r="AG206" s="710"/>
      <c r="AH206" s="732"/>
      <c r="AI206" s="748">
        <v>0</v>
      </c>
      <c r="AJ206" s="710"/>
      <c r="AK206" s="732"/>
      <c r="AL206" s="748">
        <v>0</v>
      </c>
      <c r="AM206" s="710"/>
      <c r="AN206" s="732"/>
      <c r="AO206" s="748">
        <v>0</v>
      </c>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583"/>
        <v>ServiceSalaires en absences</v>
      </c>
      <c r="B207" s="758" t="s">
        <v>116</v>
      </c>
      <c r="C207" s="710"/>
      <c r="D207" s="732"/>
      <c r="E207" s="733">
        <f t="shared" si="750"/>
        <v>195393.40571534904</v>
      </c>
      <c r="F207" s="710"/>
      <c r="G207" s="732"/>
      <c r="H207" s="748">
        <v>15629.769783256188</v>
      </c>
      <c r="I207" s="710"/>
      <c r="J207" s="732"/>
      <c r="K207" s="748">
        <v>14965.965460862066</v>
      </c>
      <c r="L207" s="710"/>
      <c r="M207" s="732"/>
      <c r="N207" s="748">
        <v>16867.076866836465</v>
      </c>
      <c r="O207" s="710"/>
      <c r="P207" s="732"/>
      <c r="Q207" s="748">
        <v>16957.889052957009</v>
      </c>
      <c r="R207" s="710"/>
      <c r="S207" s="732"/>
      <c r="T207" s="748">
        <v>16356.649875427871</v>
      </c>
      <c r="U207" s="710"/>
      <c r="V207" s="732"/>
      <c r="W207" s="748">
        <v>16240.365355092119</v>
      </c>
      <c r="X207" s="710"/>
      <c r="Y207" s="732"/>
      <c r="Z207" s="748">
        <v>16555.47915254144</v>
      </c>
      <c r="AA207" s="710"/>
      <c r="AB207" s="732"/>
      <c r="AC207" s="748">
        <v>16138.72788338894</v>
      </c>
      <c r="AD207" s="710"/>
      <c r="AE207" s="732"/>
      <c r="AF207" s="748">
        <v>15980.638563138709</v>
      </c>
      <c r="AG207" s="710"/>
      <c r="AH207" s="732"/>
      <c r="AI207" s="748">
        <v>16509.777746744101</v>
      </c>
      <c r="AJ207" s="710"/>
      <c r="AK207" s="732"/>
      <c r="AL207" s="748">
        <v>17985.243290374252</v>
      </c>
      <c r="AM207" s="710"/>
      <c r="AN207" s="732"/>
      <c r="AO207" s="748">
        <v>15205.822684729883</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583"/>
        <v>ServiceDéduction à la source</v>
      </c>
      <c r="B208" s="757" t="s">
        <v>117</v>
      </c>
      <c r="C208" s="701"/>
      <c r="D208" s="759"/>
      <c r="E208" s="760">
        <f t="shared" si="750"/>
        <v>174994.82376162719</v>
      </c>
      <c r="F208" s="701"/>
      <c r="G208" s="759"/>
      <c r="H208" s="761">
        <v>13998.060981854651</v>
      </c>
      <c r="I208" s="701"/>
      <c r="J208" s="759"/>
      <c r="K208" s="761">
        <v>13403.556167404608</v>
      </c>
      <c r="L208" s="701"/>
      <c r="M208" s="759"/>
      <c r="N208" s="761">
        <v>15106.196306265627</v>
      </c>
      <c r="O208" s="701"/>
      <c r="P208" s="759"/>
      <c r="Q208" s="761">
        <v>15187.527927705931</v>
      </c>
      <c r="R208" s="701"/>
      <c r="S208" s="759"/>
      <c r="T208" s="761">
        <v>14649.056613768276</v>
      </c>
      <c r="U208" s="701"/>
      <c r="V208" s="759"/>
      <c r="W208" s="761">
        <v>14544.911905978061</v>
      </c>
      <c r="X208" s="701"/>
      <c r="Y208" s="759"/>
      <c r="Z208" s="761">
        <v>14827.128612563514</v>
      </c>
      <c r="AA208" s="701"/>
      <c r="AB208" s="759"/>
      <c r="AC208" s="761">
        <v>14453.885131644713</v>
      </c>
      <c r="AD208" s="701"/>
      <c r="AE208" s="759"/>
      <c r="AF208" s="761">
        <v>14312.299940299581</v>
      </c>
      <c r="AG208" s="701"/>
      <c r="AH208" s="759"/>
      <c r="AI208" s="761">
        <v>14786.19831901607</v>
      </c>
      <c r="AJ208" s="701"/>
      <c r="AK208" s="759"/>
      <c r="AL208" s="761">
        <v>16107.628957008317</v>
      </c>
      <c r="AM208" s="701"/>
      <c r="AN208" s="759"/>
      <c r="AO208" s="761">
        <v>13618.372898117872</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583"/>
        <v>ServiceBénéfices marginaux</v>
      </c>
      <c r="B209" s="762" t="s">
        <v>118</v>
      </c>
      <c r="C209" s="710"/>
      <c r="D209" s="732"/>
      <c r="E209" s="733">
        <f t="shared" si="750"/>
        <v>138966.47769305692</v>
      </c>
      <c r="F209" s="710"/>
      <c r="G209" s="732"/>
      <c r="H209" s="748">
        <v>11116.107250296342</v>
      </c>
      <c r="I209" s="710"/>
      <c r="J209" s="732"/>
      <c r="K209" s="748">
        <v>10644.000485880131</v>
      </c>
      <c r="L209" s="710"/>
      <c r="M209" s="732"/>
      <c r="N209" s="748">
        <v>11996.097066740351</v>
      </c>
      <c r="O209" s="710"/>
      <c r="P209" s="732"/>
      <c r="Q209" s="748">
        <v>12060.683942590005</v>
      </c>
      <c r="R209" s="710"/>
      <c r="S209" s="732"/>
      <c r="T209" s="748">
        <v>11633.074369757162</v>
      </c>
      <c r="U209" s="710"/>
      <c r="V209" s="732"/>
      <c r="W209" s="748">
        <v>11550.371219453165</v>
      </c>
      <c r="X209" s="710"/>
      <c r="Y209" s="732"/>
      <c r="Z209" s="748">
        <v>11774.484486447498</v>
      </c>
      <c r="AA209" s="710"/>
      <c r="AB209" s="732"/>
      <c r="AC209" s="748">
        <v>11478.085251600214</v>
      </c>
      <c r="AD209" s="710"/>
      <c r="AE209" s="732"/>
      <c r="AF209" s="748">
        <v>11365.649952590846</v>
      </c>
      <c r="AG209" s="710"/>
      <c r="AH209" s="732"/>
      <c r="AI209" s="748">
        <v>11741.981018042174</v>
      </c>
      <c r="AJ209" s="710"/>
      <c r="AK209" s="732"/>
      <c r="AL209" s="748">
        <v>12791.352407036018</v>
      </c>
      <c r="AM209" s="710"/>
      <c r="AN209" s="732"/>
      <c r="AO209" s="748">
        <v>10814.590242623017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583"/>
        <v>ServiceCsst</v>
      </c>
      <c r="B210" s="757" t="s">
        <v>119</v>
      </c>
      <c r="C210" s="710"/>
      <c r="D210" s="732"/>
      <c r="E210" s="733">
        <f t="shared" si="750"/>
        <v>56615.972393467644</v>
      </c>
      <c r="F210" s="710"/>
      <c r="G210" s="732"/>
      <c r="H210" s="748">
        <v>4528.7844353059172</v>
      </c>
      <c r="I210" s="710"/>
      <c r="J210" s="732"/>
      <c r="K210" s="748">
        <v>4336.4446423956088</v>
      </c>
      <c r="L210" s="710"/>
      <c r="M210" s="732"/>
      <c r="N210" s="748">
        <v>4887.2988049682917</v>
      </c>
      <c r="O210" s="710"/>
      <c r="P210" s="732"/>
      <c r="Q210" s="748">
        <v>4913.6119766107431</v>
      </c>
      <c r="R210" s="710"/>
      <c r="S210" s="732"/>
      <c r="T210" s="748">
        <v>4739.4006691603254</v>
      </c>
      <c r="U210" s="710"/>
      <c r="V210" s="732"/>
      <c r="W210" s="748">
        <v>4705.7067931105494</v>
      </c>
      <c r="X210" s="710"/>
      <c r="Y210" s="732"/>
      <c r="Z210" s="748">
        <v>4797.012198182314</v>
      </c>
      <c r="AA210" s="710"/>
      <c r="AB210" s="732"/>
      <c r="AC210" s="748">
        <v>4676.2569543556428</v>
      </c>
      <c r="AD210" s="710"/>
      <c r="AE210" s="732"/>
      <c r="AF210" s="748">
        <v>4630.4499806851591</v>
      </c>
      <c r="AG210" s="710"/>
      <c r="AH210" s="732"/>
      <c r="AI210" s="748">
        <v>4783.7700443875528</v>
      </c>
      <c r="AJ210" s="710"/>
      <c r="AK210" s="732"/>
      <c r="AL210" s="748">
        <v>5211.2917213850442</v>
      </c>
      <c r="AM210" s="710"/>
      <c r="AN210" s="732"/>
      <c r="AO210" s="748">
        <v>4405.9441729204882</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583"/>
        <v>Service[...]</v>
      </c>
      <c r="B211" s="710" t="s">
        <v>42</v>
      </c>
      <c r="C211" s="705"/>
      <c r="D211" s="763"/>
      <c r="E211" s="751">
        <f t="shared" si="750"/>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583"/>
        <v>ServiceTOTAL PERSONNEL</v>
      </c>
      <c r="B212" s="753" t="s">
        <v>120</v>
      </c>
      <c r="C212" s="754" t="s">
        <v>170</v>
      </c>
      <c r="D212" s="755">
        <f>IFERROR(E212/E$196,0)</f>
        <v>0.61825321815879664</v>
      </c>
      <c r="E212" s="756">
        <f>+SUM(E200:E211)</f>
        <v>1351306.4926822772</v>
      </c>
      <c r="F212" s="754" t="s">
        <v>170</v>
      </c>
      <c r="G212" s="755">
        <f>IFERROR(H212/H$196,0)</f>
        <v>0.82674871365429625</v>
      </c>
      <c r="H212" s="756">
        <f>+SUM(H200:H211)</f>
        <v>104167.89037168026</v>
      </c>
      <c r="I212" s="754" t="s">
        <v>170</v>
      </c>
      <c r="J212" s="755">
        <f t="shared" ref="J212" si="751">IFERROR(K212/K$196,0)</f>
        <v>0.7742733716892729</v>
      </c>
      <c r="K212" s="756">
        <f t="shared" ref="K212" si="752">+SUM(K200:K211)</f>
        <v>100088.09624446994</v>
      </c>
      <c r="L212" s="754" t="s">
        <v>170</v>
      </c>
      <c r="M212" s="755">
        <f t="shared" ref="M212" si="753">IFERROR(N212/N$196,0)</f>
        <v>0.71700984187644778</v>
      </c>
      <c r="N212" s="756">
        <f t="shared" ref="N212" si="754">+SUM(N200:N211)</f>
        <v>114842.35649372864</v>
      </c>
      <c r="O212" s="754" t="s">
        <v>170</v>
      </c>
      <c r="P212" s="755">
        <f t="shared" ref="P212" si="755">IFERROR(Q212/Q$196,0)</f>
        <v>0.5090835656473357</v>
      </c>
      <c r="Q212" s="756">
        <f t="shared" ref="Q212" si="756">+SUM(Q200:Q211)</f>
        <v>119676.32146643163</v>
      </c>
      <c r="R212" s="754" t="s">
        <v>170</v>
      </c>
      <c r="S212" s="755">
        <f t="shared" ref="S212" si="757">IFERROR(T212/T$196,0)</f>
        <v>0.54302330712312297</v>
      </c>
      <c r="T212" s="756">
        <f t="shared" ref="T212" si="758">+SUM(T200:T211)</f>
        <v>116122.87542588104</v>
      </c>
      <c r="U212" s="754" t="s">
        <v>170</v>
      </c>
      <c r="V212" s="755">
        <f t="shared" ref="V212" si="759">IFERROR(W212/W$196,0)</f>
        <v>0.60515955621041162</v>
      </c>
      <c r="W212" s="756">
        <f t="shared" ref="W212" si="760">+SUM(W200:W211)</f>
        <v>111195.69462443839</v>
      </c>
      <c r="X212" s="754" t="s">
        <v>170</v>
      </c>
      <c r="Y212" s="755">
        <f t="shared" ref="Y212" si="761">IFERROR(Z212/Z$196,0)</f>
        <v>0.69052721814740892</v>
      </c>
      <c r="Z212" s="756">
        <f t="shared" ref="Z212" si="762">+SUM(Z200:Z211)</f>
        <v>111305.94625725941</v>
      </c>
      <c r="AA212" s="754" t="s">
        <v>170</v>
      </c>
      <c r="AB212" s="755">
        <f t="shared" ref="AB212" si="763">IFERROR(AC212/AC$196,0)</f>
        <v>0.66610891232261948</v>
      </c>
      <c r="AC212" s="756">
        <f t="shared" ref="AC212" si="764">+SUM(AC200:AC211)</f>
        <v>110008.87521558475</v>
      </c>
      <c r="AD212" s="754" t="s">
        <v>170</v>
      </c>
      <c r="AE212" s="755">
        <f t="shared" ref="AE212" si="765">IFERROR(AF212/AF$196,0)</f>
        <v>0.69917839893837708</v>
      </c>
      <c r="AF212" s="756">
        <f t="shared" ref="AF212" si="766">+SUM(AF200:AF211)</f>
        <v>108162.86832008272</v>
      </c>
      <c r="AG212" s="754" t="s">
        <v>170</v>
      </c>
      <c r="AH212" s="755">
        <f t="shared" ref="AH212" si="767">IFERROR(AI212/AI$196,0)</f>
        <v>0.52795098274024743</v>
      </c>
      <c r="AI212" s="756">
        <f t="shared" ref="AI212" si="768">+SUM(AI200:AI211)</f>
        <v>114443.7316879945</v>
      </c>
      <c r="AJ212" s="754" t="s">
        <v>170</v>
      </c>
      <c r="AK212" s="755">
        <f t="shared" ref="AK212" si="769">IFERROR(AL212/AL$196,0)</f>
        <v>0.45728751977549315</v>
      </c>
      <c r="AL212" s="756">
        <f t="shared" ref="AL212" si="770">+SUM(AL200:AL211)</f>
        <v>131570.61112886554</v>
      </c>
      <c r="AM212" s="754" t="s">
        <v>170</v>
      </c>
      <c r="AN212" s="755">
        <f t="shared" ref="AN212" si="771">IFERROR(AO212/AO$196,0)</f>
        <v>0.72162075639119938</v>
      </c>
      <c r="AO212" s="756">
        <f t="shared" ref="AO212" si="772">+SUM(AO200:AO211)</f>
        <v>109721.22544586057</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583"/>
        <v>ServicePublicité 2</v>
      </c>
      <c r="B213" s="710" t="s">
        <v>121</v>
      </c>
      <c r="C213" s="710"/>
      <c r="D213" s="732"/>
      <c r="E213" s="733">
        <f t="shared" ref="E213:E230" si="773">+SUM(H213,K213,N213,Q213,T213,W213,Z213,AC213,AF213,AI213,AL213,AO213)</f>
        <v>83025.14999999998</v>
      </c>
      <c r="F213" s="710"/>
      <c r="G213" s="732"/>
      <c r="H213" s="748">
        <v>6918.7625000000007</v>
      </c>
      <c r="I213" s="710"/>
      <c r="J213" s="732"/>
      <c r="K213" s="748">
        <v>6918.7625000000007</v>
      </c>
      <c r="L213" s="710"/>
      <c r="M213" s="732"/>
      <c r="N213" s="748">
        <v>6918.7625000000007</v>
      </c>
      <c r="O213" s="710"/>
      <c r="P213" s="732"/>
      <c r="Q213" s="748">
        <v>6918.7625000000007</v>
      </c>
      <c r="R213" s="710"/>
      <c r="S213" s="732"/>
      <c r="T213" s="748">
        <v>6918.7625000000007</v>
      </c>
      <c r="U213" s="710"/>
      <c r="V213" s="732"/>
      <c r="W213" s="748">
        <v>6918.7625000000007</v>
      </c>
      <c r="X213" s="710"/>
      <c r="Y213" s="732"/>
      <c r="Z213" s="748">
        <v>6918.7625000000007</v>
      </c>
      <c r="AA213" s="710"/>
      <c r="AB213" s="732"/>
      <c r="AC213" s="748">
        <v>6918.7625000000007</v>
      </c>
      <c r="AD213" s="710"/>
      <c r="AE213" s="732"/>
      <c r="AF213" s="748">
        <v>6918.7625000000007</v>
      </c>
      <c r="AG213" s="710"/>
      <c r="AH213" s="732"/>
      <c r="AI213" s="748">
        <v>6918.7625000000007</v>
      </c>
      <c r="AJ213" s="710"/>
      <c r="AK213" s="732"/>
      <c r="AL213" s="748">
        <v>6918.7625000000007</v>
      </c>
      <c r="AM213" s="710"/>
      <c r="AN213" s="732"/>
      <c r="AO213" s="748">
        <v>6918.7625000000007</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583"/>
        <v>ServiceService gratuit 2</v>
      </c>
      <c r="B214" s="710" t="s">
        <v>122</v>
      </c>
      <c r="C214" s="710"/>
      <c r="D214" s="732"/>
      <c r="E214" s="733">
        <f t="shared" si="773"/>
        <v>36060.751901163087</v>
      </c>
      <c r="F214" s="710"/>
      <c r="G214" s="732"/>
      <c r="H214" s="748">
        <v>1689.1255826109561</v>
      </c>
      <c r="I214" s="710"/>
      <c r="J214" s="732"/>
      <c r="K214" s="748">
        <v>1703.3355645643592</v>
      </c>
      <c r="L214" s="710"/>
      <c r="M214" s="732"/>
      <c r="N214" s="748">
        <v>2407.5496057350665</v>
      </c>
      <c r="O214" s="710"/>
      <c r="P214" s="732"/>
      <c r="Q214" s="748">
        <v>4825.9729398022855</v>
      </c>
      <c r="R214" s="710"/>
      <c r="S214" s="732"/>
      <c r="T214" s="748">
        <v>3744.1418613919554</v>
      </c>
      <c r="U214" s="710"/>
      <c r="V214" s="732"/>
      <c r="W214" s="748">
        <v>2509.3680485488694</v>
      </c>
      <c r="X214" s="710"/>
      <c r="Y214" s="732"/>
      <c r="Z214" s="748">
        <v>2293.5017268573383</v>
      </c>
      <c r="AA214" s="710"/>
      <c r="AB214" s="732"/>
      <c r="AC214" s="748">
        <v>2269.3133774231842</v>
      </c>
      <c r="AD214" s="710"/>
      <c r="AE214" s="732"/>
      <c r="AF214" s="748">
        <v>1895.9266811072575</v>
      </c>
      <c r="AG214" s="710"/>
      <c r="AH214" s="732"/>
      <c r="AI214" s="748">
        <v>3767.5915137590086</v>
      </c>
      <c r="AJ214" s="710"/>
      <c r="AK214" s="732"/>
      <c r="AL214" s="748">
        <v>6630.5459162144743</v>
      </c>
      <c r="AM214" s="710"/>
      <c r="AN214" s="732"/>
      <c r="AO214" s="748">
        <v>2324.3790831483375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583"/>
        <v>ServiceFrais véhicules de cie</v>
      </c>
      <c r="B215" s="705" t="s">
        <v>123</v>
      </c>
      <c r="C215" s="705"/>
      <c r="D215" s="763"/>
      <c r="E215" s="751">
        <f t="shared" si="773"/>
        <v>154986.02333333335</v>
      </c>
      <c r="F215" s="705"/>
      <c r="G215" s="763"/>
      <c r="H215" s="752">
        <v>9419.0644444444442</v>
      </c>
      <c r="I215" s="705"/>
      <c r="J215" s="763"/>
      <c r="K215" s="752">
        <v>9950.5044444444447</v>
      </c>
      <c r="L215" s="705"/>
      <c r="M215" s="763"/>
      <c r="N215" s="752">
        <v>10022.274444444443</v>
      </c>
      <c r="O215" s="705"/>
      <c r="P215" s="763"/>
      <c r="Q215" s="752">
        <v>16531.424444444445</v>
      </c>
      <c r="R215" s="705"/>
      <c r="S215" s="763"/>
      <c r="T215" s="752">
        <v>15977.574444444444</v>
      </c>
      <c r="U215" s="705"/>
      <c r="V215" s="763"/>
      <c r="W215" s="752">
        <v>15570.404444444444</v>
      </c>
      <c r="X215" s="705"/>
      <c r="Y215" s="763"/>
      <c r="Z215" s="752">
        <v>12476.294444444444</v>
      </c>
      <c r="AA215" s="705"/>
      <c r="AB215" s="763"/>
      <c r="AC215" s="752">
        <v>12126.014444444445</v>
      </c>
      <c r="AD215" s="705"/>
      <c r="AE215" s="763"/>
      <c r="AF215" s="752">
        <v>10272.584444444445</v>
      </c>
      <c r="AG215" s="705"/>
      <c r="AH215" s="763"/>
      <c r="AI215" s="752">
        <v>16288.804444444444</v>
      </c>
      <c r="AJ215" s="705"/>
      <c r="AK215" s="763"/>
      <c r="AL215" s="752">
        <v>15742.274444444443</v>
      </c>
      <c r="AM215" s="705"/>
      <c r="AN215" s="763"/>
      <c r="AO215" s="752">
        <v>10608.804444444444</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583"/>
        <v>ServiceInformatique</v>
      </c>
      <c r="B216" s="710" t="s">
        <v>124</v>
      </c>
      <c r="C216" s="710"/>
      <c r="D216" s="732"/>
      <c r="E216" s="733">
        <f t="shared" si="773"/>
        <v>71624.877840000001</v>
      </c>
      <c r="F216" s="710"/>
      <c r="G216" s="732"/>
      <c r="H216" s="748">
        <v>5968.7398199999989</v>
      </c>
      <c r="I216" s="710"/>
      <c r="J216" s="732"/>
      <c r="K216" s="748">
        <v>5968.7398199999989</v>
      </c>
      <c r="L216" s="710"/>
      <c r="M216" s="732"/>
      <c r="N216" s="748">
        <v>5968.7398199999989</v>
      </c>
      <c r="O216" s="710"/>
      <c r="P216" s="732"/>
      <c r="Q216" s="748">
        <v>5968.7398199999989</v>
      </c>
      <c r="R216" s="710"/>
      <c r="S216" s="732"/>
      <c r="T216" s="748">
        <v>5968.7398199999989</v>
      </c>
      <c r="U216" s="710"/>
      <c r="V216" s="732"/>
      <c r="W216" s="748">
        <v>5968.7398199999989</v>
      </c>
      <c r="X216" s="710"/>
      <c r="Y216" s="732"/>
      <c r="Z216" s="748">
        <v>5968.7398199999989</v>
      </c>
      <c r="AA216" s="710"/>
      <c r="AB216" s="732"/>
      <c r="AC216" s="748">
        <v>5968.7398199999989</v>
      </c>
      <c r="AD216" s="710"/>
      <c r="AE216" s="732"/>
      <c r="AF216" s="748">
        <v>5968.7398199999989</v>
      </c>
      <c r="AG216" s="710"/>
      <c r="AH216" s="732"/>
      <c r="AI216" s="748">
        <v>5968.7398199999989</v>
      </c>
      <c r="AJ216" s="710"/>
      <c r="AK216" s="732"/>
      <c r="AL216" s="748">
        <v>5968.7398199999989</v>
      </c>
      <c r="AM216" s="710"/>
      <c r="AN216" s="732"/>
      <c r="AO216" s="748">
        <v>5968.7398199999989</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583"/>
        <v>ServiceFrais de déplacement</v>
      </c>
      <c r="B217" s="710" t="s">
        <v>125</v>
      </c>
      <c r="C217" s="710"/>
      <c r="D217" s="732"/>
      <c r="E217" s="733">
        <f t="shared" si="773"/>
        <v>7129.2762000000002</v>
      </c>
      <c r="F217" s="710"/>
      <c r="G217" s="732"/>
      <c r="H217" s="748">
        <v>594.10635000000002</v>
      </c>
      <c r="I217" s="710"/>
      <c r="J217" s="732"/>
      <c r="K217" s="748">
        <v>594.10635000000002</v>
      </c>
      <c r="L217" s="710"/>
      <c r="M217" s="732"/>
      <c r="N217" s="748">
        <v>594.10635000000002</v>
      </c>
      <c r="O217" s="710"/>
      <c r="P217" s="732"/>
      <c r="Q217" s="748">
        <v>594.10635000000002</v>
      </c>
      <c r="R217" s="710"/>
      <c r="S217" s="732"/>
      <c r="T217" s="748">
        <v>594.10635000000002</v>
      </c>
      <c r="U217" s="710"/>
      <c r="V217" s="732"/>
      <c r="W217" s="748">
        <v>594.10635000000002</v>
      </c>
      <c r="X217" s="710"/>
      <c r="Y217" s="732"/>
      <c r="Z217" s="748">
        <v>594.10635000000002</v>
      </c>
      <c r="AA217" s="710"/>
      <c r="AB217" s="732"/>
      <c r="AC217" s="748">
        <v>594.10635000000002</v>
      </c>
      <c r="AD217" s="710"/>
      <c r="AE217" s="732"/>
      <c r="AF217" s="748">
        <v>594.10635000000002</v>
      </c>
      <c r="AG217" s="710"/>
      <c r="AH217" s="732"/>
      <c r="AI217" s="748">
        <v>594.10635000000002</v>
      </c>
      <c r="AJ217" s="710"/>
      <c r="AK217" s="732"/>
      <c r="AL217" s="748">
        <v>594.10635000000002</v>
      </c>
      <c r="AM217" s="710"/>
      <c r="AN217" s="732"/>
      <c r="AO217" s="748">
        <v>594.10635000000002</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583"/>
        <v>ServiceServices extérieurs</v>
      </c>
      <c r="B218" s="705" t="s">
        <v>126</v>
      </c>
      <c r="C218" s="705"/>
      <c r="D218" s="763"/>
      <c r="E218" s="751">
        <f t="shared" si="773"/>
        <v>46235.435999999994</v>
      </c>
      <c r="F218" s="705"/>
      <c r="G218" s="763"/>
      <c r="H218" s="752">
        <v>3066.5413333333331</v>
      </c>
      <c r="I218" s="705"/>
      <c r="J218" s="763"/>
      <c r="K218" s="752">
        <v>3181.3573333333334</v>
      </c>
      <c r="L218" s="705"/>
      <c r="M218" s="763"/>
      <c r="N218" s="752">
        <v>2946.8701333333329</v>
      </c>
      <c r="O218" s="705"/>
      <c r="P218" s="763"/>
      <c r="Q218" s="752">
        <v>2964.0349333333329</v>
      </c>
      <c r="R218" s="705"/>
      <c r="S218" s="763"/>
      <c r="T218" s="752">
        <v>8105.5805333333319</v>
      </c>
      <c r="U218" s="705"/>
      <c r="V218" s="763"/>
      <c r="W218" s="752">
        <v>3116.8477333333331</v>
      </c>
      <c r="X218" s="705"/>
      <c r="Y218" s="763"/>
      <c r="Z218" s="752">
        <v>3040.887733333333</v>
      </c>
      <c r="AA218" s="705"/>
      <c r="AB218" s="763"/>
      <c r="AC218" s="752">
        <v>2829.5269333333331</v>
      </c>
      <c r="AD218" s="705"/>
      <c r="AE218" s="763"/>
      <c r="AF218" s="752">
        <v>2845.1077333333333</v>
      </c>
      <c r="AG218" s="705"/>
      <c r="AH218" s="763"/>
      <c r="AI218" s="752">
        <v>2649.0757333333331</v>
      </c>
      <c r="AJ218" s="705"/>
      <c r="AK218" s="763"/>
      <c r="AL218" s="752">
        <v>8526.1301333333322</v>
      </c>
      <c r="AM218" s="705"/>
      <c r="AN218" s="763"/>
      <c r="AO218" s="752">
        <v>2963.4757333333328</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c r="B219" s="710"/>
      <c r="C219" s="710"/>
      <c r="D219" s="921"/>
      <c r="E219" s="733">
        <f t="shared" si="773"/>
        <v>0</v>
      </c>
      <c r="F219" s="710"/>
      <c r="G219" s="921"/>
      <c r="H219" s="748">
        <v>0</v>
      </c>
      <c r="I219" s="710"/>
      <c r="J219" s="921"/>
      <c r="K219" s="748">
        <v>0</v>
      </c>
      <c r="L219" s="710"/>
      <c r="M219" s="921"/>
      <c r="N219" s="748">
        <v>0</v>
      </c>
      <c r="O219" s="710"/>
      <c r="P219" s="921"/>
      <c r="Q219" s="748">
        <v>0</v>
      </c>
      <c r="R219" s="710"/>
      <c r="S219" s="921"/>
      <c r="T219" s="748">
        <v>0</v>
      </c>
      <c r="U219" s="710"/>
      <c r="V219" s="921"/>
      <c r="W219" s="748">
        <v>0</v>
      </c>
      <c r="X219" s="710"/>
      <c r="Y219" s="921"/>
      <c r="Z219" s="748">
        <v>0</v>
      </c>
      <c r="AA219" s="710"/>
      <c r="AB219" s="921"/>
      <c r="AC219" s="748">
        <v>0</v>
      </c>
      <c r="AD219" s="710"/>
      <c r="AE219" s="921"/>
      <c r="AF219" s="748">
        <v>0</v>
      </c>
      <c r="AG219" s="710"/>
      <c r="AH219" s="921"/>
      <c r="AI219" s="748">
        <v>0</v>
      </c>
      <c r="AJ219" s="710"/>
      <c r="AK219" s="921"/>
      <c r="AL219" s="748">
        <v>0</v>
      </c>
      <c r="AM219" s="710"/>
      <c r="AN219" s="921"/>
      <c r="AO219" s="748">
        <v>0</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583"/>
        <v>ServiceFournitures autres</v>
      </c>
      <c r="B220" s="710" t="s">
        <v>127</v>
      </c>
      <c r="C220" s="710"/>
      <c r="D220" s="732"/>
      <c r="E220" s="733">
        <f t="shared" si="773"/>
        <v>13244.059266919867</v>
      </c>
      <c r="F220" s="710"/>
      <c r="G220" s="732"/>
      <c r="H220" s="748">
        <v>676.75071264083272</v>
      </c>
      <c r="I220" s="710"/>
      <c r="J220" s="732"/>
      <c r="K220" s="748">
        <v>698.6149153615155</v>
      </c>
      <c r="L220" s="710"/>
      <c r="M220" s="732"/>
      <c r="N220" s="748">
        <v>1219.1237628080555</v>
      </c>
      <c r="O220" s="710"/>
      <c r="P220" s="732"/>
      <c r="Q220" s="748">
        <v>1288.4654684940406</v>
      </c>
      <c r="R220" s="710"/>
      <c r="S220" s="732"/>
      <c r="T220" s="748">
        <v>1442.0715389132433</v>
      </c>
      <c r="U220" s="710"/>
      <c r="V220" s="732"/>
      <c r="W220" s="748">
        <v>1242.584188603495</v>
      </c>
      <c r="X220" s="710"/>
      <c r="Y220" s="732"/>
      <c r="Z220" s="748">
        <v>1330.5976508606493</v>
      </c>
      <c r="AA220" s="710"/>
      <c r="AB220" s="732"/>
      <c r="AC220" s="748">
        <v>1265.0050426986011</v>
      </c>
      <c r="AD220" s="710"/>
      <c r="AE220" s="732"/>
      <c r="AF220" s="748">
        <v>1093.2838670826523</v>
      </c>
      <c r="AG220" s="710"/>
      <c r="AH220" s="732"/>
      <c r="AI220" s="748">
        <v>1202.6048806860658</v>
      </c>
      <c r="AJ220" s="710"/>
      <c r="AK220" s="732"/>
      <c r="AL220" s="748">
        <v>1062.8818976137629</v>
      </c>
      <c r="AM220" s="710"/>
      <c r="AN220" s="732"/>
      <c r="AO220" s="748">
        <v>722.07534115695489</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583"/>
        <v>ServiceUniformes</v>
      </c>
      <c r="B221" s="710" t="s">
        <v>128</v>
      </c>
      <c r="C221" s="710"/>
      <c r="D221" s="732"/>
      <c r="E221" s="733">
        <f t="shared" si="773"/>
        <v>7037.5449374999998</v>
      </c>
      <c r="F221" s="710"/>
      <c r="G221" s="732"/>
      <c r="H221" s="748">
        <v>359.60753842221726</v>
      </c>
      <c r="I221" s="710"/>
      <c r="J221" s="732"/>
      <c r="K221" s="748">
        <v>371.22560098659596</v>
      </c>
      <c r="L221" s="710"/>
      <c r="M221" s="732"/>
      <c r="N221" s="748">
        <v>647.81031949663884</v>
      </c>
      <c r="O221" s="710"/>
      <c r="P221" s="732"/>
      <c r="Q221" s="748">
        <v>684.65667905853707</v>
      </c>
      <c r="R221" s="710"/>
      <c r="S221" s="732"/>
      <c r="T221" s="748">
        <v>766.27890691642665</v>
      </c>
      <c r="U221" s="710"/>
      <c r="V221" s="732"/>
      <c r="W221" s="748">
        <v>660.27657304177922</v>
      </c>
      <c r="X221" s="710"/>
      <c r="Y221" s="732"/>
      <c r="Z221" s="748">
        <v>707.04461320653274</v>
      </c>
      <c r="AA221" s="710"/>
      <c r="AB221" s="732"/>
      <c r="AC221" s="748">
        <v>672.19042551339658</v>
      </c>
      <c r="AD221" s="710"/>
      <c r="AE221" s="732"/>
      <c r="AF221" s="748">
        <v>580.94230695989017</v>
      </c>
      <c r="AG221" s="710"/>
      <c r="AH221" s="732"/>
      <c r="AI221" s="748">
        <v>639.03261978178375</v>
      </c>
      <c r="AJ221" s="710"/>
      <c r="AK221" s="732"/>
      <c r="AL221" s="748">
        <v>564.78749958446463</v>
      </c>
      <c r="AM221" s="710"/>
      <c r="AN221" s="732"/>
      <c r="AO221" s="748">
        <v>383.69185453173634</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c r="GB221" s="591"/>
      <c r="GC221" s="591"/>
      <c r="GD221" s="591"/>
      <c r="GE221" s="591"/>
      <c r="GF221" s="591"/>
      <c r="GG221" s="591"/>
      <c r="GH221" s="591"/>
      <c r="GI221" s="591"/>
      <c r="GJ221" s="591"/>
      <c r="GK221" s="591"/>
      <c r="GL221" s="591"/>
      <c r="GM221" s="591"/>
      <c r="GN221" s="591"/>
      <c r="GO221" s="591"/>
      <c r="GP221" s="591"/>
      <c r="GQ221" s="591"/>
      <c r="GR221" s="591"/>
      <c r="GS221" s="591"/>
      <c r="GT221" s="591"/>
      <c r="GU221" s="591"/>
      <c r="GV221" s="591"/>
      <c r="GW221" s="591"/>
      <c r="GX221" s="591"/>
      <c r="GY221" s="591"/>
      <c r="GZ221" s="591"/>
      <c r="HA221" s="591"/>
      <c r="HB221" s="591"/>
      <c r="HC221" s="591"/>
      <c r="HD221" s="591"/>
      <c r="HE221" s="591"/>
      <c r="HF221" s="591"/>
      <c r="HG221" s="591"/>
      <c r="HH221" s="591"/>
      <c r="HI221" s="591"/>
      <c r="HJ221" s="591"/>
      <c r="HK221" s="591"/>
    </row>
    <row r="222" spans="1:219" s="590" customFormat="1" ht="20.25">
      <c r="A222" s="618" t="str">
        <f t="shared" si="583"/>
        <v>ServicePapeterie</v>
      </c>
      <c r="B222" s="710" t="s">
        <v>129</v>
      </c>
      <c r="C222" s="710"/>
      <c r="D222" s="732"/>
      <c r="E222" s="733">
        <f t="shared" si="773"/>
        <v>5875.7788800000017</v>
      </c>
      <c r="F222" s="710"/>
      <c r="G222" s="732"/>
      <c r="H222" s="748">
        <v>489.64823999999999</v>
      </c>
      <c r="I222" s="710"/>
      <c r="J222" s="732"/>
      <c r="K222" s="748">
        <v>489.64823999999999</v>
      </c>
      <c r="L222" s="710"/>
      <c r="M222" s="732"/>
      <c r="N222" s="748">
        <v>489.64823999999999</v>
      </c>
      <c r="O222" s="710"/>
      <c r="P222" s="732"/>
      <c r="Q222" s="748">
        <v>489.64823999999999</v>
      </c>
      <c r="R222" s="710"/>
      <c r="S222" s="732"/>
      <c r="T222" s="748">
        <v>489.64823999999999</v>
      </c>
      <c r="U222" s="710"/>
      <c r="V222" s="732"/>
      <c r="W222" s="748">
        <v>489.64823999999999</v>
      </c>
      <c r="X222" s="710"/>
      <c r="Y222" s="732"/>
      <c r="Z222" s="748">
        <v>489.64823999999999</v>
      </c>
      <c r="AA222" s="710"/>
      <c r="AB222" s="732"/>
      <c r="AC222" s="748">
        <v>489.64823999999999</v>
      </c>
      <c r="AD222" s="710"/>
      <c r="AE222" s="732"/>
      <c r="AF222" s="748">
        <v>489.64823999999999</v>
      </c>
      <c r="AG222" s="710"/>
      <c r="AH222" s="732"/>
      <c r="AI222" s="748">
        <v>489.64823999999999</v>
      </c>
      <c r="AJ222" s="710"/>
      <c r="AK222" s="732"/>
      <c r="AL222" s="748">
        <v>489.64823999999999</v>
      </c>
      <c r="AM222" s="710"/>
      <c r="AN222" s="732"/>
      <c r="AO222" s="748">
        <v>489.64823999999999</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583"/>
        <v>ServiceTéléphone</v>
      </c>
      <c r="B223" s="710" t="s">
        <v>130</v>
      </c>
      <c r="C223" s="710"/>
      <c r="D223" s="732"/>
      <c r="E223" s="733">
        <f t="shared" si="773"/>
        <v>2713.1807400000002</v>
      </c>
      <c r="F223" s="710"/>
      <c r="G223" s="732"/>
      <c r="H223" s="748">
        <v>226.09839500000001</v>
      </c>
      <c r="I223" s="710"/>
      <c r="J223" s="732"/>
      <c r="K223" s="748">
        <v>226.09839500000001</v>
      </c>
      <c r="L223" s="710"/>
      <c r="M223" s="732"/>
      <c r="N223" s="748">
        <v>226.09839500000001</v>
      </c>
      <c r="O223" s="710"/>
      <c r="P223" s="732"/>
      <c r="Q223" s="748">
        <v>226.09839500000001</v>
      </c>
      <c r="R223" s="710"/>
      <c r="S223" s="732"/>
      <c r="T223" s="748">
        <v>226.09839500000001</v>
      </c>
      <c r="U223" s="710"/>
      <c r="V223" s="732"/>
      <c r="W223" s="748">
        <v>226.09839500000001</v>
      </c>
      <c r="X223" s="710"/>
      <c r="Y223" s="732"/>
      <c r="Z223" s="748">
        <v>226.09839500000001</v>
      </c>
      <c r="AA223" s="710"/>
      <c r="AB223" s="732"/>
      <c r="AC223" s="748">
        <v>226.09839500000001</v>
      </c>
      <c r="AD223" s="710"/>
      <c r="AE223" s="732"/>
      <c r="AF223" s="748">
        <v>226.09839500000001</v>
      </c>
      <c r="AG223" s="710"/>
      <c r="AH223" s="732"/>
      <c r="AI223" s="748">
        <v>226.09839500000001</v>
      </c>
      <c r="AJ223" s="710"/>
      <c r="AK223" s="732"/>
      <c r="AL223" s="748">
        <v>226.09839500000001</v>
      </c>
      <c r="AM223" s="710"/>
      <c r="AN223" s="732"/>
      <c r="AO223" s="748">
        <v>226.09839500000001</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583"/>
        <v>ServiceFrais postaux</v>
      </c>
      <c r="B224" s="710" t="s">
        <v>131</v>
      </c>
      <c r="C224" s="710"/>
      <c r="D224" s="732"/>
      <c r="E224" s="733">
        <f t="shared" si="773"/>
        <v>1448.2536600000001</v>
      </c>
      <c r="F224" s="710"/>
      <c r="G224" s="732"/>
      <c r="H224" s="748">
        <v>120.68780499999997</v>
      </c>
      <c r="I224" s="710"/>
      <c r="J224" s="732"/>
      <c r="K224" s="748">
        <v>120.68780499999997</v>
      </c>
      <c r="L224" s="710"/>
      <c r="M224" s="732"/>
      <c r="N224" s="748">
        <v>120.68780499999997</v>
      </c>
      <c r="O224" s="710"/>
      <c r="P224" s="732"/>
      <c r="Q224" s="748">
        <v>120.68780499999997</v>
      </c>
      <c r="R224" s="710"/>
      <c r="S224" s="732"/>
      <c r="T224" s="748">
        <v>120.68780499999997</v>
      </c>
      <c r="U224" s="710"/>
      <c r="V224" s="732"/>
      <c r="W224" s="748">
        <v>120.68780499999997</v>
      </c>
      <c r="X224" s="710"/>
      <c r="Y224" s="732"/>
      <c r="Z224" s="748">
        <v>120.68780499999997</v>
      </c>
      <c r="AA224" s="710"/>
      <c r="AB224" s="732"/>
      <c r="AC224" s="748">
        <v>120.68780499999997</v>
      </c>
      <c r="AD224" s="710"/>
      <c r="AE224" s="732"/>
      <c r="AF224" s="748">
        <v>120.68780499999997</v>
      </c>
      <c r="AG224" s="710"/>
      <c r="AH224" s="732"/>
      <c r="AI224" s="748">
        <v>120.68780499999997</v>
      </c>
      <c r="AJ224" s="710"/>
      <c r="AK224" s="732"/>
      <c r="AL224" s="748">
        <v>120.68780499999997</v>
      </c>
      <c r="AM224" s="710"/>
      <c r="AN224" s="732"/>
      <c r="AO224" s="748">
        <v>120.68780499999997</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583"/>
        <v>ServiceDivers</v>
      </c>
      <c r="B225" s="710" t="s">
        <v>132</v>
      </c>
      <c r="C225" s="710"/>
      <c r="D225" s="732"/>
      <c r="E225" s="733">
        <f t="shared" si="773"/>
        <v>6986.1023399999976</v>
      </c>
      <c r="F225" s="710"/>
      <c r="G225" s="732"/>
      <c r="H225" s="748">
        <v>582.1751949999998</v>
      </c>
      <c r="I225" s="710"/>
      <c r="J225" s="732"/>
      <c r="K225" s="748">
        <v>582.1751949999998</v>
      </c>
      <c r="L225" s="710"/>
      <c r="M225" s="732"/>
      <c r="N225" s="748">
        <v>582.1751949999998</v>
      </c>
      <c r="O225" s="710"/>
      <c r="P225" s="732"/>
      <c r="Q225" s="748">
        <v>582.1751949999998</v>
      </c>
      <c r="R225" s="710"/>
      <c r="S225" s="732"/>
      <c r="T225" s="748">
        <v>582.1751949999998</v>
      </c>
      <c r="U225" s="710"/>
      <c r="V225" s="732"/>
      <c r="W225" s="748">
        <v>582.1751949999998</v>
      </c>
      <c r="X225" s="710"/>
      <c r="Y225" s="732"/>
      <c r="Z225" s="748">
        <v>582.1751949999998</v>
      </c>
      <c r="AA225" s="710"/>
      <c r="AB225" s="732"/>
      <c r="AC225" s="748">
        <v>582.1751949999998</v>
      </c>
      <c r="AD225" s="710"/>
      <c r="AE225" s="732"/>
      <c r="AF225" s="748">
        <v>582.1751949999998</v>
      </c>
      <c r="AG225" s="710"/>
      <c r="AH225" s="732"/>
      <c r="AI225" s="748">
        <v>582.1751949999998</v>
      </c>
      <c r="AJ225" s="710"/>
      <c r="AK225" s="732"/>
      <c r="AL225" s="748">
        <v>582.1751949999998</v>
      </c>
      <c r="AM225" s="710"/>
      <c r="AN225" s="732"/>
      <c r="AO225" s="748">
        <v>582.1751949999998</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583"/>
        <v>ServiceFormation</v>
      </c>
      <c r="B226" s="710" t="s">
        <v>133</v>
      </c>
      <c r="C226" s="710"/>
      <c r="D226" s="732"/>
      <c r="E226" s="733">
        <f t="shared" si="773"/>
        <v>10379.306399999996</v>
      </c>
      <c r="F226" s="710"/>
      <c r="G226" s="732"/>
      <c r="H226" s="748">
        <v>864.94219999999996</v>
      </c>
      <c r="I226" s="710"/>
      <c r="J226" s="732"/>
      <c r="K226" s="748">
        <v>864.94219999999996</v>
      </c>
      <c r="L226" s="710"/>
      <c r="M226" s="732"/>
      <c r="N226" s="748">
        <v>864.94219999999996</v>
      </c>
      <c r="O226" s="710"/>
      <c r="P226" s="732"/>
      <c r="Q226" s="748">
        <v>864.94219999999996</v>
      </c>
      <c r="R226" s="710"/>
      <c r="S226" s="732"/>
      <c r="T226" s="748">
        <v>864.94219999999996</v>
      </c>
      <c r="U226" s="710"/>
      <c r="V226" s="732"/>
      <c r="W226" s="748">
        <v>864.94219999999996</v>
      </c>
      <c r="X226" s="710"/>
      <c r="Y226" s="732"/>
      <c r="Z226" s="748">
        <v>864.94219999999996</v>
      </c>
      <c r="AA226" s="710"/>
      <c r="AB226" s="732"/>
      <c r="AC226" s="748">
        <v>864.94219999999996</v>
      </c>
      <c r="AD226" s="710"/>
      <c r="AE226" s="732"/>
      <c r="AF226" s="748">
        <v>864.94219999999996</v>
      </c>
      <c r="AG226" s="710"/>
      <c r="AH226" s="732"/>
      <c r="AI226" s="748">
        <v>864.94219999999996</v>
      </c>
      <c r="AJ226" s="710"/>
      <c r="AK226" s="732"/>
      <c r="AL226" s="748">
        <v>864.94219999999996</v>
      </c>
      <c r="AM226" s="710"/>
      <c r="AN226" s="732"/>
      <c r="AO226" s="748">
        <v>864.94219999999996</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 r="A227" s="618" t="str">
        <f t="shared" si="583"/>
        <v>ServiceFrais bancaires</v>
      </c>
      <c r="B227" s="710" t="s">
        <v>134</v>
      </c>
      <c r="C227" s="710"/>
      <c r="D227" s="732"/>
      <c r="E227" s="733">
        <f t="shared" si="773"/>
        <v>20977.019488416317</v>
      </c>
      <c r="F227" s="710"/>
      <c r="G227" s="732"/>
      <c r="H227" s="748">
        <v>1262.4279517546465</v>
      </c>
      <c r="I227" s="710"/>
      <c r="J227" s="732"/>
      <c r="K227" s="748">
        <v>1074.338523027624</v>
      </c>
      <c r="L227" s="710"/>
      <c r="M227" s="732"/>
      <c r="N227" s="748">
        <v>1259.5700456348347</v>
      </c>
      <c r="O227" s="710"/>
      <c r="P227" s="732"/>
      <c r="Q227" s="748">
        <v>2519.2871888445702</v>
      </c>
      <c r="R227" s="710"/>
      <c r="S227" s="732"/>
      <c r="T227" s="748">
        <v>2300.1241125637116</v>
      </c>
      <c r="U227" s="710"/>
      <c r="V227" s="732"/>
      <c r="W227" s="748">
        <v>1484.3347421947913</v>
      </c>
      <c r="X227" s="710"/>
      <c r="Y227" s="732"/>
      <c r="Z227" s="748">
        <v>1393.340367565695</v>
      </c>
      <c r="AA227" s="710"/>
      <c r="AB227" s="732"/>
      <c r="AC227" s="748">
        <v>1546.6051024673684</v>
      </c>
      <c r="AD227" s="710"/>
      <c r="AE227" s="732"/>
      <c r="AF227" s="748">
        <v>1145.4929897640864</v>
      </c>
      <c r="AG227" s="710"/>
      <c r="AH227" s="732"/>
      <c r="AI227" s="748">
        <v>2240.0675200816145</v>
      </c>
      <c r="AJ227" s="710"/>
      <c r="AK227" s="732"/>
      <c r="AL227" s="748">
        <v>3307.9862055343506</v>
      </c>
      <c r="AM227" s="710"/>
      <c r="AN227" s="732"/>
      <c r="AO227" s="748">
        <v>1443.4447389830225</v>
      </c>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row>
    <row r="228" spans="1:219" s="590" customFormat="1" ht="20.25" customHeight="1">
      <c r="A228" s="618" t="str">
        <f t="shared" si="583"/>
        <v>Service[...]</v>
      </c>
      <c r="B228" s="710" t="s">
        <v>42</v>
      </c>
      <c r="C228" s="710"/>
      <c r="D228" s="732"/>
      <c r="E228" s="733">
        <f t="shared" si="773"/>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583"/>
        <v>Service[...]</v>
      </c>
      <c r="B229" s="710" t="s">
        <v>42</v>
      </c>
      <c r="C229" s="710"/>
      <c r="D229" s="732"/>
      <c r="E229" s="733">
        <f t="shared" si="773"/>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ustomHeight="1">
      <c r="A230" s="618" t="str">
        <f t="shared" si="583"/>
        <v>Service[...]</v>
      </c>
      <c r="B230" s="710" t="s">
        <v>42</v>
      </c>
      <c r="C230" s="710"/>
      <c r="D230" s="732"/>
      <c r="E230" s="733">
        <f t="shared" si="773"/>
        <v>0</v>
      </c>
      <c r="F230" s="710"/>
      <c r="G230" s="732"/>
      <c r="H230" s="733"/>
      <c r="I230" s="710"/>
      <c r="J230" s="732"/>
      <c r="K230" s="733"/>
      <c r="L230" s="710"/>
      <c r="M230" s="732"/>
      <c r="N230" s="733"/>
      <c r="O230" s="710"/>
      <c r="P230" s="732"/>
      <c r="Q230" s="733"/>
      <c r="R230" s="710"/>
      <c r="S230" s="732"/>
      <c r="T230" s="733"/>
      <c r="U230" s="710"/>
      <c r="V230" s="732"/>
      <c r="W230" s="733"/>
      <c r="X230" s="710"/>
      <c r="Y230" s="732"/>
      <c r="Z230" s="733"/>
      <c r="AA230" s="710"/>
      <c r="AB230" s="732"/>
      <c r="AC230" s="733"/>
      <c r="AD230" s="710"/>
      <c r="AE230" s="732"/>
      <c r="AF230" s="733"/>
      <c r="AG230" s="710"/>
      <c r="AH230" s="732"/>
      <c r="AI230" s="733"/>
      <c r="AJ230" s="710"/>
      <c r="AK230" s="732"/>
      <c r="AL230" s="733"/>
      <c r="AM230" s="710"/>
      <c r="AN230" s="732"/>
      <c r="AO230" s="733"/>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583"/>
        <v>ServiceTOTAL SEMI-FIXES</v>
      </c>
      <c r="B231" s="753" t="s">
        <v>135</v>
      </c>
      <c r="C231" s="754" t="s">
        <v>170</v>
      </c>
      <c r="D231" s="755">
        <f>IFERROR(E231/E$196,0)</f>
        <v>0.2139937192283784</v>
      </c>
      <c r="E231" s="756">
        <f>+SUM(E213:E230)</f>
        <v>467722.76098733256</v>
      </c>
      <c r="F231" s="754" t="s">
        <v>170</v>
      </c>
      <c r="G231" s="755">
        <f>IFERROR(H231/H$196,0)</f>
        <v>0.25586853614586369</v>
      </c>
      <c r="H231" s="756">
        <f>+SUM(H213:H230)</f>
        <v>32238.678068206427</v>
      </c>
      <c r="I231" s="754" t="s">
        <v>170</v>
      </c>
      <c r="J231" s="755">
        <f t="shared" ref="J231" si="774">IFERROR(K231/K$196,0)</f>
        <v>0.25330907401571878</v>
      </c>
      <c r="K231" s="756">
        <f t="shared" ref="K231" si="775">+SUM(K213:K230)</f>
        <v>32744.536886717877</v>
      </c>
      <c r="L231" s="754" t="s">
        <v>170</v>
      </c>
      <c r="M231" s="755">
        <f t="shared" ref="M231" si="776">IFERROR(N231/N$196,0)</f>
        <v>0.21395198850427335</v>
      </c>
      <c r="N231" s="756">
        <f t="shared" ref="N231" si="777">+SUM(N213:N230)</f>
        <v>34268.358816452375</v>
      </c>
      <c r="O231" s="754" t="s">
        <v>170</v>
      </c>
      <c r="P231" s="755">
        <f t="shared" ref="P231" si="778">IFERROR(Q231/Q$196,0)</f>
        <v>0.18963180931708393</v>
      </c>
      <c r="Q231" s="756">
        <f t="shared" ref="Q231" si="779">+SUM(Q213:Q230)</f>
        <v>44579.002158977222</v>
      </c>
      <c r="R231" s="754" t="s">
        <v>170</v>
      </c>
      <c r="S231" s="755">
        <f t="shared" ref="S231" si="780">IFERROR(T231/T$196,0)</f>
        <v>0.22493351996012009</v>
      </c>
      <c r="T231" s="756">
        <f t="shared" ref="T231" si="781">+SUM(T213:T230)</f>
        <v>48100.931902563112</v>
      </c>
      <c r="U231" s="754" t="s">
        <v>170</v>
      </c>
      <c r="V231" s="755">
        <f t="shared" ref="V231" si="782">IFERROR(W231/W$196,0)</f>
        <v>0.21959095299946521</v>
      </c>
      <c r="W231" s="756">
        <f t="shared" ref="W231" si="783">+SUM(W213:W230)</f>
        <v>40348.976235166716</v>
      </c>
      <c r="X231" s="754" t="s">
        <v>170</v>
      </c>
      <c r="Y231" s="755">
        <f t="shared" ref="Y231" si="784">IFERROR(Z231/Z$196,0)</f>
        <v>0.22958541020087186</v>
      </c>
      <c r="Z231" s="756">
        <f t="shared" ref="Z231" si="785">+SUM(Z213:Z230)</f>
        <v>37006.827041267999</v>
      </c>
      <c r="AA231" s="754" t="s">
        <v>170</v>
      </c>
      <c r="AB231" s="755">
        <f t="shared" ref="AB231" si="786">IFERROR(AC231/AC$196,0)</f>
        <v>0.22085066994595848</v>
      </c>
      <c r="AC231" s="756">
        <f t="shared" ref="AC231" si="787">+SUM(AC213:AC230)</f>
        <v>36473.815830880332</v>
      </c>
      <c r="AD231" s="754" t="s">
        <v>170</v>
      </c>
      <c r="AE231" s="755">
        <f t="shared" ref="AE231" si="788">IFERROR(AF231/AF$196,0)</f>
        <v>0.21718492466201741</v>
      </c>
      <c r="AF231" s="756">
        <f t="shared" ref="AF231" si="789">+SUM(AF213:AF230)</f>
        <v>33598.498527691663</v>
      </c>
      <c r="AG231" s="754" t="s">
        <v>170</v>
      </c>
      <c r="AH231" s="755">
        <f t="shared" ref="AH231" si="790">IFERROR(AI231/AI$196,0)</f>
        <v>0.19630212961687091</v>
      </c>
      <c r="AI231" s="756">
        <f t="shared" ref="AI231" si="791">+SUM(AI213:AI230)</f>
        <v>42552.337217086257</v>
      </c>
      <c r="AJ231" s="754" t="s">
        <v>170</v>
      </c>
      <c r="AK231" s="755">
        <f t="shared" ref="AK231" si="792">IFERROR(AL231/AL$196,0)</f>
        <v>0.17934042479430509</v>
      </c>
      <c r="AL231" s="756">
        <f t="shared" ref="AL231" si="793">+SUM(AL213:AL230)</f>
        <v>51599.766601724827</v>
      </c>
      <c r="AM231" s="754" t="s">
        <v>170</v>
      </c>
      <c r="AN231" s="755">
        <f t="shared" ref="AN231" si="794">IFERROR(AO231/AO$196,0)</f>
        <v>0.22500104671989954</v>
      </c>
      <c r="AO231" s="756">
        <f t="shared" ref="AO231" si="795">+SUM(AO213:AO230)</f>
        <v>34211.031700597829</v>
      </c>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583"/>
        <v>Service</v>
      </c>
      <c r="B232" s="705"/>
      <c r="C232" s="705"/>
      <c r="D232" s="763"/>
      <c r="E232" s="751"/>
      <c r="F232" s="705"/>
      <c r="G232" s="763"/>
      <c r="H232" s="751"/>
      <c r="I232" s="705"/>
      <c r="J232" s="763"/>
      <c r="K232" s="751"/>
      <c r="L232" s="705"/>
      <c r="M232" s="763"/>
      <c r="N232" s="751"/>
      <c r="O232" s="705"/>
      <c r="P232" s="763"/>
      <c r="Q232" s="751"/>
      <c r="R232" s="705"/>
      <c r="S232" s="763"/>
      <c r="T232" s="751"/>
      <c r="U232" s="705"/>
      <c r="V232" s="763"/>
      <c r="W232" s="751"/>
      <c r="X232" s="705"/>
      <c r="Y232" s="763"/>
      <c r="Z232" s="751"/>
      <c r="AA232" s="705"/>
      <c r="AB232" s="763"/>
      <c r="AC232" s="751"/>
      <c r="AD232" s="705"/>
      <c r="AE232" s="763"/>
      <c r="AF232" s="751"/>
      <c r="AG232" s="705"/>
      <c r="AH232" s="763"/>
      <c r="AI232" s="751"/>
      <c r="AJ232" s="705"/>
      <c r="AK232" s="763"/>
      <c r="AL232" s="751"/>
      <c r="AM232" s="705"/>
      <c r="AN232" s="763"/>
      <c r="AO232" s="751"/>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583"/>
        <v>ServiceTOTAL DES DÉPENSES</v>
      </c>
      <c r="B233" s="768" t="s">
        <v>136</v>
      </c>
      <c r="C233" s="754" t="s">
        <v>111</v>
      </c>
      <c r="D233" s="798">
        <f>IFERROR(E233/E$196,0)</f>
        <v>0.83224693738717503</v>
      </c>
      <c r="E233" s="769">
        <f>E212+E231</f>
        <v>1819029.2536696098</v>
      </c>
      <c r="F233" s="754" t="s">
        <v>111</v>
      </c>
      <c r="G233" s="798">
        <f>IFERROR(H233/H$196,0)</f>
        <v>1.0826172498001598</v>
      </c>
      <c r="H233" s="769">
        <f>H212+H231</f>
        <v>136406.56843988667</v>
      </c>
      <c r="I233" s="754" t="s">
        <v>111</v>
      </c>
      <c r="J233" s="798">
        <f t="shared" ref="J233" si="796">IFERROR(K233/K$196,0)</f>
        <v>1.0275824457049918</v>
      </c>
      <c r="K233" s="769">
        <f t="shared" ref="K233" si="797">K212+K231</f>
        <v>132832.63313118782</v>
      </c>
      <c r="L233" s="754" t="s">
        <v>111</v>
      </c>
      <c r="M233" s="798">
        <f t="shared" ref="M233" si="798">IFERROR(N233/N$196,0)</f>
        <v>0.93096183038072122</v>
      </c>
      <c r="N233" s="769">
        <f t="shared" ref="N233" si="799">N212+N231</f>
        <v>149110.71531018103</v>
      </c>
      <c r="O233" s="754" t="s">
        <v>111</v>
      </c>
      <c r="P233" s="798">
        <f t="shared" ref="P233" si="800">IFERROR(Q233/Q$196,0)</f>
        <v>0.69871537496441971</v>
      </c>
      <c r="Q233" s="769">
        <f t="shared" ref="Q233" si="801">Q212+Q231</f>
        <v>164255.32362540887</v>
      </c>
      <c r="R233" s="754" t="s">
        <v>111</v>
      </c>
      <c r="S233" s="798">
        <f t="shared" ref="S233" si="802">IFERROR(T233/T$196,0)</f>
        <v>0.76795682708324309</v>
      </c>
      <c r="T233" s="769">
        <f t="shared" ref="T233" si="803">T212+T231</f>
        <v>164223.80732844415</v>
      </c>
      <c r="U233" s="754" t="s">
        <v>111</v>
      </c>
      <c r="V233" s="798">
        <f t="shared" ref="V233" si="804">IFERROR(W233/W$196,0)</f>
        <v>0.8247505092098768</v>
      </c>
      <c r="W233" s="769">
        <f t="shared" ref="W233" si="805">W212+W231</f>
        <v>151544.6708596051</v>
      </c>
      <c r="X233" s="754" t="s">
        <v>111</v>
      </c>
      <c r="Y233" s="798">
        <f t="shared" ref="Y233" si="806">IFERROR(Z233/Z$196,0)</f>
        <v>0.92011262834828078</v>
      </c>
      <c r="Z233" s="769">
        <f t="shared" ref="Z233" si="807">Z212+Z231</f>
        <v>148312.77329852741</v>
      </c>
      <c r="AA233" s="754" t="s">
        <v>111</v>
      </c>
      <c r="AB233" s="798">
        <f t="shared" ref="AB233" si="808">IFERROR(AC233/AC$196,0)</f>
        <v>0.88695958226857785</v>
      </c>
      <c r="AC233" s="769">
        <f t="shared" ref="AC233" si="809">AC212+AC231</f>
        <v>146482.69104646507</v>
      </c>
      <c r="AD233" s="754" t="s">
        <v>111</v>
      </c>
      <c r="AE233" s="798">
        <f t="shared" ref="AE233" si="810">IFERROR(AF233/AF$196,0)</f>
        <v>0.91636332360039452</v>
      </c>
      <c r="AF233" s="769">
        <f t="shared" ref="AF233" si="811">AF212+AF231</f>
        <v>141761.36684777439</v>
      </c>
      <c r="AG233" s="754" t="s">
        <v>111</v>
      </c>
      <c r="AH233" s="798">
        <f t="shared" ref="AH233" si="812">IFERROR(AI233/AI$196,0)</f>
        <v>0.72425311235711831</v>
      </c>
      <c r="AI233" s="769">
        <f t="shared" ref="AI233" si="813">AI212+AI231</f>
        <v>156996.06890508076</v>
      </c>
      <c r="AJ233" s="754" t="s">
        <v>111</v>
      </c>
      <c r="AK233" s="798">
        <f t="shared" ref="AK233" si="814">IFERROR(AL233/AL$196,0)</f>
        <v>0.63662794456979821</v>
      </c>
      <c r="AL233" s="769">
        <f t="shared" ref="AL233" si="815">AL212+AL231</f>
        <v>183170.37773059035</v>
      </c>
      <c r="AM233" s="754" t="s">
        <v>111</v>
      </c>
      <c r="AN233" s="798">
        <f t="shared" ref="AN233" si="816">IFERROR(AO233/AO$196,0)</f>
        <v>0.94662180311109889</v>
      </c>
      <c r="AO233" s="769">
        <f t="shared" ref="AO233" si="817">AO212+AO231</f>
        <v>143932.2571464584</v>
      </c>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0.25">
      <c r="A234" s="618" t="str">
        <f t="shared" si="583"/>
        <v>Service</v>
      </c>
      <c r="B234" s="710"/>
      <c r="C234" s="710"/>
      <c r="D234" s="732"/>
      <c r="E234" s="733"/>
      <c r="F234" s="710"/>
      <c r="G234" s="732"/>
      <c r="H234" s="733"/>
      <c r="I234" s="710"/>
      <c r="J234" s="732"/>
      <c r="K234" s="733"/>
      <c r="L234" s="710"/>
      <c r="M234" s="732"/>
      <c r="N234" s="733"/>
      <c r="O234" s="710"/>
      <c r="P234" s="732"/>
      <c r="Q234" s="733"/>
      <c r="R234" s="710"/>
      <c r="S234" s="732"/>
      <c r="T234" s="733"/>
      <c r="U234" s="710"/>
      <c r="V234" s="732"/>
      <c r="W234" s="733"/>
      <c r="X234" s="710"/>
      <c r="Y234" s="732"/>
      <c r="Z234" s="733"/>
      <c r="AA234" s="710"/>
      <c r="AB234" s="732"/>
      <c r="AC234" s="733"/>
      <c r="AD234" s="710"/>
      <c r="AE234" s="732"/>
      <c r="AF234" s="733"/>
      <c r="AG234" s="710"/>
      <c r="AH234" s="732"/>
      <c r="AI234" s="733"/>
      <c r="AJ234" s="710"/>
      <c r="AK234" s="732"/>
      <c r="AL234" s="733"/>
      <c r="AM234" s="710"/>
      <c r="AN234" s="732"/>
      <c r="AO234" s="733"/>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1" thickBot="1">
      <c r="A235" s="618" t="str">
        <f t="shared" si="583"/>
        <v>ServicePROFIT DÉPARTEMENTAL</v>
      </c>
      <c r="B235" s="777" t="s">
        <v>143</v>
      </c>
      <c r="C235" s="777"/>
      <c r="D235" s="799"/>
      <c r="E235" s="780">
        <f>E196-E233</f>
        <v>366655.27330554603</v>
      </c>
      <c r="F235" s="777"/>
      <c r="G235" s="799"/>
      <c r="H235" s="780">
        <f>H196-H233</f>
        <v>-10409.528890529837</v>
      </c>
      <c r="I235" s="777"/>
      <c r="J235" s="799"/>
      <c r="K235" s="780">
        <f t="shared" ref="K235" si="818">K196-K233</f>
        <v>-3565.5035822244099</v>
      </c>
      <c r="L235" s="777"/>
      <c r="M235" s="799"/>
      <c r="N235" s="780">
        <f t="shared" ref="N235" si="819">N196-N233</f>
        <v>11057.736761802953</v>
      </c>
      <c r="O235" s="777"/>
      <c r="P235" s="799"/>
      <c r="Q235" s="780">
        <f t="shared" ref="Q235" si="820">Q196-Q233</f>
        <v>70826.555936455872</v>
      </c>
      <c r="R235" s="777"/>
      <c r="S235" s="799"/>
      <c r="T235" s="780">
        <f t="shared" ref="T235" si="821">T196-T233</f>
        <v>49621.296376380429</v>
      </c>
      <c r="U235" s="777"/>
      <c r="V235" s="799"/>
      <c r="W235" s="780">
        <f t="shared" ref="W235" si="822">W196-W233</f>
        <v>32201.406490243564</v>
      </c>
      <c r="X235" s="777"/>
      <c r="Y235" s="799"/>
      <c r="Z235" s="780">
        <f t="shared" ref="Z235" si="823">Z196-Z233</f>
        <v>12877.029698490136</v>
      </c>
      <c r="AA235" s="777"/>
      <c r="AB235" s="799"/>
      <c r="AC235" s="780">
        <f t="shared" ref="AC235" si="824">AC196-AC233</f>
        <v>18668.792713151197</v>
      </c>
      <c r="AD235" s="777"/>
      <c r="AE235" s="799"/>
      <c r="AF235" s="780">
        <f t="shared" ref="AF235" si="825">AF196-AF233</f>
        <v>12938.590250894194</v>
      </c>
      <c r="AG235" s="777"/>
      <c r="AH235" s="799"/>
      <c r="AI235" s="780">
        <f t="shared" ref="AI235" si="826">AI196-AI233</f>
        <v>59773.546891431499</v>
      </c>
      <c r="AJ235" s="777"/>
      <c r="AK235" s="799"/>
      <c r="AL235" s="780">
        <f t="shared" ref="AL235" si="827">AL196-AL233</f>
        <v>104549.28536771721</v>
      </c>
      <c r="AM235" s="777"/>
      <c r="AN235" s="799"/>
      <c r="AO235" s="780">
        <f t="shared" ref="AO235" si="828">AO196-AO233</f>
        <v>8116.0652917328989</v>
      </c>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s="590" customFormat="1" ht="20.25">
      <c r="A236" s="618"/>
      <c r="B236" s="732"/>
      <c r="C236" s="732"/>
      <c r="D236" s="732"/>
      <c r="E236" s="747"/>
      <c r="F236" s="732"/>
      <c r="G236" s="732"/>
      <c r="H236" s="747"/>
      <c r="I236" s="732"/>
      <c r="J236" s="732"/>
      <c r="K236" s="747"/>
      <c r="L236" s="732"/>
      <c r="M236" s="732"/>
      <c r="N236" s="747"/>
      <c r="O236" s="732"/>
      <c r="P236" s="732"/>
      <c r="Q236" s="747"/>
      <c r="R236" s="732"/>
      <c r="S236" s="732"/>
      <c r="T236" s="747"/>
      <c r="U236" s="732"/>
      <c r="V236" s="732"/>
      <c r="W236" s="747"/>
      <c r="X236" s="732"/>
      <c r="Y236" s="732"/>
      <c r="Z236" s="747"/>
      <c r="AA236" s="732"/>
      <c r="AB236" s="732"/>
      <c r="AC236" s="747"/>
      <c r="AD236" s="732"/>
      <c r="AE236" s="732"/>
      <c r="AF236" s="747"/>
      <c r="AG236" s="732"/>
      <c r="AH236" s="732"/>
      <c r="AI236" s="747"/>
      <c r="AJ236" s="732"/>
      <c r="AK236" s="732"/>
      <c r="AL236" s="747"/>
      <c r="AM236" s="732"/>
      <c r="AN236" s="732"/>
      <c r="AO236" s="747"/>
      <c r="AP236" s="591"/>
      <c r="AQ236" s="591"/>
      <c r="AR236" s="591"/>
      <c r="AS236" s="591"/>
      <c r="AT236" s="591"/>
      <c r="AU236" s="591"/>
      <c r="AV236" s="591"/>
      <c r="AW236" s="591"/>
      <c r="AX236" s="591"/>
      <c r="AY236" s="591"/>
      <c r="AZ236" s="591"/>
      <c r="BA236" s="591"/>
      <c r="BB236" s="591"/>
      <c r="BC236" s="591"/>
      <c r="BD236" s="591"/>
      <c r="BE236" s="591"/>
      <c r="BF236" s="591"/>
      <c r="BG236" s="591"/>
      <c r="BH236" s="591"/>
      <c r="BI236" s="591"/>
      <c r="BJ236" s="591"/>
      <c r="BK236" s="591"/>
      <c r="BL236" s="591"/>
      <c r="BM236" s="591"/>
      <c r="BN236" s="591"/>
      <c r="BO236" s="591"/>
      <c r="BP236" s="591"/>
      <c r="BQ236" s="591"/>
      <c r="BR236" s="591"/>
      <c r="BS236" s="591"/>
      <c r="BT236" s="591"/>
      <c r="BU236" s="591"/>
      <c r="BV236" s="591"/>
      <c r="BW236" s="591"/>
      <c r="BX236" s="591"/>
      <c r="BY236" s="591"/>
      <c r="BZ236" s="591"/>
      <c r="CA236" s="591"/>
      <c r="CB236" s="591"/>
      <c r="CC236" s="591"/>
      <c r="CD236" s="591"/>
      <c r="CE236" s="591"/>
      <c r="CF236" s="591"/>
      <c r="CG236" s="591"/>
      <c r="CH236" s="591"/>
      <c r="CI236" s="591"/>
      <c r="CJ236" s="591"/>
      <c r="CK236" s="591"/>
      <c r="CL236" s="591"/>
      <c r="CM236" s="591"/>
      <c r="CN236" s="591"/>
      <c r="CO236" s="591"/>
      <c r="CP236" s="591"/>
      <c r="CQ236" s="591"/>
      <c r="CR236" s="591"/>
      <c r="CS236" s="591"/>
      <c r="CT236" s="591"/>
      <c r="CU236" s="591"/>
      <c r="CV236" s="591"/>
      <c r="CW236" s="591"/>
      <c r="CX236" s="591"/>
      <c r="CY236" s="591"/>
      <c r="CZ236" s="591"/>
      <c r="DA236" s="591"/>
      <c r="DB236" s="591"/>
      <c r="DC236" s="591"/>
      <c r="DD236" s="591"/>
      <c r="DE236" s="591"/>
      <c r="DF236" s="591"/>
      <c r="DG236" s="591"/>
      <c r="DH236" s="591"/>
      <c r="DI236" s="591"/>
      <c r="DJ236" s="591"/>
      <c r="DK236" s="591"/>
      <c r="DL236" s="591"/>
      <c r="DM236" s="591"/>
      <c r="DN236" s="591"/>
      <c r="DO236" s="591"/>
      <c r="DP236" s="591"/>
      <c r="DQ236" s="591"/>
      <c r="DR236" s="591"/>
      <c r="DS236" s="591"/>
      <c r="DT236" s="591"/>
      <c r="DU236" s="591"/>
      <c r="DV236" s="591"/>
      <c r="DW236" s="591"/>
      <c r="DX236" s="591"/>
      <c r="DY236" s="591"/>
      <c r="DZ236" s="591"/>
      <c r="EA236" s="591"/>
      <c r="EB236" s="591"/>
      <c r="EC236" s="591"/>
      <c r="ED236" s="591"/>
      <c r="EE236" s="591"/>
      <c r="EF236" s="591"/>
      <c r="EG236" s="591"/>
      <c r="EH236" s="591"/>
      <c r="EI236" s="591"/>
      <c r="EJ236" s="591"/>
      <c r="EK236" s="591"/>
      <c r="EL236" s="591"/>
      <c r="EM236" s="591"/>
      <c r="EN236" s="591"/>
      <c r="EO236" s="591"/>
      <c r="EP236" s="591"/>
      <c r="EQ236" s="591"/>
      <c r="ER236" s="591"/>
      <c r="ES236" s="591"/>
      <c r="ET236" s="591"/>
      <c r="EU236" s="591"/>
      <c r="EV236" s="591"/>
      <c r="EW236" s="591"/>
      <c r="EX236" s="591"/>
      <c r="EY236" s="591"/>
      <c r="EZ236" s="591"/>
      <c r="FA236" s="591"/>
      <c r="FB236" s="591"/>
      <c r="FC236" s="591"/>
      <c r="FD236" s="591"/>
      <c r="FE236" s="591"/>
      <c r="FF236" s="591"/>
      <c r="FG236" s="591"/>
      <c r="FH236" s="591"/>
      <c r="FI236" s="591"/>
      <c r="FJ236" s="591"/>
      <c r="FK236" s="591"/>
      <c r="FL236" s="591"/>
      <c r="FM236" s="591"/>
      <c r="FN236" s="591"/>
      <c r="FO236" s="591"/>
      <c r="FP236" s="591"/>
      <c r="FQ236" s="591"/>
      <c r="FR236" s="591"/>
      <c r="FS236" s="591"/>
      <c r="FT236" s="591"/>
      <c r="FU236" s="591"/>
      <c r="FV236" s="591"/>
      <c r="FW236" s="591"/>
      <c r="FX236" s="591"/>
      <c r="FY236" s="591"/>
      <c r="FZ236" s="591"/>
      <c r="GA236" s="591"/>
      <c r="GB236" s="591"/>
      <c r="GC236" s="591"/>
      <c r="GD236" s="591"/>
      <c r="GE236" s="591"/>
      <c r="GF236" s="591"/>
      <c r="GG236" s="591"/>
      <c r="GH236" s="591"/>
      <c r="GI236" s="591"/>
      <c r="GJ236" s="591"/>
      <c r="GK236" s="591"/>
      <c r="GL236" s="591"/>
      <c r="GM236" s="591"/>
      <c r="GN236" s="591"/>
      <c r="GO236" s="591"/>
      <c r="GP236" s="591"/>
      <c r="GQ236" s="591"/>
      <c r="GR236" s="591"/>
      <c r="GS236" s="591"/>
      <c r="GT236" s="591"/>
      <c r="GU236" s="591"/>
      <c r="GV236" s="591"/>
      <c r="GW236" s="591"/>
      <c r="GX236" s="591"/>
      <c r="GY236" s="591"/>
      <c r="GZ236" s="591"/>
      <c r="HA236" s="591"/>
      <c r="HB236" s="591"/>
      <c r="HC236" s="591"/>
      <c r="HD236" s="591"/>
      <c r="HE236" s="591"/>
      <c r="HF236" s="591"/>
      <c r="HG236" s="591"/>
      <c r="HH236" s="591"/>
      <c r="HI236" s="591"/>
      <c r="HJ236" s="591"/>
      <c r="HK236" s="591"/>
    </row>
    <row r="237" spans="1:219" ht="20.25">
      <c r="A237" s="618"/>
      <c r="B237" s="783"/>
      <c r="C237" s="783"/>
      <c r="D237" s="783"/>
      <c r="E237" s="800"/>
      <c r="F237" s="783"/>
      <c r="G237" s="783"/>
      <c r="H237" s="800"/>
      <c r="I237" s="783"/>
      <c r="J237" s="783"/>
      <c r="K237" s="800"/>
      <c r="L237" s="783"/>
      <c r="M237" s="783"/>
      <c r="N237" s="800"/>
      <c r="O237" s="783"/>
      <c r="P237" s="783"/>
      <c r="Q237" s="800"/>
      <c r="R237" s="783"/>
      <c r="S237" s="783"/>
      <c r="T237" s="800"/>
      <c r="U237" s="783"/>
      <c r="V237" s="783"/>
      <c r="W237" s="800"/>
      <c r="X237" s="783"/>
      <c r="Y237" s="783"/>
      <c r="Z237" s="800"/>
      <c r="AA237" s="783"/>
      <c r="AB237" s="783"/>
      <c r="AC237" s="800"/>
      <c r="AD237" s="783"/>
      <c r="AE237" s="783"/>
      <c r="AF237" s="800"/>
      <c r="AG237" s="783"/>
      <c r="AH237" s="783"/>
      <c r="AI237" s="800"/>
      <c r="AJ237" s="783"/>
      <c r="AK237" s="783"/>
      <c r="AL237" s="800"/>
      <c r="AM237" s="783"/>
      <c r="AN237" s="783"/>
      <c r="AO237" s="800"/>
      <c r="AP237" s="589"/>
      <c r="AQ237" s="589"/>
      <c r="AR237" s="589"/>
      <c r="AS237" s="589"/>
      <c r="AT237" s="589"/>
      <c r="AU237" s="589"/>
      <c r="AV237" s="589"/>
      <c r="AW237" s="589"/>
      <c r="AX237" s="589"/>
      <c r="AY237" s="589"/>
      <c r="AZ237" s="589"/>
      <c r="BA237" s="589"/>
      <c r="BB237" s="589"/>
      <c r="BC237" s="589"/>
      <c r="BD237" s="589"/>
      <c r="BE237" s="589"/>
      <c r="BF237" s="589"/>
      <c r="BG237" s="589"/>
      <c r="BH237" s="589"/>
      <c r="BI237" s="589"/>
      <c r="BJ237" s="589"/>
      <c r="BK237" s="589"/>
      <c r="BL237" s="589"/>
      <c r="BM237" s="589"/>
      <c r="BN237" s="589"/>
      <c r="BO237" s="589"/>
      <c r="BP237" s="589"/>
      <c r="BQ237" s="589"/>
      <c r="BR237" s="589"/>
      <c r="BS237" s="589"/>
      <c r="BT237" s="589"/>
      <c r="BU237" s="589"/>
      <c r="BV237" s="589"/>
      <c r="BW237" s="589"/>
      <c r="BX237" s="589"/>
      <c r="BY237" s="589"/>
      <c r="BZ237" s="589"/>
      <c r="CA237" s="589"/>
      <c r="CB237" s="589"/>
      <c r="CC237" s="589"/>
      <c r="CD237" s="589"/>
      <c r="CE237" s="589"/>
      <c r="CF237" s="589"/>
      <c r="CG237" s="589"/>
      <c r="CH237" s="589"/>
      <c r="CI237" s="589"/>
      <c r="CJ237" s="589"/>
      <c r="CK237" s="589"/>
      <c r="CL237" s="589"/>
      <c r="CM237" s="589"/>
      <c r="CN237" s="589"/>
      <c r="CO237" s="589"/>
      <c r="CP237" s="589"/>
      <c r="CQ237" s="589"/>
      <c r="CR237" s="589"/>
      <c r="CS237" s="589"/>
      <c r="CT237" s="589"/>
      <c r="CU237" s="589"/>
      <c r="CV237" s="589"/>
      <c r="CW237" s="589"/>
      <c r="CX237" s="589"/>
      <c r="CY237" s="589"/>
      <c r="CZ237" s="589"/>
      <c r="DA237" s="589"/>
      <c r="DB237" s="589"/>
      <c r="DC237" s="589"/>
      <c r="DD237" s="589"/>
      <c r="DE237" s="589"/>
      <c r="DF237" s="589"/>
      <c r="DG237" s="589"/>
      <c r="DH237" s="589"/>
      <c r="DI237" s="589"/>
      <c r="DJ237" s="589"/>
      <c r="DK237" s="589"/>
      <c r="DL237" s="589"/>
      <c r="DM237" s="589"/>
      <c r="DN237" s="589"/>
      <c r="DO237" s="589"/>
      <c r="DP237" s="589"/>
      <c r="DQ237" s="589"/>
      <c r="DR237" s="589"/>
      <c r="DS237" s="589"/>
      <c r="DT237" s="589"/>
      <c r="DU237" s="589"/>
      <c r="DV237" s="589"/>
      <c r="DW237" s="589"/>
      <c r="DX237" s="589"/>
      <c r="DY237" s="589"/>
      <c r="DZ237" s="589"/>
      <c r="EA237" s="589"/>
      <c r="EB237" s="589"/>
      <c r="EC237" s="589"/>
      <c r="ED237" s="589"/>
      <c r="EE237" s="589"/>
      <c r="EF237" s="589"/>
      <c r="EG237" s="589"/>
      <c r="EH237" s="589"/>
      <c r="EI237" s="589"/>
      <c r="EJ237" s="589"/>
      <c r="EK237" s="589"/>
      <c r="EL237" s="589"/>
      <c r="EM237" s="589"/>
      <c r="EN237" s="589"/>
      <c r="EO237" s="589"/>
      <c r="EP237" s="589"/>
      <c r="EQ237" s="589"/>
      <c r="ER237" s="589"/>
      <c r="ES237" s="589"/>
      <c r="ET237" s="589"/>
      <c r="EU237" s="589"/>
      <c r="EV237" s="589"/>
      <c r="EW237" s="589"/>
      <c r="EX237" s="589"/>
      <c r="EY237" s="589"/>
      <c r="EZ237" s="589"/>
      <c r="FA237" s="589"/>
      <c r="FB237" s="589"/>
      <c r="FC237" s="589"/>
      <c r="FD237" s="589"/>
      <c r="FE237" s="589"/>
      <c r="FF237" s="589"/>
      <c r="FG237" s="589"/>
      <c r="FH237" s="589"/>
      <c r="FI237" s="589"/>
      <c r="FJ237" s="589"/>
      <c r="FK237" s="589"/>
      <c r="FL237" s="589"/>
      <c r="FM237" s="589"/>
      <c r="FN237" s="589"/>
      <c r="FO237" s="589"/>
      <c r="FP237" s="589"/>
      <c r="FQ237" s="589"/>
      <c r="FR237" s="589"/>
      <c r="FS237" s="589"/>
      <c r="FT237" s="589"/>
      <c r="FU237" s="589"/>
      <c r="FV237" s="589"/>
      <c r="FW237" s="589"/>
      <c r="FX237" s="589"/>
      <c r="FY237" s="589"/>
      <c r="FZ237" s="589"/>
      <c r="GA237" s="589"/>
      <c r="GB237" s="589"/>
      <c r="GC237" s="589"/>
      <c r="GD237" s="589"/>
      <c r="GE237" s="589"/>
      <c r="GF237" s="589"/>
      <c r="GG237" s="589"/>
      <c r="GH237" s="589"/>
      <c r="GI237" s="589"/>
      <c r="GJ237" s="589"/>
      <c r="GK237" s="589"/>
      <c r="GL237" s="589"/>
      <c r="GM237" s="589"/>
      <c r="GN237" s="589"/>
      <c r="GO237" s="589"/>
      <c r="GP237" s="589"/>
      <c r="GQ237" s="589"/>
      <c r="GR237" s="589"/>
      <c r="GS237" s="589"/>
      <c r="GT237" s="589"/>
      <c r="GU237" s="589"/>
      <c r="GV237" s="589"/>
      <c r="GW237" s="589"/>
      <c r="GX237" s="589"/>
      <c r="GY237" s="589"/>
      <c r="GZ237" s="589"/>
      <c r="HA237" s="589"/>
      <c r="HB237" s="589"/>
      <c r="HC237" s="589"/>
      <c r="HD237" s="589"/>
      <c r="HE237" s="589"/>
      <c r="HF237" s="589"/>
      <c r="HG237" s="589"/>
      <c r="HH237" s="589"/>
      <c r="HI237" s="589"/>
      <c r="HJ237" s="589"/>
      <c r="HK237" s="589"/>
    </row>
    <row r="238" spans="1:219" s="585" customFormat="1" ht="35.25">
      <c r="A238" s="618"/>
      <c r="B238" s="784" t="str">
        <f>B4</f>
        <v xml:space="preserve">Budget 2022  </v>
      </c>
      <c r="C238" s="785" t="s">
        <v>171</v>
      </c>
      <c r="D238" s="785"/>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785"/>
      <c r="AE238" s="785"/>
      <c r="AF238" s="785"/>
      <c r="AG238" s="785"/>
      <c r="AH238" s="785"/>
      <c r="AI238" s="785"/>
      <c r="AJ238" s="785"/>
      <c r="AK238" s="785"/>
      <c r="AL238" s="785"/>
      <c r="AM238" s="785"/>
      <c r="AN238" s="785"/>
      <c r="AO238" s="785"/>
      <c r="AP238" s="587"/>
      <c r="AQ238" s="587"/>
      <c r="AR238" s="587"/>
      <c r="AS238" s="587"/>
      <c r="AT238" s="587"/>
      <c r="AU238" s="587"/>
      <c r="AV238" s="587"/>
      <c r="AW238" s="587"/>
      <c r="AX238" s="587"/>
      <c r="AY238" s="587"/>
      <c r="AZ238" s="587"/>
      <c r="BA238" s="587"/>
      <c r="BB238" s="587"/>
      <c r="BC238" s="587"/>
      <c r="BD238" s="587"/>
      <c r="BE238" s="587"/>
      <c r="BF238" s="587"/>
      <c r="BG238" s="587"/>
      <c r="BH238" s="587"/>
      <c r="BI238" s="587"/>
      <c r="BJ238" s="587"/>
      <c r="BK238" s="587"/>
      <c r="BL238" s="587"/>
      <c r="BM238" s="587"/>
      <c r="BN238" s="587"/>
      <c r="BO238" s="587"/>
      <c r="BP238" s="587"/>
      <c r="BQ238" s="587"/>
      <c r="BR238" s="587"/>
      <c r="BS238" s="587"/>
      <c r="BT238" s="587"/>
      <c r="BU238" s="587"/>
      <c r="BV238" s="587"/>
      <c r="BW238" s="587"/>
      <c r="BX238" s="587"/>
      <c r="BY238" s="587"/>
      <c r="BZ238" s="587"/>
      <c r="CA238" s="587"/>
      <c r="CB238" s="587"/>
      <c r="CC238" s="587"/>
      <c r="CD238" s="587"/>
      <c r="CE238" s="587"/>
      <c r="CF238" s="587"/>
      <c r="CG238" s="587"/>
      <c r="CH238" s="587"/>
      <c r="CI238" s="587"/>
      <c r="CJ238" s="587"/>
      <c r="CK238" s="587"/>
      <c r="CL238" s="587"/>
      <c r="CM238" s="587"/>
      <c r="CN238" s="587"/>
      <c r="CO238" s="587"/>
      <c r="CP238" s="587"/>
      <c r="CQ238" s="587"/>
      <c r="CR238" s="587"/>
      <c r="CS238" s="587"/>
      <c r="CT238" s="587"/>
      <c r="CU238" s="587"/>
      <c r="CV238" s="587"/>
      <c r="CW238" s="587"/>
      <c r="CX238" s="587"/>
      <c r="CY238" s="587"/>
      <c r="CZ238" s="587"/>
      <c r="DA238" s="587"/>
      <c r="DB238" s="587"/>
      <c r="DC238" s="587"/>
      <c r="DD238" s="587"/>
      <c r="DE238" s="587"/>
      <c r="DF238" s="587"/>
      <c r="DG238" s="587"/>
      <c r="DH238" s="587"/>
      <c r="DI238" s="587"/>
      <c r="DJ238" s="587"/>
      <c r="DK238" s="587"/>
      <c r="DL238" s="587"/>
      <c r="DM238" s="587"/>
      <c r="DN238" s="587"/>
      <c r="DO238" s="587"/>
      <c r="DP238" s="587"/>
      <c r="DQ238" s="587"/>
      <c r="DR238" s="587"/>
      <c r="DS238" s="587"/>
      <c r="DT238" s="587"/>
      <c r="DU238" s="587"/>
      <c r="DV238" s="587"/>
      <c r="DW238" s="587"/>
      <c r="DX238" s="587"/>
      <c r="DY238" s="587"/>
      <c r="DZ238" s="587"/>
      <c r="EA238" s="587"/>
      <c r="EB238" s="587"/>
      <c r="EC238" s="587"/>
      <c r="ED238" s="587"/>
      <c r="EE238" s="587"/>
      <c r="EF238" s="587"/>
      <c r="EG238" s="587"/>
      <c r="EH238" s="587"/>
      <c r="EI238" s="587"/>
      <c r="EJ238" s="587"/>
      <c r="EK238" s="587"/>
      <c r="EL238" s="587"/>
      <c r="EM238" s="587"/>
      <c r="EN238" s="587"/>
      <c r="EO238" s="587"/>
      <c r="EP238" s="587"/>
      <c r="EQ238" s="587"/>
      <c r="ER238" s="587"/>
      <c r="ES238" s="587"/>
      <c r="ET238" s="587"/>
      <c r="EU238" s="587"/>
      <c r="EV238" s="587"/>
      <c r="EW238" s="587"/>
      <c r="EX238" s="587"/>
      <c r="EY238" s="587"/>
      <c r="EZ238" s="587"/>
      <c r="FA238" s="587"/>
      <c r="FB238" s="587"/>
      <c r="FC238" s="587"/>
      <c r="FD238" s="587"/>
      <c r="FE238" s="587"/>
      <c r="FF238" s="587"/>
      <c r="FG238" s="587"/>
      <c r="FH238" s="587"/>
      <c r="FI238" s="587"/>
      <c r="FJ238" s="587"/>
      <c r="FK238" s="587"/>
      <c r="FL238" s="587"/>
      <c r="FM238" s="587"/>
      <c r="FN238" s="587"/>
      <c r="FO238" s="587"/>
      <c r="FP238" s="587"/>
      <c r="FQ238" s="587"/>
      <c r="FR238" s="587"/>
      <c r="FS238" s="587"/>
      <c r="FT238" s="587"/>
      <c r="FU238" s="587"/>
      <c r="FV238" s="587"/>
      <c r="FW238" s="587"/>
      <c r="FX238" s="587"/>
      <c r="FY238" s="587"/>
      <c r="FZ238" s="587"/>
      <c r="GA238" s="587"/>
      <c r="GB238" s="587"/>
      <c r="GC238" s="587"/>
      <c r="GD238" s="587"/>
      <c r="GE238" s="587"/>
      <c r="GF238" s="587"/>
      <c r="GG238" s="587"/>
      <c r="GH238" s="587"/>
      <c r="GI238" s="587"/>
      <c r="GJ238" s="587"/>
      <c r="GK238" s="587"/>
      <c r="GL238" s="587"/>
      <c r="GM238" s="587"/>
      <c r="GN238" s="587"/>
      <c r="GO238" s="587"/>
      <c r="GP238" s="587"/>
      <c r="GQ238" s="587"/>
      <c r="GR238" s="587"/>
      <c r="GS238" s="587"/>
      <c r="GT238" s="587"/>
      <c r="GU238" s="587"/>
      <c r="GV238" s="587"/>
      <c r="GW238" s="587"/>
      <c r="GX238" s="587"/>
      <c r="GY238" s="587"/>
      <c r="GZ238" s="587"/>
      <c r="HA238" s="587"/>
      <c r="HB238" s="587"/>
      <c r="HC238" s="587"/>
      <c r="HD238" s="587"/>
      <c r="HE238" s="587"/>
      <c r="HF238" s="587"/>
      <c r="HG238" s="587"/>
      <c r="HH238" s="587"/>
      <c r="HI238" s="587"/>
      <c r="HJ238" s="587"/>
      <c r="HK238" s="587"/>
    </row>
    <row r="239" spans="1:219" ht="21" thickBot="1">
      <c r="A239" s="618"/>
      <c r="B239" s="786"/>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589"/>
      <c r="AQ239" s="589"/>
      <c r="AR239" s="589"/>
      <c r="AS239" s="589"/>
      <c r="AT239" s="589"/>
      <c r="AU239" s="589"/>
      <c r="AV239" s="589"/>
      <c r="AW239" s="589"/>
      <c r="AX239" s="589"/>
      <c r="AY239" s="589"/>
      <c r="AZ239" s="589"/>
      <c r="BA239" s="589"/>
      <c r="BB239" s="589"/>
      <c r="BC239" s="589"/>
      <c r="BD239" s="589"/>
      <c r="BE239" s="589"/>
      <c r="BF239" s="589"/>
      <c r="BG239" s="589"/>
      <c r="BH239" s="589"/>
      <c r="BI239" s="589"/>
      <c r="BJ239" s="589"/>
      <c r="BK239" s="589"/>
      <c r="BL239" s="589"/>
      <c r="BM239" s="589"/>
      <c r="BN239" s="589"/>
      <c r="BO239" s="589"/>
      <c r="BP239" s="589"/>
      <c r="BQ239" s="589"/>
      <c r="BR239" s="589"/>
      <c r="BS239" s="589"/>
      <c r="BT239" s="589"/>
      <c r="BU239" s="589"/>
      <c r="BV239" s="589"/>
      <c r="BW239" s="589"/>
      <c r="BX239" s="589"/>
      <c r="BY239" s="589"/>
      <c r="BZ239" s="589"/>
      <c r="CA239" s="589"/>
      <c r="CB239" s="589"/>
      <c r="CC239" s="589"/>
      <c r="CD239" s="589"/>
      <c r="CE239" s="589"/>
      <c r="CF239" s="589"/>
      <c r="CG239" s="589"/>
      <c r="CH239" s="589"/>
      <c r="CI239" s="589"/>
      <c r="CJ239" s="589"/>
      <c r="CK239" s="589"/>
      <c r="CL239" s="589"/>
      <c r="CM239" s="589"/>
      <c r="CN239" s="589"/>
      <c r="CO239" s="589"/>
      <c r="CP239" s="589"/>
      <c r="CQ239" s="589"/>
      <c r="CR239" s="589"/>
      <c r="CS239" s="589"/>
      <c r="CT239" s="589"/>
      <c r="CU239" s="589"/>
      <c r="CV239" s="589"/>
      <c r="CW239" s="589"/>
      <c r="CX239" s="589"/>
      <c r="CY239" s="589"/>
      <c r="CZ239" s="589"/>
      <c r="DA239" s="589"/>
      <c r="DB239" s="589"/>
      <c r="DC239" s="589"/>
      <c r="DD239" s="589"/>
      <c r="DE239" s="589"/>
      <c r="DF239" s="589"/>
      <c r="DG239" s="589"/>
      <c r="DH239" s="589"/>
      <c r="DI239" s="589"/>
      <c r="DJ239" s="589"/>
      <c r="DK239" s="589"/>
      <c r="DL239" s="589"/>
      <c r="DM239" s="589"/>
      <c r="DN239" s="589"/>
      <c r="DO239" s="589"/>
      <c r="DP239" s="589"/>
      <c r="DQ239" s="589"/>
      <c r="DR239" s="589"/>
      <c r="DS239" s="589"/>
      <c r="DT239" s="589"/>
      <c r="DU239" s="589"/>
      <c r="DV239" s="589"/>
      <c r="DW239" s="589"/>
      <c r="DX239" s="589"/>
      <c r="DY239" s="589"/>
      <c r="DZ239" s="589"/>
      <c r="EA239" s="589"/>
      <c r="EB239" s="589"/>
      <c r="EC239" s="589"/>
      <c r="ED239" s="589"/>
      <c r="EE239" s="589"/>
      <c r="EF239" s="589"/>
      <c r="EG239" s="589"/>
      <c r="EH239" s="589"/>
      <c r="EI239" s="589"/>
      <c r="EJ239" s="589"/>
      <c r="EK239" s="589"/>
      <c r="EL239" s="589"/>
      <c r="EM239" s="589"/>
      <c r="EN239" s="589"/>
      <c r="EO239" s="589"/>
      <c r="EP239" s="589"/>
      <c r="EQ239" s="589"/>
      <c r="ER239" s="589"/>
      <c r="ES239" s="589"/>
      <c r="ET239" s="589"/>
      <c r="EU239" s="589"/>
      <c r="EV239" s="589"/>
      <c r="EW239" s="589"/>
      <c r="EX239" s="589"/>
      <c r="EY239" s="589"/>
      <c r="EZ239" s="589"/>
      <c r="FA239" s="589"/>
      <c r="FB239" s="589"/>
      <c r="FC239" s="589"/>
      <c r="FD239" s="589"/>
      <c r="FE239" s="589"/>
      <c r="FF239" s="589"/>
      <c r="FG239" s="589"/>
      <c r="FH239" s="589"/>
      <c r="FI239" s="589"/>
      <c r="FJ239" s="589"/>
      <c r="FK239" s="589"/>
      <c r="FL239" s="589"/>
      <c r="FM239" s="589"/>
      <c r="FN239" s="589"/>
      <c r="FO239" s="589"/>
      <c r="FP239" s="589"/>
      <c r="FQ239" s="589"/>
      <c r="FR239" s="589"/>
      <c r="FS239" s="589"/>
      <c r="FT239" s="589"/>
      <c r="FU239" s="589"/>
      <c r="FV239" s="589"/>
      <c r="FW239" s="589"/>
      <c r="FX239" s="589"/>
      <c r="FY239" s="589"/>
      <c r="FZ239" s="589"/>
      <c r="GA239" s="589"/>
      <c r="GB239" s="589"/>
      <c r="GC239" s="589"/>
      <c r="GD239" s="589"/>
      <c r="GE239" s="589"/>
      <c r="GF239" s="589"/>
      <c r="GG239" s="589"/>
      <c r="GH239" s="589"/>
      <c r="GI239" s="589"/>
      <c r="GJ239" s="589"/>
      <c r="GK239" s="589"/>
      <c r="GL239" s="589"/>
      <c r="GM239" s="589"/>
      <c r="GN239" s="589"/>
      <c r="GO239" s="589"/>
      <c r="GP239" s="589"/>
      <c r="GQ239" s="589"/>
      <c r="GR239" s="589"/>
      <c r="GS239" s="589"/>
      <c r="GT239" s="589"/>
      <c r="GU239" s="589"/>
      <c r="GV239" s="589"/>
      <c r="GW239" s="589"/>
      <c r="GX239" s="589"/>
      <c r="GY239" s="589"/>
      <c r="GZ239" s="589"/>
      <c r="HA239" s="589"/>
      <c r="HB239" s="589"/>
      <c r="HC239" s="589"/>
      <c r="HD239" s="589"/>
      <c r="HE239" s="589"/>
      <c r="HF239" s="589"/>
      <c r="HG239" s="589"/>
      <c r="HH239" s="589"/>
      <c r="HI239" s="589"/>
      <c r="HJ239" s="589"/>
      <c r="HK239" s="589"/>
    </row>
    <row r="240" spans="1:219" s="590" customFormat="1" ht="21" thickTop="1">
      <c r="A240" s="618"/>
      <c r="B240" s="700" t="s">
        <v>1932</v>
      </c>
      <c r="C240" s="1271">
        <v>2022</v>
      </c>
      <c r="D240" s="1272"/>
      <c r="E240" s="1273"/>
      <c r="F240" s="1024" t="s">
        <v>1933</v>
      </c>
      <c r="G240" s="1025"/>
      <c r="H240" s="1026"/>
      <c r="I240" s="1024" t="s">
        <v>1934</v>
      </c>
      <c r="J240" s="1025"/>
      <c r="K240" s="1026"/>
      <c r="L240" s="1024" t="s">
        <v>1935</v>
      </c>
      <c r="M240" s="1025"/>
      <c r="N240" s="1026"/>
      <c r="O240" s="1024" t="s">
        <v>1936</v>
      </c>
      <c r="P240" s="1025"/>
      <c r="Q240" s="1026"/>
      <c r="R240" s="1024" t="s">
        <v>1937</v>
      </c>
      <c r="S240" s="1025"/>
      <c r="T240" s="1026"/>
      <c r="U240" s="1024" t="s">
        <v>1916</v>
      </c>
      <c r="V240" s="1025"/>
      <c r="W240" s="1026"/>
      <c r="X240" s="1024" t="s">
        <v>1938</v>
      </c>
      <c r="Y240" s="1025"/>
      <c r="Z240" s="1026"/>
      <c r="AA240" s="1024" t="s">
        <v>1939</v>
      </c>
      <c r="AB240" s="1025"/>
      <c r="AC240" s="1026"/>
      <c r="AD240" s="1024" t="s">
        <v>3</v>
      </c>
      <c r="AE240" s="1025"/>
      <c r="AF240" s="1026"/>
      <c r="AG240" s="1024" t="s">
        <v>1940</v>
      </c>
      <c r="AH240" s="1025"/>
      <c r="AI240" s="1026"/>
      <c r="AJ240" s="1024" t="s">
        <v>1941</v>
      </c>
      <c r="AK240" s="1025"/>
      <c r="AL240" s="1026"/>
      <c r="AM240" s="1024" t="s">
        <v>1942</v>
      </c>
      <c r="AN240" s="1025"/>
      <c r="AO240" s="1026"/>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+$C$238&amp;B241</f>
        <v>Carrosserie</v>
      </c>
      <c r="B241" s="710"/>
      <c r="C241" s="787" t="s">
        <v>156</v>
      </c>
      <c r="D241" s="745" t="s">
        <v>157</v>
      </c>
      <c r="E241" s="788" t="s">
        <v>85</v>
      </c>
      <c r="F241" s="787" t="s">
        <v>156</v>
      </c>
      <c r="G241" s="745" t="s">
        <v>157</v>
      </c>
      <c r="H241" s="788" t="s">
        <v>85</v>
      </c>
      <c r="I241" s="787" t="s">
        <v>156</v>
      </c>
      <c r="J241" s="745" t="s">
        <v>157</v>
      </c>
      <c r="K241" s="788" t="s">
        <v>85</v>
      </c>
      <c r="L241" s="787" t="s">
        <v>156</v>
      </c>
      <c r="M241" s="745" t="s">
        <v>157</v>
      </c>
      <c r="N241" s="788" t="s">
        <v>85</v>
      </c>
      <c r="O241" s="787" t="s">
        <v>156</v>
      </c>
      <c r="P241" s="745" t="s">
        <v>157</v>
      </c>
      <c r="Q241" s="788" t="s">
        <v>85</v>
      </c>
      <c r="R241" s="787" t="s">
        <v>156</v>
      </c>
      <c r="S241" s="745" t="s">
        <v>157</v>
      </c>
      <c r="T241" s="788" t="s">
        <v>85</v>
      </c>
      <c r="U241" s="787" t="s">
        <v>156</v>
      </c>
      <c r="V241" s="745" t="s">
        <v>157</v>
      </c>
      <c r="W241" s="788" t="s">
        <v>85</v>
      </c>
      <c r="X241" s="787" t="s">
        <v>156</v>
      </c>
      <c r="Y241" s="745" t="s">
        <v>157</v>
      </c>
      <c r="Z241" s="788" t="s">
        <v>85</v>
      </c>
      <c r="AA241" s="787" t="s">
        <v>156</v>
      </c>
      <c r="AB241" s="745" t="s">
        <v>157</v>
      </c>
      <c r="AC241" s="788" t="s">
        <v>85</v>
      </c>
      <c r="AD241" s="787" t="s">
        <v>156</v>
      </c>
      <c r="AE241" s="745" t="s">
        <v>157</v>
      </c>
      <c r="AF241" s="788" t="s">
        <v>85</v>
      </c>
      <c r="AG241" s="787" t="s">
        <v>156</v>
      </c>
      <c r="AH241" s="745" t="s">
        <v>157</v>
      </c>
      <c r="AI241" s="788" t="s">
        <v>85</v>
      </c>
      <c r="AJ241" s="787" t="s">
        <v>156</v>
      </c>
      <c r="AK241" s="745" t="s">
        <v>157</v>
      </c>
      <c r="AL241" s="788" t="s">
        <v>85</v>
      </c>
      <c r="AM241" s="787" t="s">
        <v>156</v>
      </c>
      <c r="AN241" s="745" t="s">
        <v>157</v>
      </c>
      <c r="AO241" s="788" t="s">
        <v>85</v>
      </c>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ref="A242:A290" si="829">+$C$238&amp;B242</f>
        <v>Carrosserie</v>
      </c>
      <c r="B242" s="710"/>
      <c r="C242" s="787"/>
      <c r="D242" s="745"/>
      <c r="E242" s="788"/>
      <c r="F242" s="787"/>
      <c r="G242" s="745"/>
      <c r="H242" s="788"/>
      <c r="I242" s="787"/>
      <c r="J242" s="745"/>
      <c r="K242" s="788"/>
      <c r="L242" s="787"/>
      <c r="M242" s="745"/>
      <c r="N242" s="788"/>
      <c r="O242" s="787"/>
      <c r="P242" s="745"/>
      <c r="Q242" s="788"/>
      <c r="R242" s="787"/>
      <c r="S242" s="745"/>
      <c r="T242" s="788"/>
      <c r="U242" s="787"/>
      <c r="V242" s="745"/>
      <c r="W242" s="788"/>
      <c r="X242" s="787"/>
      <c r="Y242" s="745"/>
      <c r="Z242" s="788"/>
      <c r="AA242" s="787"/>
      <c r="AB242" s="745"/>
      <c r="AC242" s="788"/>
      <c r="AD242" s="787"/>
      <c r="AE242" s="745"/>
      <c r="AF242" s="788"/>
      <c r="AG242" s="787"/>
      <c r="AH242" s="745"/>
      <c r="AI242" s="788"/>
      <c r="AJ242" s="787"/>
      <c r="AK242" s="745"/>
      <c r="AL242" s="788"/>
      <c r="AM242" s="787"/>
      <c r="AN242" s="745"/>
      <c r="AO242" s="788"/>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829"/>
        <v>CarrosserieM/O Sous-traitement</v>
      </c>
      <c r="B243" s="710" t="s">
        <v>172</v>
      </c>
      <c r="C243" s="801">
        <f>+SUM(F243,I243,L243,O243,R243,U243,X243,AA243,AD243,AG243,AJ243,AM243)</f>
        <v>0</v>
      </c>
      <c r="D243" s="747">
        <f>+SUM(G243,J243,M243,P243,S243,V243,Y243,AB243,AE243,AH243,AK243,AN243)</f>
        <v>1029981.7688066938</v>
      </c>
      <c r="E243" s="733">
        <f>+SUM(H243,K243,N243,Q243,T243,W243,Z243,AC243,AF243,AI243,AL243,AO243)</f>
        <v>227832.94286844402</v>
      </c>
      <c r="F243" s="802">
        <v>0</v>
      </c>
      <c r="G243" s="803">
        <v>99111.473718427238</v>
      </c>
      <c r="H243" s="748">
        <v>21923.551865834706</v>
      </c>
      <c r="I243" s="802">
        <v>0</v>
      </c>
      <c r="J243" s="803">
        <v>76030.591193591084</v>
      </c>
      <c r="K243" s="748">
        <v>16818.038788912283</v>
      </c>
      <c r="L243" s="802">
        <v>0</v>
      </c>
      <c r="M243" s="803">
        <v>110772.07216326008</v>
      </c>
      <c r="N243" s="748">
        <v>24502.887286860077</v>
      </c>
      <c r="O243" s="802">
        <v>0</v>
      </c>
      <c r="P243" s="803">
        <v>97085.589741353921</v>
      </c>
      <c r="Q243" s="748">
        <v>21475.424411169763</v>
      </c>
      <c r="R243" s="802">
        <v>0</v>
      </c>
      <c r="S243" s="803">
        <v>81121.73058423333</v>
      </c>
      <c r="T243" s="748">
        <v>17944.203644497389</v>
      </c>
      <c r="U243" s="802">
        <v>0</v>
      </c>
      <c r="V243" s="803">
        <v>94914.02820660219</v>
      </c>
      <c r="W243" s="748">
        <v>20995.072942759201</v>
      </c>
      <c r="X243" s="802">
        <v>0</v>
      </c>
      <c r="Y243" s="803">
        <v>88708.721270915063</v>
      </c>
      <c r="Z243" s="748">
        <v>19622.453170860212</v>
      </c>
      <c r="AA243" s="802">
        <v>0</v>
      </c>
      <c r="AB243" s="803">
        <v>86179.026195946368</v>
      </c>
      <c r="AC243" s="748">
        <v>19062.882224126206</v>
      </c>
      <c r="AD243" s="802">
        <v>0</v>
      </c>
      <c r="AE243" s="803">
        <v>56735.103677574094</v>
      </c>
      <c r="AF243" s="748">
        <v>12549.858673502358</v>
      </c>
      <c r="AG243" s="802">
        <v>0</v>
      </c>
      <c r="AH243" s="803">
        <v>91369.623012276861</v>
      </c>
      <c r="AI243" s="748">
        <v>20211.047156480556</v>
      </c>
      <c r="AJ243" s="802">
        <v>0</v>
      </c>
      <c r="AK243" s="803">
        <v>94160.260111856085</v>
      </c>
      <c r="AL243" s="748">
        <v>20828.338726225145</v>
      </c>
      <c r="AM243" s="802">
        <v>0</v>
      </c>
      <c r="AN243" s="803">
        <v>53793.548930657504</v>
      </c>
      <c r="AO243" s="748">
        <v>11899.183977216129</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829"/>
        <v>Carrosserie% profit / ventes</v>
      </c>
      <c r="B244" s="710" t="s">
        <v>160</v>
      </c>
      <c r="C244" s="801"/>
      <c r="D244" s="732"/>
      <c r="E244" s="804">
        <f>IFERROR(E243/D243,0)</f>
        <v>0.22120094720939038</v>
      </c>
      <c r="F244" s="801"/>
      <c r="G244" s="732"/>
      <c r="H244" s="804">
        <f>IFERROR(H243/G243,0)</f>
        <v>0.22120094720939038</v>
      </c>
      <c r="I244" s="801"/>
      <c r="J244" s="732"/>
      <c r="K244" s="804">
        <f t="shared" ref="K244" si="830">IFERROR(K243/J243,0)</f>
        <v>0.22120094720939038</v>
      </c>
      <c r="L244" s="801"/>
      <c r="M244" s="732"/>
      <c r="N244" s="804">
        <f t="shared" ref="N244" si="831">IFERROR(N243/M243,0)</f>
        <v>0.2212009472093904</v>
      </c>
      <c r="O244" s="801"/>
      <c r="P244" s="732"/>
      <c r="Q244" s="804">
        <f t="shared" ref="Q244" si="832">IFERROR(Q243/P243,0)</f>
        <v>0.2212009472093904</v>
      </c>
      <c r="R244" s="801"/>
      <c r="S244" s="732"/>
      <c r="T244" s="804">
        <f t="shared" ref="T244" si="833">IFERROR(T243/S243,0)</f>
        <v>0.22120094720939043</v>
      </c>
      <c r="U244" s="801"/>
      <c r="V244" s="732"/>
      <c r="W244" s="804">
        <f t="shared" ref="W244" si="834">IFERROR(W243/V243,0)</f>
        <v>0.2212009472093904</v>
      </c>
      <c r="X244" s="801"/>
      <c r="Y244" s="732"/>
      <c r="Z244" s="804">
        <f t="shared" ref="Z244" si="835">IFERROR(Z243/Y243,0)</f>
        <v>0.22120094720939043</v>
      </c>
      <c r="AA244" s="801"/>
      <c r="AB244" s="732"/>
      <c r="AC244" s="804">
        <f t="shared" ref="AC244" si="836">IFERROR(AC243/AB243,0)</f>
        <v>0.2212009472093904</v>
      </c>
      <c r="AD244" s="801"/>
      <c r="AE244" s="732"/>
      <c r="AF244" s="804">
        <f t="shared" ref="AF244" si="837">IFERROR(AF243/AE243,0)</f>
        <v>0.2212009472093904</v>
      </c>
      <c r="AG244" s="801"/>
      <c r="AH244" s="732"/>
      <c r="AI244" s="804">
        <f t="shared" ref="AI244" si="838">IFERROR(AI243/AH243,0)</f>
        <v>0.2212009472093904</v>
      </c>
      <c r="AJ244" s="801"/>
      <c r="AK244" s="732"/>
      <c r="AL244" s="804">
        <f t="shared" ref="AL244" si="839">IFERROR(AL243/AK243,0)</f>
        <v>0.22120094720939038</v>
      </c>
      <c r="AM244" s="801"/>
      <c r="AN244" s="732"/>
      <c r="AO244" s="804">
        <f t="shared" ref="AO244" si="840">IFERROR(AO243/AN243,0)</f>
        <v>0.2212009472093904</v>
      </c>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829"/>
        <v>Carrosserie</v>
      </c>
      <c r="B245" s="710"/>
      <c r="C245" s="787"/>
      <c r="D245" s="745"/>
      <c r="E245" s="788"/>
      <c r="F245" s="787"/>
      <c r="G245" s="745"/>
      <c r="H245" s="788"/>
      <c r="I245" s="787"/>
      <c r="J245" s="745"/>
      <c r="K245" s="788"/>
      <c r="L245" s="787"/>
      <c r="M245" s="745"/>
      <c r="N245" s="788"/>
      <c r="O245" s="787"/>
      <c r="P245" s="745"/>
      <c r="Q245" s="788"/>
      <c r="R245" s="787"/>
      <c r="S245" s="745"/>
      <c r="T245" s="788"/>
      <c r="U245" s="787"/>
      <c r="V245" s="745"/>
      <c r="W245" s="788"/>
      <c r="X245" s="787"/>
      <c r="Y245" s="745"/>
      <c r="Z245" s="788"/>
      <c r="AA245" s="787"/>
      <c r="AB245" s="745"/>
      <c r="AC245" s="788"/>
      <c r="AD245" s="787"/>
      <c r="AE245" s="745"/>
      <c r="AF245" s="788"/>
      <c r="AG245" s="787"/>
      <c r="AH245" s="745"/>
      <c r="AI245" s="788"/>
      <c r="AJ245" s="787"/>
      <c r="AK245" s="745"/>
      <c r="AL245" s="788"/>
      <c r="AM245" s="787"/>
      <c r="AN245" s="745"/>
      <c r="AO245" s="788"/>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829"/>
        <v>CarrosserieM/O Carrosserie</v>
      </c>
      <c r="B246" s="701" t="s">
        <v>173</v>
      </c>
      <c r="C246" s="808">
        <f>+SUM(F246,I246,L246,O246,R246,U246,X246,AA246,AD246,AG246,AJ246,AM246)</f>
        <v>0</v>
      </c>
      <c r="D246" s="809">
        <f>+SUM(G246,J246,M246,P246,S246,V246,Y246,AB246,AE246,AH246,AK246,AN246)</f>
        <v>0</v>
      </c>
      <c r="E246" s="760">
        <f>+SUM(H246,K246,N246,Q246,T246,W246,Z246,AC246,AF246,AI246,AL246,AO246)</f>
        <v>0</v>
      </c>
      <c r="F246" s="810"/>
      <c r="G246" s="811"/>
      <c r="H246" s="761"/>
      <c r="I246" s="810"/>
      <c r="J246" s="811"/>
      <c r="K246" s="761"/>
      <c r="L246" s="810"/>
      <c r="M246" s="811"/>
      <c r="N246" s="761"/>
      <c r="O246" s="810"/>
      <c r="P246" s="811"/>
      <c r="Q246" s="761"/>
      <c r="R246" s="810"/>
      <c r="S246" s="811"/>
      <c r="T246" s="761"/>
      <c r="U246" s="810"/>
      <c r="V246" s="811"/>
      <c r="W246" s="761"/>
      <c r="X246" s="810"/>
      <c r="Y246" s="811"/>
      <c r="Z246" s="761"/>
      <c r="AA246" s="810"/>
      <c r="AB246" s="811"/>
      <c r="AC246" s="761"/>
      <c r="AD246" s="810"/>
      <c r="AE246" s="811"/>
      <c r="AF246" s="761"/>
      <c r="AG246" s="810"/>
      <c r="AH246" s="811"/>
      <c r="AI246" s="761"/>
      <c r="AJ246" s="810"/>
      <c r="AK246" s="811"/>
      <c r="AL246" s="761"/>
      <c r="AM246" s="810"/>
      <c r="AN246" s="811"/>
      <c r="AO246" s="761"/>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829"/>
        <v>Carrosserie% profit / ventes</v>
      </c>
      <c r="B247" s="710" t="s">
        <v>160</v>
      </c>
      <c r="C247" s="801"/>
      <c r="D247" s="732"/>
      <c r="E247" s="804">
        <f>IFERROR(E246/D246,0)</f>
        <v>0</v>
      </c>
      <c r="F247" s="801"/>
      <c r="G247" s="732"/>
      <c r="H247" s="804">
        <f>IFERROR(H246/G246,0)</f>
        <v>0</v>
      </c>
      <c r="I247" s="801"/>
      <c r="J247" s="732"/>
      <c r="K247" s="804">
        <f t="shared" ref="K247" si="841">IFERROR(K246/J246,0)</f>
        <v>0</v>
      </c>
      <c r="L247" s="801"/>
      <c r="M247" s="732"/>
      <c r="N247" s="804">
        <f t="shared" ref="N247" si="842">IFERROR(N246/M246,0)</f>
        <v>0</v>
      </c>
      <c r="O247" s="801"/>
      <c r="P247" s="732"/>
      <c r="Q247" s="804">
        <f t="shared" ref="Q247" si="843">IFERROR(Q246/P246,0)</f>
        <v>0</v>
      </c>
      <c r="R247" s="801"/>
      <c r="S247" s="732"/>
      <c r="T247" s="804">
        <f t="shared" ref="T247" si="844">IFERROR(T246/S246,0)</f>
        <v>0</v>
      </c>
      <c r="U247" s="801"/>
      <c r="V247" s="732"/>
      <c r="W247" s="804">
        <f t="shared" ref="W247" si="845">IFERROR(W246/V246,0)</f>
        <v>0</v>
      </c>
      <c r="X247" s="801"/>
      <c r="Y247" s="732"/>
      <c r="Z247" s="804">
        <f t="shared" ref="Z247" si="846">IFERROR(Z246/Y246,0)</f>
        <v>0</v>
      </c>
      <c r="AA247" s="801"/>
      <c r="AB247" s="732"/>
      <c r="AC247" s="804">
        <f t="shared" ref="AC247" si="847">IFERROR(AC246/AB246,0)</f>
        <v>0</v>
      </c>
      <c r="AD247" s="801"/>
      <c r="AE247" s="732"/>
      <c r="AF247" s="804">
        <f t="shared" ref="AF247" si="848">IFERROR(AF246/AE246,0)</f>
        <v>0</v>
      </c>
      <c r="AG247" s="801"/>
      <c r="AH247" s="732"/>
      <c r="AI247" s="804">
        <f t="shared" ref="AI247" si="849">IFERROR(AI246/AH246,0)</f>
        <v>0</v>
      </c>
      <c r="AJ247" s="801"/>
      <c r="AK247" s="732"/>
      <c r="AL247" s="804">
        <f t="shared" ref="AL247" si="850">IFERROR(AL246/AK246,0)</f>
        <v>0</v>
      </c>
      <c r="AM247" s="801"/>
      <c r="AN247" s="732"/>
      <c r="AO247" s="804">
        <f t="shared" ref="AO247" si="851">IFERROR(AO246/AN246,0)</f>
        <v>0</v>
      </c>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829"/>
        <v>Carrosserie</v>
      </c>
      <c r="B248" s="705"/>
      <c r="C248" s="805"/>
      <c r="D248" s="806"/>
      <c r="E248" s="807"/>
      <c r="F248" s="805"/>
      <c r="G248" s="806"/>
      <c r="H248" s="807"/>
      <c r="I248" s="805"/>
      <c r="J248" s="806"/>
      <c r="K248" s="807"/>
      <c r="L248" s="805"/>
      <c r="M248" s="806"/>
      <c r="N248" s="807"/>
      <c r="O248" s="805"/>
      <c r="P248" s="806"/>
      <c r="Q248" s="807"/>
      <c r="R248" s="805"/>
      <c r="S248" s="806"/>
      <c r="T248" s="807"/>
      <c r="U248" s="805"/>
      <c r="V248" s="806"/>
      <c r="W248" s="807"/>
      <c r="X248" s="805"/>
      <c r="Y248" s="806"/>
      <c r="Z248" s="807"/>
      <c r="AA248" s="805"/>
      <c r="AB248" s="806"/>
      <c r="AC248" s="807"/>
      <c r="AD248" s="805"/>
      <c r="AE248" s="806"/>
      <c r="AF248" s="807"/>
      <c r="AG248" s="805"/>
      <c r="AH248" s="806"/>
      <c r="AI248" s="807"/>
      <c r="AJ248" s="805"/>
      <c r="AK248" s="806"/>
      <c r="AL248" s="807"/>
      <c r="AM248" s="805"/>
      <c r="AN248" s="806"/>
      <c r="AO248" s="807"/>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829"/>
        <v>CarrosserieM/O Esthétique Carr.</v>
      </c>
      <c r="B249" s="701" t="s">
        <v>174</v>
      </c>
      <c r="C249" s="808">
        <f>+SUM(F249,I249,L249,O249,R249,U249,X249,AA249,AD249,AG249,AJ249,AM249)</f>
        <v>0</v>
      </c>
      <c r="D249" s="809">
        <f>+SUM(G249,J249,M249,P249,S249,V249,Y249,AB249,AE249,AH249,AK249,AN249)</f>
        <v>0</v>
      </c>
      <c r="E249" s="760">
        <f>+SUM(H249,K249,N249,Q249,T249,W249,Z249,AC249,AF249,AI249,AL249,AO249)</f>
        <v>0</v>
      </c>
      <c r="F249" s="810"/>
      <c r="G249" s="811"/>
      <c r="H249" s="761"/>
      <c r="I249" s="810"/>
      <c r="J249" s="811"/>
      <c r="K249" s="761"/>
      <c r="L249" s="810"/>
      <c r="M249" s="811"/>
      <c r="N249" s="761"/>
      <c r="O249" s="810"/>
      <c r="P249" s="811"/>
      <c r="Q249" s="761"/>
      <c r="R249" s="810"/>
      <c r="S249" s="811"/>
      <c r="T249" s="761"/>
      <c r="U249" s="810"/>
      <c r="V249" s="811"/>
      <c r="W249" s="761"/>
      <c r="X249" s="810"/>
      <c r="Y249" s="811"/>
      <c r="Z249" s="761"/>
      <c r="AA249" s="810"/>
      <c r="AB249" s="811"/>
      <c r="AC249" s="761"/>
      <c r="AD249" s="810"/>
      <c r="AE249" s="811"/>
      <c r="AF249" s="761"/>
      <c r="AG249" s="810"/>
      <c r="AH249" s="811"/>
      <c r="AI249" s="761"/>
      <c r="AJ249" s="810"/>
      <c r="AK249" s="811"/>
      <c r="AL249" s="761"/>
      <c r="AM249" s="810"/>
      <c r="AN249" s="811"/>
      <c r="AO249" s="761"/>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0.25">
      <c r="A250" s="618" t="str">
        <f t="shared" si="829"/>
        <v>Carrosserie% profit / ventes</v>
      </c>
      <c r="B250" s="710" t="s">
        <v>160</v>
      </c>
      <c r="C250" s="710"/>
      <c r="D250" s="732"/>
      <c r="E250" s="804">
        <f>IFERROR(E249/D249,0)</f>
        <v>0</v>
      </c>
      <c r="F250" s="710"/>
      <c r="G250" s="732"/>
      <c r="H250" s="804">
        <f>IFERROR(H249/G249,0)</f>
        <v>0</v>
      </c>
      <c r="I250" s="710"/>
      <c r="J250" s="732"/>
      <c r="K250" s="804">
        <f t="shared" ref="K250" si="852">IFERROR(K249/J249,0)</f>
        <v>0</v>
      </c>
      <c r="L250" s="710"/>
      <c r="M250" s="732"/>
      <c r="N250" s="804">
        <f t="shared" ref="N250" si="853">IFERROR(N249/M249,0)</f>
        <v>0</v>
      </c>
      <c r="O250" s="710"/>
      <c r="P250" s="732"/>
      <c r="Q250" s="804">
        <f t="shared" ref="Q250" si="854">IFERROR(Q249/P249,0)</f>
        <v>0</v>
      </c>
      <c r="R250" s="710"/>
      <c r="S250" s="732"/>
      <c r="T250" s="804">
        <f t="shared" ref="T250" si="855">IFERROR(T249/S249,0)</f>
        <v>0</v>
      </c>
      <c r="U250" s="710"/>
      <c r="V250" s="732"/>
      <c r="W250" s="804">
        <f t="shared" ref="W250" si="856">IFERROR(W249/V249,0)</f>
        <v>0</v>
      </c>
      <c r="X250" s="710"/>
      <c r="Y250" s="732"/>
      <c r="Z250" s="804">
        <f t="shared" ref="Z250" si="857">IFERROR(Z249/Y249,0)</f>
        <v>0</v>
      </c>
      <c r="AA250" s="710"/>
      <c r="AB250" s="732"/>
      <c r="AC250" s="804">
        <f t="shared" ref="AC250" si="858">IFERROR(AC249/AB249,0)</f>
        <v>0</v>
      </c>
      <c r="AD250" s="710"/>
      <c r="AE250" s="732"/>
      <c r="AF250" s="804">
        <f t="shared" ref="AF250" si="859">IFERROR(AF249/AE249,0)</f>
        <v>0</v>
      </c>
      <c r="AG250" s="710"/>
      <c r="AH250" s="732"/>
      <c r="AI250" s="804">
        <f t="shared" ref="AI250" si="860">IFERROR(AI249/AH249,0)</f>
        <v>0</v>
      </c>
      <c r="AJ250" s="710"/>
      <c r="AK250" s="732"/>
      <c r="AL250" s="804">
        <f t="shared" ref="AL250" si="861">IFERROR(AL249/AK249,0)</f>
        <v>0</v>
      </c>
      <c r="AM250" s="710"/>
      <c r="AN250" s="732"/>
      <c r="AO250" s="804">
        <f t="shared" ref="AO250" si="862">IFERROR(AO249/AN249,0)</f>
        <v>0</v>
      </c>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Bot="1">
      <c r="A251" s="618" t="str">
        <f t="shared" si="829"/>
        <v>Carrosserie</v>
      </c>
      <c r="B251" s="710"/>
      <c r="C251" s="710"/>
      <c r="D251" s="732"/>
      <c r="E251" s="804"/>
      <c r="F251" s="710"/>
      <c r="G251" s="732"/>
      <c r="H251" s="804"/>
      <c r="I251" s="710"/>
      <c r="J251" s="732"/>
      <c r="K251" s="804"/>
      <c r="L251" s="710"/>
      <c r="M251" s="732"/>
      <c r="N251" s="804"/>
      <c r="O251" s="710"/>
      <c r="P251" s="732"/>
      <c r="Q251" s="804"/>
      <c r="R251" s="710"/>
      <c r="S251" s="732"/>
      <c r="T251" s="804"/>
      <c r="U251" s="710"/>
      <c r="V251" s="732"/>
      <c r="W251" s="804"/>
      <c r="X251" s="710"/>
      <c r="Y251" s="732"/>
      <c r="Z251" s="804"/>
      <c r="AA251" s="710"/>
      <c r="AB251" s="732"/>
      <c r="AC251" s="804"/>
      <c r="AD251" s="710"/>
      <c r="AE251" s="732"/>
      <c r="AF251" s="804"/>
      <c r="AG251" s="710"/>
      <c r="AH251" s="732"/>
      <c r="AI251" s="804"/>
      <c r="AJ251" s="710"/>
      <c r="AK251" s="732"/>
      <c r="AL251" s="804"/>
      <c r="AM251" s="710"/>
      <c r="AN251" s="732"/>
      <c r="AO251" s="804"/>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Top="1">
      <c r="A252" s="618" t="str">
        <f t="shared" si="829"/>
        <v>CarrosserieTotal Mécanique</v>
      </c>
      <c r="B252" s="734" t="s">
        <v>169</v>
      </c>
      <c r="C252" s="735"/>
      <c r="D252" s="837">
        <f>D246+D249+D243</f>
        <v>1029981.7688066938</v>
      </c>
      <c r="E252" s="737">
        <f>E246+E249+E243</f>
        <v>227832.94286844402</v>
      </c>
      <c r="F252" s="735"/>
      <c r="G252" s="837">
        <f>G246+G249+G243</f>
        <v>99111.473718427238</v>
      </c>
      <c r="H252" s="737">
        <f>H246+H249+H243</f>
        <v>21923.551865834706</v>
      </c>
      <c r="I252" s="735"/>
      <c r="J252" s="837">
        <f t="shared" ref="J252:K252" si="863">J246+J249+J243</f>
        <v>76030.591193591084</v>
      </c>
      <c r="K252" s="737">
        <f t="shared" si="863"/>
        <v>16818.038788912283</v>
      </c>
      <c r="L252" s="735"/>
      <c r="M252" s="837">
        <f t="shared" ref="M252:N252" si="864">M246+M249+M243</f>
        <v>110772.07216326008</v>
      </c>
      <c r="N252" s="737">
        <f t="shared" si="864"/>
        <v>24502.887286860077</v>
      </c>
      <c r="O252" s="735"/>
      <c r="P252" s="837">
        <f t="shared" ref="P252:Q252" si="865">P246+P249+P243</f>
        <v>97085.589741353921</v>
      </c>
      <c r="Q252" s="737">
        <f t="shared" si="865"/>
        <v>21475.424411169763</v>
      </c>
      <c r="R252" s="735"/>
      <c r="S252" s="837">
        <f t="shared" ref="S252:T252" si="866">S246+S249+S243</f>
        <v>81121.73058423333</v>
      </c>
      <c r="T252" s="737">
        <f t="shared" si="866"/>
        <v>17944.203644497389</v>
      </c>
      <c r="U252" s="735"/>
      <c r="V252" s="837">
        <f t="shared" ref="V252:W252" si="867">V246+V249+V243</f>
        <v>94914.02820660219</v>
      </c>
      <c r="W252" s="737">
        <f t="shared" si="867"/>
        <v>20995.072942759201</v>
      </c>
      <c r="X252" s="735"/>
      <c r="Y252" s="837">
        <f t="shared" ref="Y252:Z252" si="868">Y246+Y249+Y243</f>
        <v>88708.721270915063</v>
      </c>
      <c r="Z252" s="737">
        <f t="shared" si="868"/>
        <v>19622.453170860212</v>
      </c>
      <c r="AA252" s="735"/>
      <c r="AB252" s="837">
        <f t="shared" ref="AB252:AC252" si="869">AB246+AB249+AB243</f>
        <v>86179.026195946368</v>
      </c>
      <c r="AC252" s="737">
        <f t="shared" si="869"/>
        <v>19062.882224126206</v>
      </c>
      <c r="AD252" s="735"/>
      <c r="AE252" s="837">
        <f t="shared" ref="AE252:AF252" si="870">AE246+AE249+AE243</f>
        <v>56735.103677574094</v>
      </c>
      <c r="AF252" s="737">
        <f t="shared" si="870"/>
        <v>12549.858673502358</v>
      </c>
      <c r="AG252" s="735"/>
      <c r="AH252" s="837">
        <f t="shared" ref="AH252:AI252" si="871">AH246+AH249+AH243</f>
        <v>91369.623012276861</v>
      </c>
      <c r="AI252" s="737">
        <f t="shared" si="871"/>
        <v>20211.047156480556</v>
      </c>
      <c r="AJ252" s="735"/>
      <c r="AK252" s="837">
        <f t="shared" ref="AK252:AL252" si="872">AK246+AK249+AK243</f>
        <v>94160.260111856085</v>
      </c>
      <c r="AL252" s="737">
        <f t="shared" si="872"/>
        <v>20828.338726225145</v>
      </c>
      <c r="AM252" s="735"/>
      <c r="AN252" s="837">
        <f t="shared" ref="AN252:AO252" si="873">AN246+AN249+AN243</f>
        <v>53793.548930657504</v>
      </c>
      <c r="AO252" s="737">
        <f t="shared" si="873"/>
        <v>11899.183977216129</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Bot="1">
      <c r="A253" s="618" t="str">
        <f t="shared" si="829"/>
        <v>Carrosserie</v>
      </c>
      <c r="B253" s="738"/>
      <c r="C253" s="738"/>
      <c r="D253" s="739"/>
      <c r="E253" s="838">
        <f>IFERROR(E252/D252,0)</f>
        <v>0.22120094720939038</v>
      </c>
      <c r="F253" s="738"/>
      <c r="G253" s="739"/>
      <c r="H253" s="838">
        <f>IFERROR(H252/G252,0)</f>
        <v>0.22120094720939038</v>
      </c>
      <c r="I253" s="738"/>
      <c r="J253" s="739"/>
      <c r="K253" s="838">
        <f t="shared" ref="K253" si="874">IFERROR(K252/J252,0)</f>
        <v>0.22120094720939038</v>
      </c>
      <c r="L253" s="738"/>
      <c r="M253" s="739"/>
      <c r="N253" s="838">
        <f t="shared" ref="N253" si="875">IFERROR(N252/M252,0)</f>
        <v>0.2212009472093904</v>
      </c>
      <c r="O253" s="738"/>
      <c r="P253" s="739"/>
      <c r="Q253" s="838">
        <f t="shared" ref="Q253" si="876">IFERROR(Q252/P252,0)</f>
        <v>0.2212009472093904</v>
      </c>
      <c r="R253" s="738"/>
      <c r="S253" s="739"/>
      <c r="T253" s="838">
        <f t="shared" ref="T253" si="877">IFERROR(T252/S252,0)</f>
        <v>0.22120094720939043</v>
      </c>
      <c r="U253" s="738"/>
      <c r="V253" s="739"/>
      <c r="W253" s="838">
        <f t="shared" ref="W253" si="878">IFERROR(W252/V252,0)</f>
        <v>0.2212009472093904</v>
      </c>
      <c r="X253" s="738"/>
      <c r="Y253" s="739"/>
      <c r="Z253" s="838">
        <f t="shared" ref="Z253" si="879">IFERROR(Z252/Y252,0)</f>
        <v>0.22120094720939043</v>
      </c>
      <c r="AA253" s="738"/>
      <c r="AB253" s="739"/>
      <c r="AC253" s="838">
        <f t="shared" ref="AC253" si="880">IFERROR(AC252/AB252,0)</f>
        <v>0.2212009472093904</v>
      </c>
      <c r="AD253" s="738"/>
      <c r="AE253" s="739"/>
      <c r="AF253" s="838">
        <f t="shared" ref="AF253" si="881">IFERROR(AF252/AE252,0)</f>
        <v>0.2212009472093904</v>
      </c>
      <c r="AG253" s="738"/>
      <c r="AH253" s="739"/>
      <c r="AI253" s="838">
        <f t="shared" ref="AI253" si="882">IFERROR(AI252/AH252,0)</f>
        <v>0.2212009472093904</v>
      </c>
      <c r="AJ253" s="738"/>
      <c r="AK253" s="739"/>
      <c r="AL253" s="838">
        <f t="shared" ref="AL253" si="883">IFERROR(AL252/AK252,0)</f>
        <v>0.22120094720939038</v>
      </c>
      <c r="AM253" s="738"/>
      <c r="AN253" s="739"/>
      <c r="AO253" s="838">
        <f t="shared" ref="AO253" si="884">IFERROR(AO252/AN252,0)</f>
        <v>0.2212009472093904</v>
      </c>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1" thickTop="1">
      <c r="A254" s="618" t="str">
        <f t="shared" si="829"/>
        <v>Carrosserie</v>
      </c>
      <c r="B254" s="710"/>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829"/>
        <v>CarrosserieDEPENSES</v>
      </c>
      <c r="B255" s="744" t="s">
        <v>102</v>
      </c>
      <c r="C255" s="710"/>
      <c r="D255" s="732"/>
      <c r="E255" s="720"/>
      <c r="F255" s="710"/>
      <c r="G255" s="732"/>
      <c r="H255" s="720"/>
      <c r="I255" s="710"/>
      <c r="J255" s="732"/>
      <c r="K255" s="720"/>
      <c r="L255" s="710"/>
      <c r="M255" s="732"/>
      <c r="N255" s="720"/>
      <c r="O255" s="710"/>
      <c r="P255" s="732"/>
      <c r="Q255" s="720"/>
      <c r="R255" s="710"/>
      <c r="S255" s="732"/>
      <c r="T255" s="720"/>
      <c r="U255" s="710"/>
      <c r="V255" s="732"/>
      <c r="W255" s="720"/>
      <c r="X255" s="710"/>
      <c r="Y255" s="732"/>
      <c r="Z255" s="720"/>
      <c r="AA255" s="710"/>
      <c r="AB255" s="732"/>
      <c r="AC255" s="720"/>
      <c r="AD255" s="710"/>
      <c r="AE255" s="732"/>
      <c r="AF255" s="720"/>
      <c r="AG255" s="710"/>
      <c r="AH255" s="732"/>
      <c r="AI255" s="720"/>
      <c r="AJ255" s="710"/>
      <c r="AK255" s="732"/>
      <c r="AL255" s="720"/>
      <c r="AM255" s="710"/>
      <c r="AN255" s="732"/>
      <c r="AO255" s="720"/>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829"/>
        <v>CarrosserieSalaires cadres</v>
      </c>
      <c r="B256" s="757" t="s">
        <v>112</v>
      </c>
      <c r="C256" s="710"/>
      <c r="D256" s="732"/>
      <c r="E256" s="733">
        <f t="shared" ref="E256:E267" si="885">+SUM(H256,K256,N256,Q256,T256,W256,Z256,AC256,AF256,AI256,AL256,AO256)</f>
        <v>3865.2249999999995</v>
      </c>
      <c r="F256" s="710"/>
      <c r="G256" s="732"/>
      <c r="H256" s="748">
        <v>310.99511494252874</v>
      </c>
      <c r="I256" s="710"/>
      <c r="J256" s="732"/>
      <c r="K256" s="748">
        <v>296.18582375478928</v>
      </c>
      <c r="L256" s="710"/>
      <c r="M256" s="732"/>
      <c r="N256" s="748">
        <v>340.61369731800767</v>
      </c>
      <c r="O256" s="710"/>
      <c r="P256" s="732"/>
      <c r="Q256" s="748">
        <v>310.99511494252874</v>
      </c>
      <c r="R256" s="710"/>
      <c r="S256" s="732"/>
      <c r="T256" s="748">
        <v>325.80440613026821</v>
      </c>
      <c r="U256" s="710"/>
      <c r="V256" s="732"/>
      <c r="W256" s="748">
        <v>325.80440613026821</v>
      </c>
      <c r="X256" s="710"/>
      <c r="Y256" s="732"/>
      <c r="Z256" s="748">
        <v>325.80440613026821</v>
      </c>
      <c r="AA256" s="710"/>
      <c r="AB256" s="732"/>
      <c r="AC256" s="748">
        <v>325.80440613026821</v>
      </c>
      <c r="AD256" s="710"/>
      <c r="AE256" s="732"/>
      <c r="AF256" s="748">
        <v>325.80440613026821</v>
      </c>
      <c r="AG256" s="710"/>
      <c r="AH256" s="732"/>
      <c r="AI256" s="748">
        <v>310.99511494252874</v>
      </c>
      <c r="AJ256" s="710"/>
      <c r="AK256" s="732"/>
      <c r="AL256" s="748">
        <v>325.80440613026821</v>
      </c>
      <c r="AM256" s="710"/>
      <c r="AN256" s="732"/>
      <c r="AO256" s="748">
        <v>340.61369731800767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829"/>
        <v>CarrosserieSalaires commis</v>
      </c>
      <c r="B257" s="758" t="s">
        <v>113</v>
      </c>
      <c r="C257" s="710"/>
      <c r="D257" s="732"/>
      <c r="E257" s="733">
        <f t="shared" si="885"/>
        <v>6475.3648985000018</v>
      </c>
      <c r="F257" s="710"/>
      <c r="G257" s="732"/>
      <c r="H257" s="748">
        <v>521.45033666091956</v>
      </c>
      <c r="I257" s="710"/>
      <c r="J257" s="732"/>
      <c r="K257" s="748">
        <v>497.23246348659006</v>
      </c>
      <c r="L257" s="710"/>
      <c r="M257" s="732"/>
      <c r="N257" s="748">
        <v>569.88608300957867</v>
      </c>
      <c r="O257" s="710"/>
      <c r="P257" s="732"/>
      <c r="Q257" s="748">
        <v>521.45033666091956</v>
      </c>
      <c r="R257" s="710"/>
      <c r="S257" s="732"/>
      <c r="T257" s="748">
        <v>545.66820983524906</v>
      </c>
      <c r="U257" s="710"/>
      <c r="V257" s="732"/>
      <c r="W257" s="748">
        <v>545.66820983524906</v>
      </c>
      <c r="X257" s="710"/>
      <c r="Y257" s="732"/>
      <c r="Z257" s="748">
        <v>545.66820983524906</v>
      </c>
      <c r="AA257" s="710"/>
      <c r="AB257" s="732"/>
      <c r="AC257" s="748">
        <v>545.66820983524906</v>
      </c>
      <c r="AD257" s="710"/>
      <c r="AE257" s="732"/>
      <c r="AF257" s="748">
        <v>545.66820983524906</v>
      </c>
      <c r="AG257" s="710"/>
      <c r="AH257" s="732"/>
      <c r="AI257" s="748">
        <v>521.45033666091956</v>
      </c>
      <c r="AJ257" s="710"/>
      <c r="AK257" s="732"/>
      <c r="AL257" s="748">
        <v>545.66820983524906</v>
      </c>
      <c r="AM257" s="710"/>
      <c r="AN257" s="732"/>
      <c r="AO257" s="748">
        <v>569.88608300957867</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829"/>
        <v>CarrosserieSalaires autres</v>
      </c>
      <c r="B258" s="757" t="s">
        <v>114</v>
      </c>
      <c r="C258" s="701"/>
      <c r="D258" s="759"/>
      <c r="E258" s="760">
        <f t="shared" si="885"/>
        <v>5574.9428439999983</v>
      </c>
      <c r="F258" s="701"/>
      <c r="G258" s="759"/>
      <c r="H258" s="761">
        <v>448.55861963218388</v>
      </c>
      <c r="I258" s="701"/>
      <c r="J258" s="759"/>
      <c r="K258" s="761">
        <v>427.19868536398474</v>
      </c>
      <c r="L258" s="701"/>
      <c r="M258" s="759"/>
      <c r="N258" s="761">
        <v>491.27848816858244</v>
      </c>
      <c r="O258" s="701"/>
      <c r="P258" s="759"/>
      <c r="Q258" s="761">
        <v>448.55861963218388</v>
      </c>
      <c r="R258" s="701"/>
      <c r="S258" s="759"/>
      <c r="T258" s="761">
        <v>469.91855390038313</v>
      </c>
      <c r="U258" s="701"/>
      <c r="V258" s="759"/>
      <c r="W258" s="761">
        <v>469.91855390038313</v>
      </c>
      <c r="X258" s="701"/>
      <c r="Y258" s="759"/>
      <c r="Z258" s="761">
        <v>469.91855390038313</v>
      </c>
      <c r="AA258" s="701"/>
      <c r="AB258" s="759"/>
      <c r="AC258" s="761">
        <v>469.91855390038313</v>
      </c>
      <c r="AD258" s="701"/>
      <c r="AE258" s="759"/>
      <c r="AF258" s="761">
        <v>469.91855390038313</v>
      </c>
      <c r="AG258" s="701"/>
      <c r="AH258" s="759"/>
      <c r="AI258" s="761">
        <v>448.55861963218388</v>
      </c>
      <c r="AJ258" s="701"/>
      <c r="AK258" s="759"/>
      <c r="AL258" s="761">
        <v>469.91855390038313</v>
      </c>
      <c r="AM258" s="701"/>
      <c r="AN258" s="759"/>
      <c r="AO258" s="761">
        <v>491.27848816858244</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 r="A259" s="618" t="str">
        <f t="shared" si="829"/>
        <v>CarrosserieSalaires spécialistes</v>
      </c>
      <c r="B259" s="757" t="s">
        <v>115</v>
      </c>
      <c r="C259" s="710"/>
      <c r="D259" s="732"/>
      <c r="E259" s="733">
        <f t="shared" si="885"/>
        <v>51000</v>
      </c>
      <c r="F259" s="710"/>
      <c r="G259" s="732"/>
      <c r="H259" s="748">
        <v>4120.6896551724139</v>
      </c>
      <c r="I259" s="710"/>
      <c r="J259" s="732"/>
      <c r="K259" s="748">
        <v>3948.2758620689656</v>
      </c>
      <c r="L259" s="710"/>
      <c r="M259" s="732"/>
      <c r="N259" s="748">
        <v>4465.5172413793107</v>
      </c>
      <c r="O259" s="710"/>
      <c r="P259" s="732"/>
      <c r="Q259" s="748">
        <v>4120.6896551724139</v>
      </c>
      <c r="R259" s="710"/>
      <c r="S259" s="732"/>
      <c r="T259" s="748">
        <v>4293.1034482758623</v>
      </c>
      <c r="U259" s="710"/>
      <c r="V259" s="732"/>
      <c r="W259" s="748">
        <v>4293.1034482758623</v>
      </c>
      <c r="X259" s="710"/>
      <c r="Y259" s="732"/>
      <c r="Z259" s="748">
        <v>4293.1034482758623</v>
      </c>
      <c r="AA259" s="710"/>
      <c r="AB259" s="732"/>
      <c r="AC259" s="748">
        <v>4293.1034482758623</v>
      </c>
      <c r="AD259" s="710"/>
      <c r="AE259" s="732"/>
      <c r="AF259" s="748">
        <v>4293.1034482758623</v>
      </c>
      <c r="AG259" s="710"/>
      <c r="AH259" s="732"/>
      <c r="AI259" s="748">
        <v>4120.6896551724139</v>
      </c>
      <c r="AJ259" s="710"/>
      <c r="AK259" s="732"/>
      <c r="AL259" s="748">
        <v>4293.1034482758623</v>
      </c>
      <c r="AM259" s="710"/>
      <c r="AN259" s="732"/>
      <c r="AO259" s="748">
        <v>4465.5172413793107</v>
      </c>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829"/>
        <v>Carrosserie[...]</v>
      </c>
      <c r="B260" s="710" t="s">
        <v>42</v>
      </c>
      <c r="C260" s="710"/>
      <c r="D260" s="732"/>
      <c r="E260" s="733">
        <f t="shared" si="885"/>
        <v>0</v>
      </c>
      <c r="F260" s="710"/>
      <c r="G260" s="732"/>
      <c r="H260" s="748">
        <v>0</v>
      </c>
      <c r="I260" s="710"/>
      <c r="J260" s="732"/>
      <c r="K260" s="748">
        <v>0</v>
      </c>
      <c r="L260" s="710"/>
      <c r="M260" s="732"/>
      <c r="N260" s="748">
        <v>0</v>
      </c>
      <c r="O260" s="710"/>
      <c r="P260" s="732"/>
      <c r="Q260" s="748">
        <v>0</v>
      </c>
      <c r="R260" s="710"/>
      <c r="S260" s="732"/>
      <c r="T260" s="748">
        <v>0</v>
      </c>
      <c r="U260" s="710"/>
      <c r="V260" s="732"/>
      <c r="W260" s="748">
        <v>0</v>
      </c>
      <c r="X260" s="710"/>
      <c r="Y260" s="732"/>
      <c r="Z260" s="748">
        <v>0</v>
      </c>
      <c r="AA260" s="710"/>
      <c r="AB260" s="732"/>
      <c r="AC260" s="748">
        <v>0</v>
      </c>
      <c r="AD260" s="710"/>
      <c r="AE260" s="732"/>
      <c r="AF260" s="748">
        <v>0</v>
      </c>
      <c r="AG260" s="710"/>
      <c r="AH260" s="732"/>
      <c r="AI260" s="748">
        <v>0</v>
      </c>
      <c r="AJ260" s="710"/>
      <c r="AK260" s="732"/>
      <c r="AL260" s="748">
        <v>0</v>
      </c>
      <c r="AM260" s="710"/>
      <c r="AN260" s="732"/>
      <c r="AO260" s="748">
        <v>0</v>
      </c>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829"/>
        <v>Carrosserie[...]</v>
      </c>
      <c r="B261" s="710" t="s">
        <v>42</v>
      </c>
      <c r="C261" s="710"/>
      <c r="D261" s="732"/>
      <c r="E261" s="733">
        <f t="shared" si="885"/>
        <v>0</v>
      </c>
      <c r="F261" s="710"/>
      <c r="G261" s="732"/>
      <c r="H261" s="748">
        <v>0</v>
      </c>
      <c r="I261" s="710"/>
      <c r="J261" s="732"/>
      <c r="K261" s="748">
        <v>0</v>
      </c>
      <c r="L261" s="710"/>
      <c r="M261" s="732"/>
      <c r="N261" s="748">
        <v>0</v>
      </c>
      <c r="O261" s="710"/>
      <c r="P261" s="732"/>
      <c r="Q261" s="748">
        <v>0</v>
      </c>
      <c r="R261" s="710"/>
      <c r="S261" s="732"/>
      <c r="T261" s="748">
        <v>0</v>
      </c>
      <c r="U261" s="710"/>
      <c r="V261" s="732"/>
      <c r="W261" s="748">
        <v>0</v>
      </c>
      <c r="X261" s="710"/>
      <c r="Y261" s="732"/>
      <c r="Z261" s="748">
        <v>0</v>
      </c>
      <c r="AA261" s="710"/>
      <c r="AB261" s="732"/>
      <c r="AC261" s="748">
        <v>0</v>
      </c>
      <c r="AD261" s="710"/>
      <c r="AE261" s="732"/>
      <c r="AF261" s="748">
        <v>0</v>
      </c>
      <c r="AG261" s="710"/>
      <c r="AH261" s="732"/>
      <c r="AI261" s="748">
        <v>0</v>
      </c>
      <c r="AJ261" s="710"/>
      <c r="AK261" s="732"/>
      <c r="AL261" s="748">
        <v>0</v>
      </c>
      <c r="AM261" s="710"/>
      <c r="AN261" s="732"/>
      <c r="AO261" s="748">
        <v>0</v>
      </c>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c r="GB261" s="591"/>
      <c r="GC261" s="591"/>
      <c r="GD261" s="591"/>
      <c r="GE261" s="591"/>
      <c r="GF261" s="591"/>
      <c r="GG261" s="591"/>
      <c r="GH261" s="591"/>
      <c r="GI261" s="591"/>
      <c r="GJ261" s="591"/>
      <c r="GK261" s="591"/>
      <c r="GL261" s="591"/>
      <c r="GM261" s="591"/>
      <c r="GN261" s="591"/>
      <c r="GO261" s="591"/>
      <c r="GP261" s="591"/>
      <c r="GQ261" s="591"/>
      <c r="GR261" s="591"/>
      <c r="GS261" s="591"/>
      <c r="GT261" s="591"/>
      <c r="GU261" s="591"/>
      <c r="GV261" s="591"/>
      <c r="GW261" s="591"/>
      <c r="GX261" s="591"/>
      <c r="GY261" s="591"/>
      <c r="GZ261" s="591"/>
      <c r="HA261" s="591"/>
      <c r="HB261" s="591"/>
      <c r="HC261" s="591"/>
      <c r="HD261" s="591"/>
      <c r="HE261" s="591"/>
      <c r="HF261" s="591"/>
      <c r="HG261" s="591"/>
      <c r="HH261" s="591"/>
      <c r="HI261" s="591"/>
      <c r="HJ261" s="591"/>
      <c r="HK261" s="591"/>
    </row>
    <row r="262" spans="1:219" s="590" customFormat="1" ht="20.25" customHeight="1">
      <c r="A262" s="618" t="str">
        <f t="shared" si="829"/>
        <v>Carrosserie[...]</v>
      </c>
      <c r="B262" s="710" t="s">
        <v>42</v>
      </c>
      <c r="C262" s="710"/>
      <c r="D262" s="732"/>
      <c r="E262" s="733">
        <f t="shared" si="885"/>
        <v>0</v>
      </c>
      <c r="F262" s="710"/>
      <c r="G262" s="732"/>
      <c r="H262" s="748">
        <v>0</v>
      </c>
      <c r="I262" s="710"/>
      <c r="J262" s="732"/>
      <c r="K262" s="748">
        <v>0</v>
      </c>
      <c r="L262" s="710"/>
      <c r="M262" s="732"/>
      <c r="N262" s="748">
        <v>0</v>
      </c>
      <c r="O262" s="710"/>
      <c r="P262" s="732"/>
      <c r="Q262" s="748">
        <v>0</v>
      </c>
      <c r="R262" s="710"/>
      <c r="S262" s="732"/>
      <c r="T262" s="748">
        <v>0</v>
      </c>
      <c r="U262" s="710"/>
      <c r="V262" s="732"/>
      <c r="W262" s="748">
        <v>0</v>
      </c>
      <c r="X262" s="710"/>
      <c r="Y262" s="732"/>
      <c r="Z262" s="748">
        <v>0</v>
      </c>
      <c r="AA262" s="710"/>
      <c r="AB262" s="732"/>
      <c r="AC262" s="748">
        <v>0</v>
      </c>
      <c r="AD262" s="710"/>
      <c r="AE262" s="732"/>
      <c r="AF262" s="748">
        <v>0</v>
      </c>
      <c r="AG262" s="710"/>
      <c r="AH262" s="732"/>
      <c r="AI262" s="748">
        <v>0</v>
      </c>
      <c r="AJ262" s="710"/>
      <c r="AK262" s="732"/>
      <c r="AL262" s="748">
        <v>0</v>
      </c>
      <c r="AM262" s="710"/>
      <c r="AN262" s="732"/>
      <c r="AO262" s="748">
        <v>0</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829"/>
        <v>CarrosserieSalaires en absences</v>
      </c>
      <c r="B263" s="758" t="s">
        <v>116</v>
      </c>
      <c r="C263" s="710"/>
      <c r="D263" s="732"/>
      <c r="E263" s="733">
        <f t="shared" si="885"/>
        <v>8146.6246858728327</v>
      </c>
      <c r="F263" s="710"/>
      <c r="G263" s="732"/>
      <c r="H263" s="748">
        <v>658.03102564768926</v>
      </c>
      <c r="I263" s="710"/>
      <c r="J263" s="732"/>
      <c r="K263" s="748">
        <v>630.22520585873804</v>
      </c>
      <c r="L263" s="710"/>
      <c r="M263" s="732"/>
      <c r="N263" s="748">
        <v>713.64266522559171</v>
      </c>
      <c r="O263" s="710"/>
      <c r="P263" s="732"/>
      <c r="Q263" s="748">
        <v>658.03102564768926</v>
      </c>
      <c r="R263" s="710"/>
      <c r="S263" s="732"/>
      <c r="T263" s="748">
        <v>685.83684543664049</v>
      </c>
      <c r="U263" s="710"/>
      <c r="V263" s="732"/>
      <c r="W263" s="748">
        <v>685.83684543664049</v>
      </c>
      <c r="X263" s="710"/>
      <c r="Y263" s="732"/>
      <c r="Z263" s="748">
        <v>685.83684543664049</v>
      </c>
      <c r="AA263" s="710"/>
      <c r="AB263" s="732"/>
      <c r="AC263" s="748">
        <v>685.83684543664049</v>
      </c>
      <c r="AD263" s="710"/>
      <c r="AE263" s="732"/>
      <c r="AF263" s="748">
        <v>685.83684543664049</v>
      </c>
      <c r="AG263" s="710"/>
      <c r="AH263" s="732"/>
      <c r="AI263" s="748">
        <v>658.03102564768926</v>
      </c>
      <c r="AJ263" s="710"/>
      <c r="AK263" s="732"/>
      <c r="AL263" s="748">
        <v>685.83684543664049</v>
      </c>
      <c r="AM263" s="710"/>
      <c r="AN263" s="732"/>
      <c r="AO263" s="748">
        <v>713.64266522559171</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829"/>
        <v>CarrosserieDéduction à la source</v>
      </c>
      <c r="B264" s="757" t="s">
        <v>117</v>
      </c>
      <c r="C264" s="701"/>
      <c r="D264" s="759"/>
      <c r="E264" s="760">
        <f t="shared" si="885"/>
        <v>7296.1374819030007</v>
      </c>
      <c r="F264" s="701"/>
      <c r="G264" s="759"/>
      <c r="H264" s="761">
        <v>589.33423541762068</v>
      </c>
      <c r="I264" s="701"/>
      <c r="J264" s="759"/>
      <c r="K264" s="761">
        <v>564.4312735407816</v>
      </c>
      <c r="L264" s="701"/>
      <c r="M264" s="759"/>
      <c r="N264" s="761">
        <v>639.14015917129882</v>
      </c>
      <c r="O264" s="701"/>
      <c r="P264" s="759"/>
      <c r="Q264" s="761">
        <v>589.33423541762068</v>
      </c>
      <c r="R264" s="701"/>
      <c r="S264" s="759"/>
      <c r="T264" s="761">
        <v>614.23719729445975</v>
      </c>
      <c r="U264" s="701"/>
      <c r="V264" s="759"/>
      <c r="W264" s="761">
        <v>614.23719729445975</v>
      </c>
      <c r="X264" s="701"/>
      <c r="Y264" s="759"/>
      <c r="Z264" s="761">
        <v>614.23719729445975</v>
      </c>
      <c r="AA264" s="701"/>
      <c r="AB264" s="759"/>
      <c r="AC264" s="761">
        <v>614.23719729445975</v>
      </c>
      <c r="AD264" s="701"/>
      <c r="AE264" s="759"/>
      <c r="AF264" s="761">
        <v>614.23719729445975</v>
      </c>
      <c r="AG264" s="701"/>
      <c r="AH264" s="759"/>
      <c r="AI264" s="761">
        <v>589.33423541762068</v>
      </c>
      <c r="AJ264" s="701"/>
      <c r="AK264" s="759"/>
      <c r="AL264" s="761">
        <v>614.23719729445975</v>
      </c>
      <c r="AM264" s="701"/>
      <c r="AN264" s="759"/>
      <c r="AO264" s="761">
        <v>639.14015917129882</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row>
    <row r="265" spans="1:219" s="590" customFormat="1" ht="20.25">
      <c r="A265" s="618" t="str">
        <f t="shared" si="829"/>
        <v>CarrosserieBénéfices marginaux</v>
      </c>
      <c r="B265" s="762" t="s">
        <v>118</v>
      </c>
      <c r="C265" s="710"/>
      <c r="D265" s="732"/>
      <c r="E265" s="733">
        <f t="shared" si="885"/>
        <v>5793.9915297464995</v>
      </c>
      <c r="F265" s="710"/>
      <c r="G265" s="732"/>
      <c r="H265" s="748">
        <v>468.00071636105173</v>
      </c>
      <c r="I265" s="710"/>
      <c r="J265" s="732"/>
      <c r="K265" s="748">
        <v>448.22483487062073</v>
      </c>
      <c r="L265" s="710"/>
      <c r="M265" s="732"/>
      <c r="N265" s="748">
        <v>507.55247934191385</v>
      </c>
      <c r="O265" s="710"/>
      <c r="P265" s="732"/>
      <c r="Q265" s="748">
        <v>468.00071636105173</v>
      </c>
      <c r="R265" s="710"/>
      <c r="S265" s="732"/>
      <c r="T265" s="748">
        <v>487.77659785148285</v>
      </c>
      <c r="U265" s="710"/>
      <c r="V265" s="732"/>
      <c r="W265" s="748">
        <v>487.77659785148285</v>
      </c>
      <c r="X265" s="710"/>
      <c r="Y265" s="732"/>
      <c r="Z265" s="748">
        <v>487.77659785148285</v>
      </c>
      <c r="AA265" s="710"/>
      <c r="AB265" s="732"/>
      <c r="AC265" s="748">
        <v>487.77659785148285</v>
      </c>
      <c r="AD265" s="710"/>
      <c r="AE265" s="732"/>
      <c r="AF265" s="748">
        <v>487.77659785148285</v>
      </c>
      <c r="AG265" s="710"/>
      <c r="AH265" s="732"/>
      <c r="AI265" s="748">
        <v>468.00071636105173</v>
      </c>
      <c r="AJ265" s="710"/>
      <c r="AK265" s="732"/>
      <c r="AL265" s="748">
        <v>487.77659785148285</v>
      </c>
      <c r="AM265" s="710"/>
      <c r="AN265" s="732"/>
      <c r="AO265" s="748">
        <v>507.55247934191385</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 r="A266" s="618" t="str">
        <f t="shared" si="829"/>
        <v>CarrosserieCsst</v>
      </c>
      <c r="B266" s="757" t="s">
        <v>119</v>
      </c>
      <c r="C266" s="710"/>
      <c r="D266" s="732"/>
      <c r="E266" s="733">
        <f t="shared" si="885"/>
        <v>2360.5150676745002</v>
      </c>
      <c r="F266" s="710"/>
      <c r="G266" s="732"/>
      <c r="H266" s="748">
        <v>190.66695851746553</v>
      </c>
      <c r="I266" s="710"/>
      <c r="J266" s="732"/>
      <c r="K266" s="748">
        <v>182.61011791025288</v>
      </c>
      <c r="L266" s="710"/>
      <c r="M266" s="732"/>
      <c r="N266" s="748">
        <v>206.78063973189083</v>
      </c>
      <c r="O266" s="710"/>
      <c r="P266" s="732"/>
      <c r="Q266" s="748">
        <v>190.66695851746553</v>
      </c>
      <c r="R266" s="710"/>
      <c r="S266" s="732"/>
      <c r="T266" s="748">
        <v>198.72379912467818</v>
      </c>
      <c r="U266" s="710"/>
      <c r="V266" s="732"/>
      <c r="W266" s="748">
        <v>198.72379912467818</v>
      </c>
      <c r="X266" s="710"/>
      <c r="Y266" s="732"/>
      <c r="Z266" s="748">
        <v>198.72379912467818</v>
      </c>
      <c r="AA266" s="710"/>
      <c r="AB266" s="732"/>
      <c r="AC266" s="748">
        <v>198.72379912467818</v>
      </c>
      <c r="AD266" s="710"/>
      <c r="AE266" s="732"/>
      <c r="AF266" s="748">
        <v>198.72379912467818</v>
      </c>
      <c r="AG266" s="710"/>
      <c r="AH266" s="732"/>
      <c r="AI266" s="748">
        <v>190.66695851746553</v>
      </c>
      <c r="AJ266" s="710"/>
      <c r="AK266" s="732"/>
      <c r="AL266" s="748">
        <v>198.72379912467818</v>
      </c>
      <c r="AM266" s="710"/>
      <c r="AN266" s="732"/>
      <c r="AO266" s="748">
        <v>206.78063973189083</v>
      </c>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ustomHeight="1">
      <c r="A267" s="618" t="str">
        <f t="shared" si="829"/>
        <v>Carrosserie[...]</v>
      </c>
      <c r="B267" s="710" t="s">
        <v>42</v>
      </c>
      <c r="C267" s="705"/>
      <c r="D267" s="763"/>
      <c r="E267" s="751">
        <f t="shared" si="885"/>
        <v>0</v>
      </c>
      <c r="F267" s="705"/>
      <c r="G267" s="763"/>
      <c r="H267" s="751"/>
      <c r="I267" s="705"/>
      <c r="J267" s="763"/>
      <c r="K267" s="751"/>
      <c r="L267" s="705"/>
      <c r="M267" s="763"/>
      <c r="N267" s="751"/>
      <c r="O267" s="705"/>
      <c r="P267" s="763"/>
      <c r="Q267" s="751"/>
      <c r="R267" s="705"/>
      <c r="S267" s="763"/>
      <c r="T267" s="751"/>
      <c r="U267" s="705"/>
      <c r="V267" s="763"/>
      <c r="W267" s="751"/>
      <c r="X267" s="705"/>
      <c r="Y267" s="763"/>
      <c r="Z267" s="751"/>
      <c r="AA267" s="705"/>
      <c r="AB267" s="763"/>
      <c r="AC267" s="751"/>
      <c r="AD267" s="705"/>
      <c r="AE267" s="763"/>
      <c r="AF267" s="751"/>
      <c r="AG267" s="705"/>
      <c r="AH267" s="763"/>
      <c r="AI267" s="751"/>
      <c r="AJ267" s="705"/>
      <c r="AK267" s="763"/>
      <c r="AL267" s="751"/>
      <c r="AM267" s="705"/>
      <c r="AN267" s="763"/>
      <c r="AO267" s="751"/>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829"/>
        <v>CarrosserieTOTAL PERSONNEL</v>
      </c>
      <c r="B268" s="753" t="s">
        <v>120</v>
      </c>
      <c r="C268" s="754" t="s">
        <v>111</v>
      </c>
      <c r="D268" s="755">
        <f>IFERROR(E268/E$246,0)</f>
        <v>0</v>
      </c>
      <c r="E268" s="756">
        <f>+SUM(E256:E267)</f>
        <v>90512.80150769683</v>
      </c>
      <c r="F268" s="754" t="s">
        <v>111</v>
      </c>
      <c r="G268" s="755">
        <f>IFERROR(H268/H$246,0)</f>
        <v>0</v>
      </c>
      <c r="H268" s="756">
        <f>+SUM(H256:H267)</f>
        <v>7307.7266623518735</v>
      </c>
      <c r="I268" s="754" t="s">
        <v>111</v>
      </c>
      <c r="J268" s="755">
        <f t="shared" ref="J268" si="886">IFERROR(K268/K$246,0)</f>
        <v>0</v>
      </c>
      <c r="K268" s="756">
        <f t="shared" ref="K268" si="887">+SUM(K256:K267)</f>
        <v>6994.3842668547222</v>
      </c>
      <c r="L268" s="754" t="s">
        <v>111</v>
      </c>
      <c r="M268" s="755">
        <f t="shared" ref="M268" si="888">IFERROR(N268/N$246,0)</f>
        <v>0</v>
      </c>
      <c r="N268" s="756">
        <f t="shared" ref="N268" si="889">+SUM(N256:N267)</f>
        <v>7934.4114533461743</v>
      </c>
      <c r="O268" s="754" t="s">
        <v>111</v>
      </c>
      <c r="P268" s="755">
        <f t="shared" ref="P268" si="890">IFERROR(Q268/Q$246,0)</f>
        <v>0</v>
      </c>
      <c r="Q268" s="756">
        <f t="shared" ref="Q268" si="891">+SUM(Q256:Q267)</f>
        <v>7307.7266623518735</v>
      </c>
      <c r="R268" s="754" t="s">
        <v>111</v>
      </c>
      <c r="S268" s="755">
        <f t="shared" ref="S268" si="892">IFERROR(T268/T$246,0)</f>
        <v>0</v>
      </c>
      <c r="T268" s="756">
        <f t="shared" ref="T268" si="893">+SUM(T256:T267)</f>
        <v>7621.0690578490239</v>
      </c>
      <c r="U268" s="754" t="s">
        <v>111</v>
      </c>
      <c r="V268" s="755">
        <f t="shared" ref="V268" si="894">IFERROR(W268/W$246,0)</f>
        <v>0</v>
      </c>
      <c r="W268" s="756">
        <f t="shared" ref="W268" si="895">+SUM(W256:W267)</f>
        <v>7621.0690578490239</v>
      </c>
      <c r="X268" s="754" t="s">
        <v>111</v>
      </c>
      <c r="Y268" s="755">
        <f t="shared" ref="Y268" si="896">IFERROR(Z268/Z$246,0)</f>
        <v>0</v>
      </c>
      <c r="Z268" s="756">
        <f t="shared" ref="Z268" si="897">+SUM(Z256:Z267)</f>
        <v>7621.0690578490239</v>
      </c>
      <c r="AA268" s="754" t="s">
        <v>111</v>
      </c>
      <c r="AB268" s="755">
        <f t="shared" ref="AB268" si="898">IFERROR(AC268/AC$246,0)</f>
        <v>0</v>
      </c>
      <c r="AC268" s="756">
        <f t="shared" ref="AC268" si="899">+SUM(AC256:AC267)</f>
        <v>7621.0690578490239</v>
      </c>
      <c r="AD268" s="754" t="s">
        <v>111</v>
      </c>
      <c r="AE268" s="755">
        <f t="shared" ref="AE268" si="900">IFERROR(AF268/AF$246,0)</f>
        <v>0</v>
      </c>
      <c r="AF268" s="756">
        <f t="shared" ref="AF268" si="901">+SUM(AF256:AF267)</f>
        <v>7621.0690578490239</v>
      </c>
      <c r="AG268" s="754" t="s">
        <v>111</v>
      </c>
      <c r="AH268" s="755">
        <f t="shared" ref="AH268" si="902">IFERROR(AI268/AI$246,0)</f>
        <v>0</v>
      </c>
      <c r="AI268" s="756">
        <f t="shared" ref="AI268" si="903">+SUM(AI256:AI267)</f>
        <v>7307.7266623518735</v>
      </c>
      <c r="AJ268" s="754" t="s">
        <v>111</v>
      </c>
      <c r="AK268" s="755">
        <f t="shared" ref="AK268" si="904">IFERROR(AL268/AL$246,0)</f>
        <v>0</v>
      </c>
      <c r="AL268" s="756">
        <f t="shared" ref="AL268" si="905">+SUM(AL256:AL267)</f>
        <v>7621.0690578490239</v>
      </c>
      <c r="AM268" s="754" t="s">
        <v>111</v>
      </c>
      <c r="AN268" s="755">
        <f t="shared" ref="AN268" si="906">IFERROR(AO268/AO$246,0)</f>
        <v>0</v>
      </c>
      <c r="AO268" s="756">
        <f t="shared" ref="AO268" si="907">+SUM(AO256:AO267)</f>
        <v>7934.4114533461743</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829"/>
        <v>CarrosseriePublicité 2</v>
      </c>
      <c r="B269" s="840" t="s">
        <v>121</v>
      </c>
      <c r="C269" s="710"/>
      <c r="D269" s="732"/>
      <c r="E269" s="733">
        <f t="shared" ref="E269:E286" si="908">+SUM(H269,K269,N269,Q269,T269,W269,Z269,AC269,AF269,AI269,AL269,AO269)</f>
        <v>0</v>
      </c>
      <c r="F269" s="710"/>
      <c r="G269" s="732"/>
      <c r="H269" s="748">
        <v>0</v>
      </c>
      <c r="I269" s="710"/>
      <c r="J269" s="732"/>
      <c r="K269" s="748">
        <v>0</v>
      </c>
      <c r="L269" s="710"/>
      <c r="M269" s="732"/>
      <c r="N269" s="748">
        <v>0</v>
      </c>
      <c r="O269" s="710"/>
      <c r="P269" s="732"/>
      <c r="Q269" s="748">
        <v>0</v>
      </c>
      <c r="R269" s="710"/>
      <c r="S269" s="732"/>
      <c r="T269" s="748">
        <v>0</v>
      </c>
      <c r="U269" s="710"/>
      <c r="V269" s="732"/>
      <c r="W269" s="748">
        <v>0</v>
      </c>
      <c r="X269" s="710"/>
      <c r="Y269" s="732"/>
      <c r="Z269" s="748">
        <v>0</v>
      </c>
      <c r="AA269" s="710"/>
      <c r="AB269" s="732"/>
      <c r="AC269" s="748">
        <v>0</v>
      </c>
      <c r="AD269" s="710"/>
      <c r="AE269" s="732"/>
      <c r="AF269" s="748">
        <v>0</v>
      </c>
      <c r="AG269" s="710"/>
      <c r="AH269" s="732"/>
      <c r="AI269" s="748">
        <v>0</v>
      </c>
      <c r="AJ269" s="710"/>
      <c r="AK269" s="732"/>
      <c r="AL269" s="748">
        <v>0</v>
      </c>
      <c r="AM269" s="710"/>
      <c r="AN269" s="732"/>
      <c r="AO269" s="748">
        <v>0</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829"/>
        <v>CarrosserieService gratuit 2</v>
      </c>
      <c r="B270" s="757" t="s">
        <v>122</v>
      </c>
      <c r="C270" s="710"/>
      <c r="D270" s="732"/>
      <c r="E270" s="733">
        <f t="shared" si="908"/>
        <v>3575.5536693383979</v>
      </c>
      <c r="F270" s="710"/>
      <c r="G270" s="732"/>
      <c r="H270" s="748">
        <v>344.06278272093203</v>
      </c>
      <c r="I270" s="710"/>
      <c r="J270" s="732"/>
      <c r="K270" s="748">
        <v>263.93812740896504</v>
      </c>
      <c r="L270" s="710"/>
      <c r="M270" s="732"/>
      <c r="N270" s="748">
        <v>384.54223276441002</v>
      </c>
      <c r="O270" s="710"/>
      <c r="P270" s="732"/>
      <c r="Q270" s="748">
        <v>337.02998164885997</v>
      </c>
      <c r="R270" s="710"/>
      <c r="S270" s="732"/>
      <c r="T270" s="748">
        <v>281.61187919819753</v>
      </c>
      <c r="U270" s="710"/>
      <c r="V270" s="732"/>
      <c r="W270" s="748">
        <v>329.49146490135348</v>
      </c>
      <c r="X270" s="710"/>
      <c r="Y270" s="732"/>
      <c r="Z270" s="748">
        <v>307.94991081251476</v>
      </c>
      <c r="AA270" s="710"/>
      <c r="AB270" s="732"/>
      <c r="AC270" s="748">
        <v>299.16814323026824</v>
      </c>
      <c r="AD270" s="710"/>
      <c r="AE270" s="732"/>
      <c r="AF270" s="748">
        <v>196.95436781339478</v>
      </c>
      <c r="AG270" s="710"/>
      <c r="AH270" s="732"/>
      <c r="AI270" s="748">
        <v>317.18715876506633</v>
      </c>
      <c r="AJ270" s="710"/>
      <c r="AK270" s="732"/>
      <c r="AL270" s="748">
        <v>326.87477948164729</v>
      </c>
      <c r="AM270" s="710"/>
      <c r="AN270" s="732"/>
      <c r="AO270" s="748">
        <v>186.74284059278884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829"/>
        <v>CarrosserieFrais véhicules de cie</v>
      </c>
      <c r="B271" s="758" t="s">
        <v>123</v>
      </c>
      <c r="C271" s="705"/>
      <c r="D271" s="763"/>
      <c r="E271" s="751">
        <f t="shared" si="908"/>
        <v>4559.28</v>
      </c>
      <c r="F271" s="705"/>
      <c r="G271" s="763"/>
      <c r="H271" s="752">
        <v>379.94</v>
      </c>
      <c r="I271" s="705"/>
      <c r="J271" s="763"/>
      <c r="K271" s="752">
        <v>379.94</v>
      </c>
      <c r="L271" s="705"/>
      <c r="M271" s="763"/>
      <c r="N271" s="752">
        <v>379.94</v>
      </c>
      <c r="O271" s="705"/>
      <c r="P271" s="763"/>
      <c r="Q271" s="752">
        <v>379.94</v>
      </c>
      <c r="R271" s="705"/>
      <c r="S271" s="763"/>
      <c r="T271" s="752">
        <v>379.94</v>
      </c>
      <c r="U271" s="705"/>
      <c r="V271" s="763"/>
      <c r="W271" s="752">
        <v>379.94</v>
      </c>
      <c r="X271" s="705"/>
      <c r="Y271" s="763"/>
      <c r="Z271" s="752">
        <v>379.94</v>
      </c>
      <c r="AA271" s="705"/>
      <c r="AB271" s="763"/>
      <c r="AC271" s="752">
        <v>379.94</v>
      </c>
      <c r="AD271" s="705"/>
      <c r="AE271" s="763"/>
      <c r="AF271" s="752">
        <v>379.94</v>
      </c>
      <c r="AG271" s="705"/>
      <c r="AH271" s="763"/>
      <c r="AI271" s="752">
        <v>379.94</v>
      </c>
      <c r="AJ271" s="705"/>
      <c r="AK271" s="763"/>
      <c r="AL271" s="752">
        <v>379.94</v>
      </c>
      <c r="AM271" s="705"/>
      <c r="AN271" s="763"/>
      <c r="AO271" s="752">
        <v>379.94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829"/>
        <v>CarrosserieInformatique</v>
      </c>
      <c r="B272" s="757" t="s">
        <v>124</v>
      </c>
      <c r="C272" s="710"/>
      <c r="D272" s="732"/>
      <c r="E272" s="733">
        <f t="shared" si="908"/>
        <v>15761.038369999997</v>
      </c>
      <c r="F272" s="710"/>
      <c r="G272" s="732"/>
      <c r="H272" s="748">
        <v>1313.4198641666667</v>
      </c>
      <c r="I272" s="710"/>
      <c r="J272" s="732"/>
      <c r="K272" s="748">
        <v>1313.4198641666667</v>
      </c>
      <c r="L272" s="710"/>
      <c r="M272" s="732"/>
      <c r="N272" s="748">
        <v>1313.4198641666667</v>
      </c>
      <c r="O272" s="710"/>
      <c r="P272" s="732"/>
      <c r="Q272" s="748">
        <v>1313.4198641666667</v>
      </c>
      <c r="R272" s="710"/>
      <c r="S272" s="732"/>
      <c r="T272" s="748">
        <v>1313.4198641666667</v>
      </c>
      <c r="U272" s="710"/>
      <c r="V272" s="732"/>
      <c r="W272" s="748">
        <v>1313.4198641666667</v>
      </c>
      <c r="X272" s="710"/>
      <c r="Y272" s="732"/>
      <c r="Z272" s="748">
        <v>1313.4198641666667</v>
      </c>
      <c r="AA272" s="710"/>
      <c r="AB272" s="732"/>
      <c r="AC272" s="748">
        <v>1313.4198641666667</v>
      </c>
      <c r="AD272" s="710"/>
      <c r="AE272" s="732"/>
      <c r="AF272" s="748">
        <v>1313.4198641666667</v>
      </c>
      <c r="AG272" s="710"/>
      <c r="AH272" s="732"/>
      <c r="AI272" s="748">
        <v>1313.4198641666667</v>
      </c>
      <c r="AJ272" s="710"/>
      <c r="AK272" s="732"/>
      <c r="AL272" s="748">
        <v>1313.4198641666667</v>
      </c>
      <c r="AM272" s="710"/>
      <c r="AN272" s="732"/>
      <c r="AO272" s="748">
        <v>1313.4198641666667</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829"/>
        <v>CarrosserieFrais de déplacement</v>
      </c>
      <c r="B273" s="757" t="s">
        <v>125</v>
      </c>
      <c r="C273" s="710"/>
      <c r="D273" s="732"/>
      <c r="E273" s="733">
        <f t="shared" si="908"/>
        <v>2079.3722250000001</v>
      </c>
      <c r="F273" s="710"/>
      <c r="G273" s="732"/>
      <c r="H273" s="748">
        <v>173.28101875000004</v>
      </c>
      <c r="I273" s="710"/>
      <c r="J273" s="732"/>
      <c r="K273" s="748">
        <v>173.28101875000004</v>
      </c>
      <c r="L273" s="710"/>
      <c r="M273" s="732"/>
      <c r="N273" s="748">
        <v>173.28101875000004</v>
      </c>
      <c r="O273" s="710"/>
      <c r="P273" s="732"/>
      <c r="Q273" s="748">
        <v>173.28101875000004</v>
      </c>
      <c r="R273" s="710"/>
      <c r="S273" s="732"/>
      <c r="T273" s="748">
        <v>173.28101875000004</v>
      </c>
      <c r="U273" s="710"/>
      <c r="V273" s="732"/>
      <c r="W273" s="748">
        <v>173.28101875000004</v>
      </c>
      <c r="X273" s="710"/>
      <c r="Y273" s="732"/>
      <c r="Z273" s="748">
        <v>173.28101875000004</v>
      </c>
      <c r="AA273" s="710"/>
      <c r="AB273" s="732"/>
      <c r="AC273" s="748">
        <v>173.28101875000004</v>
      </c>
      <c r="AD273" s="710"/>
      <c r="AE273" s="732"/>
      <c r="AF273" s="748">
        <v>173.28101875000004</v>
      </c>
      <c r="AG273" s="710"/>
      <c r="AH273" s="732"/>
      <c r="AI273" s="748">
        <v>173.28101875000004</v>
      </c>
      <c r="AJ273" s="710"/>
      <c r="AK273" s="732"/>
      <c r="AL273" s="748">
        <v>173.28101875000004</v>
      </c>
      <c r="AM273" s="710"/>
      <c r="AN273" s="732"/>
      <c r="AO273" s="748">
        <v>173.28101875000004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829"/>
        <v>CarrosserieServices extérieurs</v>
      </c>
      <c r="B274" s="757" t="s">
        <v>126</v>
      </c>
      <c r="C274" s="705"/>
      <c r="D274" s="763"/>
      <c r="E274" s="751">
        <f t="shared" si="908"/>
        <v>10438.702166666668</v>
      </c>
      <c r="F274" s="705"/>
      <c r="G274" s="763"/>
      <c r="H274" s="752">
        <v>894.40788888888892</v>
      </c>
      <c r="I274" s="705"/>
      <c r="J274" s="763"/>
      <c r="K274" s="752">
        <v>927.89588888888898</v>
      </c>
      <c r="L274" s="705"/>
      <c r="M274" s="763"/>
      <c r="N274" s="752">
        <v>859.50378888888895</v>
      </c>
      <c r="O274" s="705"/>
      <c r="P274" s="763"/>
      <c r="Q274" s="752">
        <v>864.51018888888893</v>
      </c>
      <c r="R274" s="705"/>
      <c r="S274" s="763"/>
      <c r="T274" s="752">
        <v>840.81098888888891</v>
      </c>
      <c r="U274" s="705"/>
      <c r="V274" s="763"/>
      <c r="W274" s="752">
        <v>909.080588888889</v>
      </c>
      <c r="X274" s="705"/>
      <c r="Y274" s="763"/>
      <c r="Z274" s="752">
        <v>886.92558888888902</v>
      </c>
      <c r="AA274" s="705"/>
      <c r="AB274" s="763"/>
      <c r="AC274" s="752">
        <v>825.27868888888895</v>
      </c>
      <c r="AD274" s="705"/>
      <c r="AE274" s="763"/>
      <c r="AF274" s="752">
        <v>829.82308888888895</v>
      </c>
      <c r="AG274" s="705"/>
      <c r="AH274" s="763"/>
      <c r="AI274" s="752">
        <v>772.6470888888889</v>
      </c>
      <c r="AJ274" s="705"/>
      <c r="AK274" s="763"/>
      <c r="AL274" s="752">
        <v>963.47128888888892</v>
      </c>
      <c r="AM274" s="705"/>
      <c r="AN274" s="763"/>
      <c r="AO274" s="752">
        <v>864.34708888888895</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c r="B275" s="757"/>
      <c r="C275" s="710"/>
      <c r="D275" s="921"/>
      <c r="E275" s="733">
        <f t="shared" si="908"/>
        <v>0</v>
      </c>
      <c r="F275" s="710"/>
      <c r="G275" s="921"/>
      <c r="H275" s="748">
        <v>0</v>
      </c>
      <c r="I275" s="710"/>
      <c r="J275" s="921"/>
      <c r="K275" s="748">
        <v>0</v>
      </c>
      <c r="L275" s="710"/>
      <c r="M275" s="921"/>
      <c r="N275" s="748">
        <v>0</v>
      </c>
      <c r="O275" s="710"/>
      <c r="P275" s="921"/>
      <c r="Q275" s="748">
        <v>0</v>
      </c>
      <c r="R275" s="710"/>
      <c r="S275" s="921"/>
      <c r="T275" s="748">
        <v>0</v>
      </c>
      <c r="U275" s="710"/>
      <c r="V275" s="921"/>
      <c r="W275" s="748">
        <v>0</v>
      </c>
      <c r="X275" s="710"/>
      <c r="Y275" s="921"/>
      <c r="Z275" s="748">
        <v>0</v>
      </c>
      <c r="AA275" s="710"/>
      <c r="AB275" s="921"/>
      <c r="AC275" s="748">
        <v>0</v>
      </c>
      <c r="AD275" s="710"/>
      <c r="AE275" s="921"/>
      <c r="AF275" s="748">
        <v>0</v>
      </c>
      <c r="AG275" s="710"/>
      <c r="AH275" s="921"/>
      <c r="AI275" s="748">
        <v>0</v>
      </c>
      <c r="AJ275" s="710"/>
      <c r="AK275" s="921"/>
      <c r="AL275" s="748">
        <v>0</v>
      </c>
      <c r="AM275" s="710"/>
      <c r="AN275" s="921"/>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829"/>
        <v>CarrosserieFournitures autres</v>
      </c>
      <c r="B276" s="841" t="s">
        <v>127</v>
      </c>
      <c r="C276" s="710"/>
      <c r="D276" s="732"/>
      <c r="E276" s="733">
        <f t="shared" si="908"/>
        <v>989.00442577648357</v>
      </c>
      <c r="F276" s="710"/>
      <c r="G276" s="732"/>
      <c r="H276" s="748">
        <v>50.536579190711528</v>
      </c>
      <c r="I276" s="710"/>
      <c r="J276" s="732"/>
      <c r="K276" s="748">
        <v>52.169295627645639</v>
      </c>
      <c r="L276" s="710"/>
      <c r="M276" s="732"/>
      <c r="N276" s="748">
        <v>91.038462807095044</v>
      </c>
      <c r="O276" s="710"/>
      <c r="P276" s="732"/>
      <c r="Q276" s="748">
        <v>96.216577192736779</v>
      </c>
      <c r="R276" s="710"/>
      <c r="S276" s="732"/>
      <c r="T276" s="748">
        <v>107.68716037339154</v>
      </c>
      <c r="U276" s="710"/>
      <c r="V276" s="732"/>
      <c r="W276" s="748">
        <v>92.79037772039085</v>
      </c>
      <c r="X276" s="710"/>
      <c r="Y276" s="732"/>
      <c r="Z276" s="748">
        <v>99.362811590243282</v>
      </c>
      <c r="AA276" s="710"/>
      <c r="AB276" s="732"/>
      <c r="AC276" s="748">
        <v>94.464662279440972</v>
      </c>
      <c r="AD276" s="710"/>
      <c r="AE276" s="732"/>
      <c r="AF276" s="748">
        <v>81.641327736691551</v>
      </c>
      <c r="AG276" s="710"/>
      <c r="AH276" s="732"/>
      <c r="AI276" s="748">
        <v>89.804909921362054</v>
      </c>
      <c r="AJ276" s="710"/>
      <c r="AK276" s="732"/>
      <c r="AL276" s="748">
        <v>79.371050795832929</v>
      </c>
      <c r="AM276" s="710"/>
      <c r="AN276" s="732"/>
      <c r="AO276" s="748">
        <v>53.921210540941438</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c r="GB276" s="591"/>
      <c r="GC276" s="591"/>
      <c r="GD276" s="591"/>
      <c r="GE276" s="591"/>
      <c r="GF276" s="591"/>
      <c r="GG276" s="591"/>
      <c r="GH276" s="591"/>
      <c r="GI276" s="591"/>
      <c r="GJ276" s="591"/>
      <c r="GK276" s="591"/>
      <c r="GL276" s="591"/>
      <c r="GM276" s="591"/>
      <c r="GN276" s="591"/>
      <c r="GO276" s="591"/>
      <c r="GP276" s="591"/>
      <c r="GQ276" s="591"/>
      <c r="GR276" s="591"/>
      <c r="GS276" s="591"/>
      <c r="GT276" s="591"/>
      <c r="GU276" s="591"/>
      <c r="GV276" s="591"/>
      <c r="GW276" s="591"/>
      <c r="GX276" s="591"/>
      <c r="GY276" s="591"/>
      <c r="GZ276" s="591"/>
      <c r="HA276" s="591"/>
      <c r="HB276" s="591"/>
      <c r="HC276" s="591"/>
      <c r="HD276" s="591"/>
      <c r="HE276" s="591"/>
      <c r="HF276" s="591"/>
      <c r="HG276" s="591"/>
      <c r="HH276" s="591"/>
      <c r="HI276" s="591"/>
      <c r="HJ276" s="591"/>
      <c r="HK276" s="591"/>
    </row>
    <row r="277" spans="1:219" s="590" customFormat="1" ht="20.25">
      <c r="A277" s="618" t="str">
        <f t="shared" si="829"/>
        <v>CarrosserieUniformes</v>
      </c>
      <c r="B277" s="757" t="s">
        <v>128</v>
      </c>
      <c r="C277" s="710"/>
      <c r="D277" s="732"/>
      <c r="E277" s="733">
        <f t="shared" si="908"/>
        <v>525.530953125</v>
      </c>
      <c r="F277" s="710"/>
      <c r="G277" s="732"/>
      <c r="H277" s="748">
        <v>26.853809687373364</v>
      </c>
      <c r="I277" s="710"/>
      <c r="J277" s="732"/>
      <c r="K277" s="748">
        <v>27.721392281466581</v>
      </c>
      <c r="L277" s="710"/>
      <c r="M277" s="732"/>
      <c r="N277" s="748">
        <v>48.375445936437309</v>
      </c>
      <c r="O277" s="710"/>
      <c r="P277" s="732"/>
      <c r="Q277" s="748">
        <v>51.126959799825812</v>
      </c>
      <c r="R277" s="710"/>
      <c r="S277" s="732"/>
      <c r="T277" s="748">
        <v>57.222126165837054</v>
      </c>
      <c r="U277" s="710"/>
      <c r="V277" s="732"/>
      <c r="W277" s="748">
        <v>49.306367467405586</v>
      </c>
      <c r="X277" s="710"/>
      <c r="Y277" s="732"/>
      <c r="Z277" s="748">
        <v>52.798786051137185</v>
      </c>
      <c r="AA277" s="710"/>
      <c r="AB277" s="732"/>
      <c r="AC277" s="748">
        <v>50.196038268857535</v>
      </c>
      <c r="AD277" s="710"/>
      <c r="AE277" s="732"/>
      <c r="AF277" s="748">
        <v>43.382055389861925</v>
      </c>
      <c r="AG277" s="710"/>
      <c r="AH277" s="732"/>
      <c r="AI277" s="748">
        <v>47.719968360328004</v>
      </c>
      <c r="AJ277" s="710"/>
      <c r="AK277" s="732"/>
      <c r="AL277" s="748">
        <v>42.175689904034691</v>
      </c>
      <c r="AM277" s="710"/>
      <c r="AN277" s="732"/>
      <c r="AO277" s="748">
        <v>28.652313812434855</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c r="GB277" s="591"/>
      <c r="GC277" s="591"/>
      <c r="GD277" s="591"/>
      <c r="GE277" s="591"/>
      <c r="GF277" s="591"/>
      <c r="GG277" s="591"/>
      <c r="GH277" s="591"/>
      <c r="GI277" s="591"/>
      <c r="GJ277" s="591"/>
      <c r="GK277" s="591"/>
      <c r="GL277" s="591"/>
      <c r="GM277" s="591"/>
      <c r="GN277" s="591"/>
      <c r="GO277" s="591"/>
      <c r="GP277" s="591"/>
      <c r="GQ277" s="591"/>
      <c r="GR277" s="591"/>
      <c r="GS277" s="591"/>
      <c r="GT277" s="591"/>
      <c r="GU277" s="591"/>
      <c r="GV277" s="591"/>
      <c r="GW277" s="591"/>
      <c r="GX277" s="591"/>
      <c r="GY277" s="591"/>
      <c r="GZ277" s="591"/>
      <c r="HA277" s="591"/>
      <c r="HB277" s="591"/>
      <c r="HC277" s="591"/>
      <c r="HD277" s="591"/>
      <c r="HE277" s="591"/>
      <c r="HF277" s="591"/>
      <c r="HG277" s="591"/>
      <c r="HH277" s="591"/>
      <c r="HI277" s="591"/>
      <c r="HJ277" s="591"/>
      <c r="HK277" s="591"/>
    </row>
    <row r="278" spans="1:219" s="590" customFormat="1" ht="20.25">
      <c r="A278" s="618" t="str">
        <f t="shared" si="829"/>
        <v>CarrosseriePapeterie</v>
      </c>
      <c r="B278" s="757" t="s">
        <v>129</v>
      </c>
      <c r="C278" s="710"/>
      <c r="D278" s="732"/>
      <c r="E278" s="733">
        <f t="shared" si="908"/>
        <v>1713.7688399999997</v>
      </c>
      <c r="F278" s="710"/>
      <c r="G278" s="732"/>
      <c r="H278" s="748">
        <v>142.81407000000002</v>
      </c>
      <c r="I278" s="710"/>
      <c r="J278" s="732"/>
      <c r="K278" s="748">
        <v>142.81407000000002</v>
      </c>
      <c r="L278" s="710"/>
      <c r="M278" s="732"/>
      <c r="N278" s="748">
        <v>142.81407000000002</v>
      </c>
      <c r="O278" s="710"/>
      <c r="P278" s="732"/>
      <c r="Q278" s="748">
        <v>142.81407000000002</v>
      </c>
      <c r="R278" s="710"/>
      <c r="S278" s="732"/>
      <c r="T278" s="748">
        <v>142.81407000000002</v>
      </c>
      <c r="U278" s="710"/>
      <c r="V278" s="732"/>
      <c r="W278" s="748">
        <v>142.81407000000002</v>
      </c>
      <c r="X278" s="710"/>
      <c r="Y278" s="732"/>
      <c r="Z278" s="748">
        <v>142.81407000000002</v>
      </c>
      <c r="AA278" s="710"/>
      <c r="AB278" s="732"/>
      <c r="AC278" s="748">
        <v>142.81407000000002</v>
      </c>
      <c r="AD278" s="710"/>
      <c r="AE278" s="732"/>
      <c r="AF278" s="748">
        <v>142.81407000000002</v>
      </c>
      <c r="AG278" s="710"/>
      <c r="AH278" s="732"/>
      <c r="AI278" s="748">
        <v>142.81407000000002</v>
      </c>
      <c r="AJ278" s="710"/>
      <c r="AK278" s="732"/>
      <c r="AL278" s="748">
        <v>142.81407000000002</v>
      </c>
      <c r="AM278" s="710"/>
      <c r="AN278" s="732"/>
      <c r="AO278" s="748">
        <v>142.81407000000002</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829"/>
        <v>CarrosserieTéléphone</v>
      </c>
      <c r="B279" s="757" t="s">
        <v>130</v>
      </c>
      <c r="C279" s="710"/>
      <c r="D279" s="732"/>
      <c r="E279" s="733">
        <f t="shared" si="908"/>
        <v>791.34438250000005</v>
      </c>
      <c r="F279" s="710"/>
      <c r="G279" s="732"/>
      <c r="H279" s="748">
        <v>65.945365208333342</v>
      </c>
      <c r="I279" s="710"/>
      <c r="J279" s="732"/>
      <c r="K279" s="748">
        <v>65.945365208333342</v>
      </c>
      <c r="L279" s="710"/>
      <c r="M279" s="732"/>
      <c r="N279" s="748">
        <v>65.945365208333342</v>
      </c>
      <c r="O279" s="710"/>
      <c r="P279" s="732"/>
      <c r="Q279" s="748">
        <v>65.945365208333342</v>
      </c>
      <c r="R279" s="710"/>
      <c r="S279" s="732"/>
      <c r="T279" s="748">
        <v>65.945365208333342</v>
      </c>
      <c r="U279" s="710"/>
      <c r="V279" s="732"/>
      <c r="W279" s="748">
        <v>65.945365208333342</v>
      </c>
      <c r="X279" s="710"/>
      <c r="Y279" s="732"/>
      <c r="Z279" s="748">
        <v>65.945365208333342</v>
      </c>
      <c r="AA279" s="710"/>
      <c r="AB279" s="732"/>
      <c r="AC279" s="748">
        <v>65.945365208333342</v>
      </c>
      <c r="AD279" s="710"/>
      <c r="AE279" s="732"/>
      <c r="AF279" s="748">
        <v>65.945365208333342</v>
      </c>
      <c r="AG279" s="710"/>
      <c r="AH279" s="732"/>
      <c r="AI279" s="748">
        <v>65.945365208333342</v>
      </c>
      <c r="AJ279" s="710"/>
      <c r="AK279" s="732"/>
      <c r="AL279" s="748">
        <v>65.945365208333342</v>
      </c>
      <c r="AM279" s="710"/>
      <c r="AN279" s="732"/>
      <c r="AO279" s="748">
        <v>65.945365208333342</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829"/>
        <v>CarrosserieFrais postaux</v>
      </c>
      <c r="B280" s="757" t="s">
        <v>131</v>
      </c>
      <c r="C280" s="710"/>
      <c r="D280" s="732"/>
      <c r="E280" s="733">
        <f t="shared" si="908"/>
        <v>422.40731750000009</v>
      </c>
      <c r="F280" s="710"/>
      <c r="G280" s="732"/>
      <c r="H280" s="748">
        <v>35.200609791666665</v>
      </c>
      <c r="I280" s="710"/>
      <c r="J280" s="732"/>
      <c r="K280" s="748">
        <v>35.200609791666665</v>
      </c>
      <c r="L280" s="710"/>
      <c r="M280" s="732"/>
      <c r="N280" s="748">
        <v>35.200609791666665</v>
      </c>
      <c r="O280" s="710"/>
      <c r="P280" s="732"/>
      <c r="Q280" s="748">
        <v>35.200609791666665</v>
      </c>
      <c r="R280" s="710"/>
      <c r="S280" s="732"/>
      <c r="T280" s="748">
        <v>35.200609791666665</v>
      </c>
      <c r="U280" s="710"/>
      <c r="V280" s="732"/>
      <c r="W280" s="748">
        <v>35.200609791666665</v>
      </c>
      <c r="X280" s="710"/>
      <c r="Y280" s="732"/>
      <c r="Z280" s="748">
        <v>35.200609791666665</v>
      </c>
      <c r="AA280" s="710"/>
      <c r="AB280" s="732"/>
      <c r="AC280" s="748">
        <v>35.200609791666665</v>
      </c>
      <c r="AD280" s="710"/>
      <c r="AE280" s="732"/>
      <c r="AF280" s="748">
        <v>35.200609791666665</v>
      </c>
      <c r="AG280" s="710"/>
      <c r="AH280" s="732"/>
      <c r="AI280" s="748">
        <v>35.200609791666665</v>
      </c>
      <c r="AJ280" s="710"/>
      <c r="AK280" s="732"/>
      <c r="AL280" s="748">
        <v>35.200609791666665</v>
      </c>
      <c r="AM280" s="710"/>
      <c r="AN280" s="732"/>
      <c r="AO280" s="748">
        <v>35.200609791666665</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829"/>
        <v>CarrosserieDivers</v>
      </c>
      <c r="B281" s="757" t="s">
        <v>132</v>
      </c>
      <c r="C281" s="710"/>
      <c r="D281" s="732"/>
      <c r="E281" s="733">
        <f t="shared" si="908"/>
        <v>2037.6131825000002</v>
      </c>
      <c r="F281" s="710"/>
      <c r="G281" s="732"/>
      <c r="H281" s="748">
        <v>169.80109854166665</v>
      </c>
      <c r="I281" s="710"/>
      <c r="J281" s="732"/>
      <c r="K281" s="748">
        <v>169.80109854166665</v>
      </c>
      <c r="L281" s="710"/>
      <c r="M281" s="732"/>
      <c r="N281" s="748">
        <v>169.80109854166665</v>
      </c>
      <c r="O281" s="710"/>
      <c r="P281" s="732"/>
      <c r="Q281" s="748">
        <v>169.80109854166665</v>
      </c>
      <c r="R281" s="710"/>
      <c r="S281" s="732"/>
      <c r="T281" s="748">
        <v>169.80109854166665</v>
      </c>
      <c r="U281" s="710"/>
      <c r="V281" s="732"/>
      <c r="W281" s="748">
        <v>169.80109854166665</v>
      </c>
      <c r="X281" s="710"/>
      <c r="Y281" s="732"/>
      <c r="Z281" s="748">
        <v>169.80109854166665</v>
      </c>
      <c r="AA281" s="710"/>
      <c r="AB281" s="732"/>
      <c r="AC281" s="748">
        <v>169.80109854166665</v>
      </c>
      <c r="AD281" s="710"/>
      <c r="AE281" s="732"/>
      <c r="AF281" s="748">
        <v>169.80109854166665</v>
      </c>
      <c r="AG281" s="710"/>
      <c r="AH281" s="732"/>
      <c r="AI281" s="748">
        <v>169.80109854166665</v>
      </c>
      <c r="AJ281" s="710"/>
      <c r="AK281" s="732"/>
      <c r="AL281" s="748">
        <v>169.80109854166665</v>
      </c>
      <c r="AM281" s="710"/>
      <c r="AN281" s="732"/>
      <c r="AO281" s="748">
        <v>169.80109854166665</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 r="A282" s="618" t="str">
        <f t="shared" si="829"/>
        <v>CarrosserieFormation</v>
      </c>
      <c r="B282" s="757" t="s">
        <v>133</v>
      </c>
      <c r="C282" s="710"/>
      <c r="D282" s="732"/>
      <c r="E282" s="733">
        <f t="shared" si="908"/>
        <v>3027.297700000001</v>
      </c>
      <c r="F282" s="710"/>
      <c r="G282" s="732"/>
      <c r="H282" s="748">
        <v>252.27480833333334</v>
      </c>
      <c r="I282" s="710"/>
      <c r="J282" s="732"/>
      <c r="K282" s="748">
        <v>252.27480833333334</v>
      </c>
      <c r="L282" s="710"/>
      <c r="M282" s="732"/>
      <c r="N282" s="748">
        <v>252.27480833333334</v>
      </c>
      <c r="O282" s="710"/>
      <c r="P282" s="732"/>
      <c r="Q282" s="748">
        <v>252.27480833333334</v>
      </c>
      <c r="R282" s="710"/>
      <c r="S282" s="732"/>
      <c r="T282" s="748">
        <v>252.27480833333334</v>
      </c>
      <c r="U282" s="710"/>
      <c r="V282" s="732"/>
      <c r="W282" s="748">
        <v>252.27480833333334</v>
      </c>
      <c r="X282" s="710"/>
      <c r="Y282" s="732"/>
      <c r="Z282" s="748">
        <v>252.27480833333334</v>
      </c>
      <c r="AA282" s="710"/>
      <c r="AB282" s="732"/>
      <c r="AC282" s="748">
        <v>252.27480833333334</v>
      </c>
      <c r="AD282" s="710"/>
      <c r="AE282" s="732"/>
      <c r="AF282" s="748">
        <v>252.27480833333334</v>
      </c>
      <c r="AG282" s="710"/>
      <c r="AH282" s="732"/>
      <c r="AI282" s="748">
        <v>252.27480833333334</v>
      </c>
      <c r="AJ282" s="710"/>
      <c r="AK282" s="732"/>
      <c r="AL282" s="748">
        <v>252.27480833333334</v>
      </c>
      <c r="AM282" s="710"/>
      <c r="AN282" s="732"/>
      <c r="AO282" s="748">
        <v>252.27480833333334</v>
      </c>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row>
    <row r="283" spans="1:219" s="590" customFormat="1" ht="20.25">
      <c r="A283" s="618" t="str">
        <f t="shared" si="829"/>
        <v>CarrosserieFrais bancaires</v>
      </c>
      <c r="B283" s="757" t="s">
        <v>134</v>
      </c>
      <c r="C283" s="710"/>
      <c r="D283" s="732"/>
      <c r="E283" s="733">
        <f t="shared" si="908"/>
        <v>6118.2973507880934</v>
      </c>
      <c r="F283" s="710"/>
      <c r="G283" s="732"/>
      <c r="H283" s="748">
        <v>368.20815259510528</v>
      </c>
      <c r="I283" s="710"/>
      <c r="J283" s="732"/>
      <c r="K283" s="748">
        <v>313.34873588305703</v>
      </c>
      <c r="L283" s="710"/>
      <c r="M283" s="732"/>
      <c r="N283" s="748">
        <v>367.37459664349348</v>
      </c>
      <c r="O283" s="710"/>
      <c r="P283" s="732"/>
      <c r="Q283" s="748">
        <v>734.79209674633307</v>
      </c>
      <c r="R283" s="710"/>
      <c r="S283" s="732"/>
      <c r="T283" s="748">
        <v>670.86953283108267</v>
      </c>
      <c r="U283" s="710"/>
      <c r="V283" s="732"/>
      <c r="W283" s="748">
        <v>432.93096647348085</v>
      </c>
      <c r="X283" s="710"/>
      <c r="Y283" s="732"/>
      <c r="Z283" s="748">
        <v>406.3909405399944</v>
      </c>
      <c r="AA283" s="710"/>
      <c r="AB283" s="732"/>
      <c r="AC283" s="748">
        <v>451.09315488631586</v>
      </c>
      <c r="AD283" s="710"/>
      <c r="AE283" s="732"/>
      <c r="AF283" s="748">
        <v>334.10212201452521</v>
      </c>
      <c r="AG283" s="710"/>
      <c r="AH283" s="732"/>
      <c r="AI283" s="748">
        <v>653.3530266904711</v>
      </c>
      <c r="AJ283" s="710"/>
      <c r="AK283" s="732"/>
      <c r="AL283" s="748">
        <v>964.82930994751905</v>
      </c>
      <c r="AM283" s="710"/>
      <c r="AN283" s="732"/>
      <c r="AO283" s="748">
        <v>421.00471553671497</v>
      </c>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row>
    <row r="284" spans="1:219" s="590" customFormat="1" ht="20.25" customHeight="1">
      <c r="A284" s="618" t="str">
        <f t="shared" si="829"/>
        <v>Carrosserie[...]</v>
      </c>
      <c r="B284" s="757" t="s">
        <v>42</v>
      </c>
      <c r="C284" s="710"/>
      <c r="D284" s="732"/>
      <c r="E284" s="733">
        <f t="shared" si="908"/>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ustomHeight="1">
      <c r="A285" s="618" t="str">
        <f t="shared" si="829"/>
        <v>Carrosserie[...]</v>
      </c>
      <c r="B285" s="757" t="s">
        <v>42</v>
      </c>
      <c r="C285" s="710"/>
      <c r="D285" s="732"/>
      <c r="E285" s="733">
        <f t="shared" si="908"/>
        <v>0</v>
      </c>
      <c r="F285" s="710"/>
      <c r="G285" s="732"/>
      <c r="H285" s="733"/>
      <c r="I285" s="710"/>
      <c r="J285" s="732"/>
      <c r="K285" s="733"/>
      <c r="L285" s="710"/>
      <c r="M285" s="732"/>
      <c r="N285" s="733"/>
      <c r="O285" s="710"/>
      <c r="P285" s="732"/>
      <c r="Q285" s="733"/>
      <c r="R285" s="710"/>
      <c r="S285" s="732"/>
      <c r="T285" s="733"/>
      <c r="U285" s="710"/>
      <c r="V285" s="732"/>
      <c r="W285" s="733"/>
      <c r="X285" s="710"/>
      <c r="Y285" s="732"/>
      <c r="Z285" s="733"/>
      <c r="AA285" s="710"/>
      <c r="AB285" s="732"/>
      <c r="AC285" s="733"/>
      <c r="AD285" s="710"/>
      <c r="AE285" s="732"/>
      <c r="AF285" s="733"/>
      <c r="AG285" s="710"/>
      <c r="AH285" s="732"/>
      <c r="AI285" s="733"/>
      <c r="AJ285" s="710"/>
      <c r="AK285" s="732"/>
      <c r="AL285" s="733"/>
      <c r="AM285" s="710"/>
      <c r="AN285" s="732"/>
      <c r="AO285" s="733"/>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ustomHeight="1">
      <c r="A286" s="618" t="str">
        <f t="shared" si="829"/>
        <v>Carrosserie[...]</v>
      </c>
      <c r="B286" s="757" t="s">
        <v>42</v>
      </c>
      <c r="C286" s="710"/>
      <c r="D286" s="732"/>
      <c r="E286" s="733">
        <f t="shared" si="908"/>
        <v>0</v>
      </c>
      <c r="F286" s="710"/>
      <c r="G286" s="732"/>
      <c r="H286" s="733"/>
      <c r="I286" s="710"/>
      <c r="J286" s="732"/>
      <c r="K286" s="733"/>
      <c r="L286" s="710"/>
      <c r="M286" s="732"/>
      <c r="N286" s="733"/>
      <c r="O286" s="710"/>
      <c r="P286" s="732"/>
      <c r="Q286" s="733"/>
      <c r="R286" s="710"/>
      <c r="S286" s="732"/>
      <c r="T286" s="733"/>
      <c r="U286" s="710"/>
      <c r="V286" s="732"/>
      <c r="W286" s="733"/>
      <c r="X286" s="710"/>
      <c r="Y286" s="732"/>
      <c r="Z286" s="733"/>
      <c r="AA286" s="710"/>
      <c r="AB286" s="732"/>
      <c r="AC286" s="733"/>
      <c r="AD286" s="710"/>
      <c r="AE286" s="732"/>
      <c r="AF286" s="733"/>
      <c r="AG286" s="710"/>
      <c r="AH286" s="732"/>
      <c r="AI286" s="733"/>
      <c r="AJ286" s="710"/>
      <c r="AK286" s="732"/>
      <c r="AL286" s="733"/>
      <c r="AM286" s="710"/>
      <c r="AN286" s="732"/>
      <c r="AO286" s="733"/>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829"/>
        <v>CarrosserieTOTAL SEMI-FIXES</v>
      </c>
      <c r="B287" s="842" t="s">
        <v>135</v>
      </c>
      <c r="C287" s="771" t="s">
        <v>111</v>
      </c>
      <c r="D287" s="772">
        <f>IFERROR(E287/E$246,0)</f>
        <v>0</v>
      </c>
      <c r="E287" s="773">
        <f>+SUM(E269:E286)</f>
        <v>52039.210583194639</v>
      </c>
      <c r="F287" s="771" t="s">
        <v>111</v>
      </c>
      <c r="G287" s="772">
        <f>IFERROR(H287/H$246,0)</f>
        <v>0</v>
      </c>
      <c r="H287" s="773">
        <f>+SUM(H269:H286)</f>
        <v>4216.746047874678</v>
      </c>
      <c r="I287" s="771" t="s">
        <v>111</v>
      </c>
      <c r="J287" s="772">
        <f t="shared" ref="J287" si="909">IFERROR(K287/K$246,0)</f>
        <v>0</v>
      </c>
      <c r="K287" s="773">
        <f t="shared" ref="K287" si="910">+SUM(K269:K286)</f>
        <v>4117.7502748816896</v>
      </c>
      <c r="L287" s="771" t="s">
        <v>111</v>
      </c>
      <c r="M287" s="772">
        <f t="shared" ref="M287" si="911">IFERROR(N287/N$246,0)</f>
        <v>0</v>
      </c>
      <c r="N287" s="773">
        <f t="shared" ref="N287" si="912">+SUM(N269:N286)</f>
        <v>4283.511361831992</v>
      </c>
      <c r="O287" s="771" t="s">
        <v>111</v>
      </c>
      <c r="P287" s="772">
        <f t="shared" ref="P287" si="913">IFERROR(Q287/Q$246,0)</f>
        <v>0</v>
      </c>
      <c r="Q287" s="773">
        <f t="shared" ref="Q287" si="914">+SUM(Q269:Q286)</f>
        <v>4616.352639068311</v>
      </c>
      <c r="R287" s="771" t="s">
        <v>111</v>
      </c>
      <c r="S287" s="772">
        <f t="shared" ref="S287" si="915">IFERROR(T287/T$246,0)</f>
        <v>0</v>
      </c>
      <c r="T287" s="773">
        <f t="shared" ref="T287" si="916">+SUM(T269:T286)</f>
        <v>4490.8785222490642</v>
      </c>
      <c r="U287" s="771" t="s">
        <v>111</v>
      </c>
      <c r="V287" s="772">
        <f t="shared" ref="V287" si="917">IFERROR(W287/W$246,0)</f>
        <v>0</v>
      </c>
      <c r="W287" s="773">
        <f t="shared" ref="W287" si="918">+SUM(W269:W286)</f>
        <v>4346.2766002431863</v>
      </c>
      <c r="X287" s="771" t="s">
        <v>111</v>
      </c>
      <c r="Y287" s="772">
        <f t="shared" ref="Y287" si="919">IFERROR(Z287/Z$246,0)</f>
        <v>0</v>
      </c>
      <c r="Z287" s="773">
        <f t="shared" ref="Z287" si="920">+SUM(Z269:Z286)</f>
        <v>4286.1048726744457</v>
      </c>
      <c r="AA287" s="771" t="s">
        <v>111</v>
      </c>
      <c r="AB287" s="772">
        <f t="shared" ref="AB287" si="921">IFERROR(AC287/AC$246,0)</f>
        <v>0</v>
      </c>
      <c r="AC287" s="773">
        <f t="shared" ref="AC287" si="922">+SUM(AC269:AC286)</f>
        <v>4252.8775223454386</v>
      </c>
      <c r="AD287" s="771" t="s">
        <v>111</v>
      </c>
      <c r="AE287" s="772">
        <f t="shared" ref="AE287" si="923">IFERROR(AF287/AF$246,0)</f>
        <v>0</v>
      </c>
      <c r="AF287" s="773">
        <f t="shared" ref="AF287" si="924">+SUM(AF269:AF286)</f>
        <v>4018.5797966350287</v>
      </c>
      <c r="AG287" s="771" t="s">
        <v>111</v>
      </c>
      <c r="AH287" s="772">
        <f t="shared" ref="AH287" si="925">IFERROR(AI287/AI$246,0)</f>
        <v>0</v>
      </c>
      <c r="AI287" s="773">
        <f t="shared" ref="AI287" si="926">+SUM(AI269:AI286)</f>
        <v>4413.388987417783</v>
      </c>
      <c r="AJ287" s="771" t="s">
        <v>111</v>
      </c>
      <c r="AK287" s="772">
        <f t="shared" ref="AK287" si="927">IFERROR(AL287/AL$246,0)</f>
        <v>0</v>
      </c>
      <c r="AL287" s="773">
        <f t="shared" ref="AL287" si="928">+SUM(AL269:AL286)</f>
        <v>4909.3989538095902</v>
      </c>
      <c r="AM287" s="771" t="s">
        <v>111</v>
      </c>
      <c r="AN287" s="772">
        <f t="shared" ref="AN287" si="929">IFERROR(AO287/AO$246,0)</f>
        <v>0</v>
      </c>
      <c r="AO287" s="773">
        <f t="shared" ref="AO287" si="930">+SUM(AO269:AO286)</f>
        <v>4087.3450041634364</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829"/>
        <v>Carrosserie</v>
      </c>
      <c r="B288" s="705"/>
      <c r="C288" s="705"/>
      <c r="D288" s="763"/>
      <c r="E288" s="751"/>
      <c r="F288" s="705"/>
      <c r="G288" s="763"/>
      <c r="H288" s="751"/>
      <c r="I288" s="705"/>
      <c r="J288" s="763"/>
      <c r="K288" s="751"/>
      <c r="L288" s="705"/>
      <c r="M288" s="763"/>
      <c r="N288" s="751"/>
      <c r="O288" s="705"/>
      <c r="P288" s="763"/>
      <c r="Q288" s="751"/>
      <c r="R288" s="705"/>
      <c r="S288" s="763"/>
      <c r="T288" s="751"/>
      <c r="U288" s="705"/>
      <c r="V288" s="763"/>
      <c r="W288" s="751"/>
      <c r="X288" s="705"/>
      <c r="Y288" s="763"/>
      <c r="Z288" s="751"/>
      <c r="AA288" s="705"/>
      <c r="AB288" s="763"/>
      <c r="AC288" s="751"/>
      <c r="AD288" s="705"/>
      <c r="AE288" s="763"/>
      <c r="AF288" s="751"/>
      <c r="AG288" s="705"/>
      <c r="AH288" s="763"/>
      <c r="AI288" s="751"/>
      <c r="AJ288" s="705"/>
      <c r="AK288" s="763"/>
      <c r="AL288" s="751"/>
      <c r="AM288" s="705"/>
      <c r="AN288" s="763"/>
      <c r="AO288" s="751"/>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0.25">
      <c r="A289" s="618" t="str">
        <f t="shared" si="829"/>
        <v>CarrosserieTOTAL DES DÉPENSES</v>
      </c>
      <c r="B289" s="768" t="s">
        <v>136</v>
      </c>
      <c r="C289" s="754" t="s">
        <v>111</v>
      </c>
      <c r="D289" s="798">
        <f>IFERROR(E289/E$246,0)</f>
        <v>0</v>
      </c>
      <c r="E289" s="769">
        <f>E268+E287</f>
        <v>142552.01209089148</v>
      </c>
      <c r="F289" s="754" t="s">
        <v>111</v>
      </c>
      <c r="G289" s="798">
        <f>IFERROR(H289/H$246,0)</f>
        <v>0</v>
      </c>
      <c r="H289" s="769">
        <f>H268+H287</f>
        <v>11524.472710226551</v>
      </c>
      <c r="I289" s="754" t="s">
        <v>111</v>
      </c>
      <c r="J289" s="798">
        <f t="shared" ref="J289" si="931">IFERROR(K289/K$246,0)</f>
        <v>0</v>
      </c>
      <c r="K289" s="769">
        <f t="shared" ref="K289" si="932">K268+K287</f>
        <v>11112.134541736412</v>
      </c>
      <c r="L289" s="754" t="s">
        <v>111</v>
      </c>
      <c r="M289" s="798">
        <f t="shared" ref="M289" si="933">IFERROR(N289/N$246,0)</f>
        <v>0</v>
      </c>
      <c r="N289" s="769">
        <f t="shared" ref="N289" si="934">N268+N287</f>
        <v>12217.922815178166</v>
      </c>
      <c r="O289" s="754" t="s">
        <v>111</v>
      </c>
      <c r="P289" s="798">
        <f t="shared" ref="P289" si="935">IFERROR(Q289/Q$246,0)</f>
        <v>0</v>
      </c>
      <c r="Q289" s="769">
        <f t="shared" ref="Q289" si="936">Q268+Q287</f>
        <v>11924.079301420184</v>
      </c>
      <c r="R289" s="754" t="s">
        <v>111</v>
      </c>
      <c r="S289" s="798">
        <f t="shared" ref="S289" si="937">IFERROR(T289/T$246,0)</f>
        <v>0</v>
      </c>
      <c r="T289" s="769">
        <f t="shared" ref="T289" si="938">T268+T287</f>
        <v>12111.947580098087</v>
      </c>
      <c r="U289" s="754" t="s">
        <v>111</v>
      </c>
      <c r="V289" s="798">
        <f t="shared" ref="V289" si="939">IFERROR(W289/W$246,0)</f>
        <v>0</v>
      </c>
      <c r="W289" s="769">
        <f t="shared" ref="W289" si="940">W268+W287</f>
        <v>11967.34565809221</v>
      </c>
      <c r="X289" s="754" t="s">
        <v>111</v>
      </c>
      <c r="Y289" s="798">
        <f t="shared" ref="Y289" si="941">IFERROR(Z289/Z$246,0)</f>
        <v>0</v>
      </c>
      <c r="Z289" s="769">
        <f t="shared" ref="Z289" si="942">Z268+Z287</f>
        <v>11907.17393052347</v>
      </c>
      <c r="AA289" s="754" t="s">
        <v>111</v>
      </c>
      <c r="AB289" s="798">
        <f t="shared" ref="AB289" si="943">IFERROR(AC289/AC$246,0)</f>
        <v>0</v>
      </c>
      <c r="AC289" s="769">
        <f t="shared" ref="AC289" si="944">AC268+AC287</f>
        <v>11873.946580194463</v>
      </c>
      <c r="AD289" s="754" t="s">
        <v>111</v>
      </c>
      <c r="AE289" s="798">
        <f t="shared" ref="AE289" si="945">IFERROR(AF289/AF$246,0)</f>
        <v>0</v>
      </c>
      <c r="AF289" s="769">
        <f t="shared" ref="AF289" si="946">AF268+AF287</f>
        <v>11639.648854484052</v>
      </c>
      <c r="AG289" s="754" t="s">
        <v>111</v>
      </c>
      <c r="AH289" s="798">
        <f t="shared" ref="AH289" si="947">IFERROR(AI289/AI$246,0)</f>
        <v>0</v>
      </c>
      <c r="AI289" s="769">
        <f t="shared" ref="AI289" si="948">AI268+AI287</f>
        <v>11721.115649769657</v>
      </c>
      <c r="AJ289" s="754" t="s">
        <v>111</v>
      </c>
      <c r="AK289" s="798">
        <f t="shared" ref="AK289" si="949">IFERROR(AL289/AL$246,0)</f>
        <v>0</v>
      </c>
      <c r="AL289" s="769">
        <f t="shared" ref="AL289" si="950">AL268+AL287</f>
        <v>12530.468011658613</v>
      </c>
      <c r="AM289" s="754" t="s">
        <v>111</v>
      </c>
      <c r="AN289" s="798">
        <f t="shared" ref="AN289" si="951">IFERROR(AO289/AO$246,0)</f>
        <v>0</v>
      </c>
      <c r="AO289" s="769">
        <f t="shared" ref="AO289" si="952">AO268+AO287</f>
        <v>12021.756457509611</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t="str">
        <f t="shared" si="829"/>
        <v>Carrosserie</v>
      </c>
      <c r="B290" s="710"/>
      <c r="C290" s="710"/>
      <c r="D290" s="732"/>
      <c r="E290" s="733"/>
      <c r="F290" s="710"/>
      <c r="G290" s="732"/>
      <c r="H290" s="733"/>
      <c r="I290" s="710"/>
      <c r="J290" s="732"/>
      <c r="K290" s="733"/>
      <c r="L290" s="710"/>
      <c r="M290" s="732"/>
      <c r="N290" s="733"/>
      <c r="O290" s="710"/>
      <c r="P290" s="732"/>
      <c r="Q290" s="733"/>
      <c r="R290" s="710"/>
      <c r="S290" s="732"/>
      <c r="T290" s="733"/>
      <c r="U290" s="710"/>
      <c r="V290" s="732"/>
      <c r="W290" s="733"/>
      <c r="X290" s="710"/>
      <c r="Y290" s="732"/>
      <c r="Z290" s="733"/>
      <c r="AA290" s="710"/>
      <c r="AB290" s="732"/>
      <c r="AC290" s="733"/>
      <c r="AD290" s="710"/>
      <c r="AE290" s="732"/>
      <c r="AF290" s="733"/>
      <c r="AG290" s="710"/>
      <c r="AH290" s="732"/>
      <c r="AI290" s="733"/>
      <c r="AJ290" s="710"/>
      <c r="AK290" s="732"/>
      <c r="AL290" s="733"/>
      <c r="AM290" s="710"/>
      <c r="AN290" s="732"/>
      <c r="AO290" s="733"/>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c r="GB290" s="591"/>
      <c r="GC290" s="591"/>
      <c r="GD290" s="591"/>
      <c r="GE290" s="591"/>
      <c r="GF290" s="591"/>
      <c r="GG290" s="591"/>
      <c r="GH290" s="591"/>
      <c r="GI290" s="591"/>
      <c r="GJ290" s="591"/>
      <c r="GK290" s="591"/>
      <c r="GL290" s="591"/>
      <c r="GM290" s="591"/>
      <c r="GN290" s="591"/>
      <c r="GO290" s="591"/>
      <c r="GP290" s="591"/>
      <c r="GQ290" s="591"/>
      <c r="GR290" s="591"/>
      <c r="GS290" s="591"/>
      <c r="GT290" s="591"/>
      <c r="GU290" s="591"/>
      <c r="GV290" s="591"/>
      <c r="GW290" s="591"/>
      <c r="GX290" s="591"/>
      <c r="GY290" s="591"/>
      <c r="GZ290" s="591"/>
      <c r="HA290" s="591"/>
      <c r="HB290" s="591"/>
      <c r="HC290" s="591"/>
      <c r="HD290" s="591"/>
      <c r="HE290" s="591"/>
      <c r="HF290" s="591"/>
      <c r="HG290" s="591"/>
      <c r="HH290" s="591"/>
      <c r="HI290" s="591"/>
      <c r="HJ290" s="591"/>
      <c r="HK290" s="591"/>
    </row>
    <row r="291" spans="1:219" s="590" customFormat="1" ht="21" thickBot="1">
      <c r="A291" s="618" t="str">
        <f>+$C$238&amp;B291</f>
        <v>CarrosseriePROFIT DÉPARTEMENTAL</v>
      </c>
      <c r="B291" s="777" t="s">
        <v>143</v>
      </c>
      <c r="C291" s="777"/>
      <c r="D291" s="799"/>
      <c r="E291" s="780">
        <f>E252-E289</f>
        <v>85280.930777552538</v>
      </c>
      <c r="F291" s="777"/>
      <c r="G291" s="799"/>
      <c r="H291" s="780">
        <f>H252-H289</f>
        <v>10399.079155608155</v>
      </c>
      <c r="I291" s="777"/>
      <c r="J291" s="799"/>
      <c r="K291" s="780">
        <f t="shared" ref="K291" si="953">K252-K289</f>
        <v>5705.9042471758712</v>
      </c>
      <c r="L291" s="777"/>
      <c r="M291" s="799"/>
      <c r="N291" s="780">
        <f t="shared" ref="N291" si="954">N252-N289</f>
        <v>12284.964471681911</v>
      </c>
      <c r="O291" s="777"/>
      <c r="P291" s="799"/>
      <c r="Q291" s="780">
        <f t="shared" ref="Q291" si="955">Q252-Q289</f>
        <v>9551.3451097495781</v>
      </c>
      <c r="R291" s="777"/>
      <c r="S291" s="799"/>
      <c r="T291" s="780">
        <f t="shared" ref="T291" si="956">T252-T289</f>
        <v>5832.256064399302</v>
      </c>
      <c r="U291" s="777"/>
      <c r="V291" s="799"/>
      <c r="W291" s="780">
        <f t="shared" ref="W291" si="957">W252-W289</f>
        <v>9027.7272846669912</v>
      </c>
      <c r="X291" s="777"/>
      <c r="Y291" s="799"/>
      <c r="Z291" s="780">
        <f t="shared" ref="Z291" si="958">Z252-Z289</f>
        <v>7715.2792403367421</v>
      </c>
      <c r="AA291" s="777"/>
      <c r="AB291" s="799"/>
      <c r="AC291" s="780">
        <f t="shared" ref="AC291" si="959">AC252-AC289</f>
        <v>7188.9356439317435</v>
      </c>
      <c r="AD291" s="777"/>
      <c r="AE291" s="799"/>
      <c r="AF291" s="780">
        <f t="shared" ref="AF291" si="960">AF252-AF289</f>
        <v>910.20981901830601</v>
      </c>
      <c r="AG291" s="777"/>
      <c r="AH291" s="799"/>
      <c r="AI291" s="780">
        <f t="shared" ref="AI291" si="961">AI252-AI289</f>
        <v>8489.9315067108982</v>
      </c>
      <c r="AJ291" s="777"/>
      <c r="AK291" s="799"/>
      <c r="AL291" s="780">
        <f t="shared" ref="AL291" si="962">AL252-AL289</f>
        <v>8297.8707145665321</v>
      </c>
      <c r="AM291" s="777"/>
      <c r="AN291" s="799"/>
      <c r="AO291" s="780">
        <f t="shared" ref="AO291" si="963">AO252-AO289</f>
        <v>-122.57248029348193</v>
      </c>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c r="GB291" s="591"/>
      <c r="GC291" s="591"/>
      <c r="GD291" s="591"/>
      <c r="GE291" s="591"/>
      <c r="GF291" s="591"/>
      <c r="GG291" s="591"/>
      <c r="GH291" s="591"/>
      <c r="GI291" s="591"/>
      <c r="GJ291" s="591"/>
      <c r="GK291" s="591"/>
      <c r="GL291" s="591"/>
      <c r="GM291" s="591"/>
      <c r="GN291" s="591"/>
      <c r="GO291" s="591"/>
      <c r="GP291" s="591"/>
      <c r="GQ291" s="591"/>
      <c r="GR291" s="591"/>
      <c r="GS291" s="591"/>
      <c r="GT291" s="591"/>
      <c r="GU291" s="591"/>
      <c r="GV291" s="591"/>
      <c r="GW291" s="591"/>
      <c r="GX291" s="591"/>
      <c r="GY291" s="591"/>
      <c r="GZ291" s="591"/>
      <c r="HA291" s="591"/>
      <c r="HB291" s="591"/>
      <c r="HC291" s="591"/>
      <c r="HD291" s="591"/>
      <c r="HE291" s="591"/>
      <c r="HF291" s="591"/>
      <c r="HG291" s="591"/>
      <c r="HH291" s="591"/>
      <c r="HI291" s="591"/>
      <c r="HJ291" s="591"/>
      <c r="HK291" s="591"/>
    </row>
    <row r="292" spans="1:219" s="590" customFormat="1" ht="20.25">
      <c r="A292" s="618"/>
      <c r="B292" s="732"/>
      <c r="C292" s="732"/>
      <c r="D292" s="732"/>
      <c r="E292" s="747"/>
      <c r="F292" s="732"/>
      <c r="G292" s="732"/>
      <c r="H292" s="747"/>
      <c r="I292" s="732"/>
      <c r="J292" s="732"/>
      <c r="K292" s="747"/>
      <c r="L292" s="732"/>
      <c r="M292" s="732"/>
      <c r="N292" s="747"/>
      <c r="O292" s="732"/>
      <c r="P292" s="732"/>
      <c r="Q292" s="747"/>
      <c r="R292" s="732"/>
      <c r="S292" s="732"/>
      <c r="T292" s="747"/>
      <c r="U292" s="732"/>
      <c r="V292" s="732"/>
      <c r="W292" s="747"/>
      <c r="X292" s="732"/>
      <c r="Y292" s="732"/>
      <c r="Z292" s="747"/>
      <c r="AA292" s="732"/>
      <c r="AB292" s="732"/>
      <c r="AC292" s="747"/>
      <c r="AD292" s="732"/>
      <c r="AE292" s="732"/>
      <c r="AF292" s="747"/>
      <c r="AG292" s="732"/>
      <c r="AH292" s="732"/>
      <c r="AI292" s="747"/>
      <c r="AJ292" s="732"/>
      <c r="AK292" s="732"/>
      <c r="AL292" s="747"/>
      <c r="AM292" s="732"/>
      <c r="AN292" s="732"/>
      <c r="AO292" s="747"/>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35.25">
      <c r="A293" s="618"/>
      <c r="B293" s="784" t="str">
        <f>B4</f>
        <v xml:space="preserve">Budget 2022  </v>
      </c>
      <c r="C293" s="785" t="s">
        <v>175</v>
      </c>
      <c r="D293" s="785"/>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785"/>
      <c r="AD293" s="785"/>
      <c r="AE293" s="785"/>
      <c r="AF293" s="785"/>
      <c r="AG293" s="785"/>
      <c r="AH293" s="785"/>
      <c r="AI293" s="785"/>
      <c r="AJ293" s="785"/>
      <c r="AK293" s="785"/>
      <c r="AL293" s="785"/>
      <c r="AM293" s="785"/>
      <c r="AN293" s="785"/>
      <c r="AO293" s="785"/>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1" thickBot="1">
      <c r="A294" s="618"/>
      <c r="B294" s="786"/>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1" thickTop="1">
      <c r="A295" s="618"/>
      <c r="B295" s="700" t="s">
        <v>1932</v>
      </c>
      <c r="C295" s="1271">
        <v>2022</v>
      </c>
      <c r="D295" s="1272"/>
      <c r="E295" s="1273"/>
      <c r="F295" s="1024" t="s">
        <v>1933</v>
      </c>
      <c r="G295" s="1025"/>
      <c r="H295" s="1026"/>
      <c r="I295" s="1024" t="s">
        <v>1934</v>
      </c>
      <c r="J295" s="1025"/>
      <c r="K295" s="1026"/>
      <c r="L295" s="1024" t="s">
        <v>1935</v>
      </c>
      <c r="M295" s="1025"/>
      <c r="N295" s="1026"/>
      <c r="O295" s="1024" t="s">
        <v>1936</v>
      </c>
      <c r="P295" s="1025"/>
      <c r="Q295" s="1026"/>
      <c r="R295" s="1024" t="s">
        <v>1937</v>
      </c>
      <c r="S295" s="1025"/>
      <c r="T295" s="1026"/>
      <c r="U295" s="1024" t="s">
        <v>1916</v>
      </c>
      <c r="V295" s="1025"/>
      <c r="W295" s="1026"/>
      <c r="X295" s="1024" t="s">
        <v>1938</v>
      </c>
      <c r="Y295" s="1025"/>
      <c r="Z295" s="1026"/>
      <c r="AA295" s="1024" t="s">
        <v>1939</v>
      </c>
      <c r="AB295" s="1025"/>
      <c r="AC295" s="1026"/>
      <c r="AD295" s="1024" t="s">
        <v>3</v>
      </c>
      <c r="AE295" s="1025"/>
      <c r="AF295" s="1026"/>
      <c r="AG295" s="1024" t="s">
        <v>1940</v>
      </c>
      <c r="AH295" s="1025"/>
      <c r="AI295" s="1026"/>
      <c r="AJ295" s="1024" t="s">
        <v>1941</v>
      </c>
      <c r="AK295" s="1025"/>
      <c r="AL295" s="1026"/>
      <c r="AM295" s="1024" t="s">
        <v>1942</v>
      </c>
      <c r="AN295" s="1025"/>
      <c r="AO295" s="1026"/>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+$C$293&amp;B296</f>
        <v>Pièces</v>
      </c>
      <c r="B296" s="710"/>
      <c r="C296" s="787" t="s">
        <v>157</v>
      </c>
      <c r="D296" s="745" t="s">
        <v>176</v>
      </c>
      <c r="E296" s="788" t="s">
        <v>85</v>
      </c>
      <c r="F296" s="787" t="s">
        <v>157</v>
      </c>
      <c r="G296" s="745" t="s">
        <v>176</v>
      </c>
      <c r="H296" s="788" t="s">
        <v>85</v>
      </c>
      <c r="I296" s="787" t="s">
        <v>157</v>
      </c>
      <c r="J296" s="745" t="s">
        <v>176</v>
      </c>
      <c r="K296" s="788" t="s">
        <v>85</v>
      </c>
      <c r="L296" s="787" t="s">
        <v>157</v>
      </c>
      <c r="M296" s="745" t="s">
        <v>176</v>
      </c>
      <c r="N296" s="788" t="s">
        <v>85</v>
      </c>
      <c r="O296" s="787" t="s">
        <v>157</v>
      </c>
      <c r="P296" s="745" t="s">
        <v>176</v>
      </c>
      <c r="Q296" s="788" t="s">
        <v>85</v>
      </c>
      <c r="R296" s="787" t="s">
        <v>157</v>
      </c>
      <c r="S296" s="745" t="s">
        <v>176</v>
      </c>
      <c r="T296" s="788" t="s">
        <v>85</v>
      </c>
      <c r="U296" s="787" t="s">
        <v>157</v>
      </c>
      <c r="V296" s="745" t="s">
        <v>176</v>
      </c>
      <c r="W296" s="788" t="s">
        <v>85</v>
      </c>
      <c r="X296" s="787" t="s">
        <v>157</v>
      </c>
      <c r="Y296" s="745" t="s">
        <v>176</v>
      </c>
      <c r="Z296" s="788" t="s">
        <v>85</v>
      </c>
      <c r="AA296" s="787" t="s">
        <v>157</v>
      </c>
      <c r="AB296" s="745" t="s">
        <v>176</v>
      </c>
      <c r="AC296" s="788" t="s">
        <v>85</v>
      </c>
      <c r="AD296" s="787" t="s">
        <v>157</v>
      </c>
      <c r="AE296" s="745" t="s">
        <v>176</v>
      </c>
      <c r="AF296" s="788" t="s">
        <v>85</v>
      </c>
      <c r="AG296" s="787" t="s">
        <v>157</v>
      </c>
      <c r="AH296" s="745" t="s">
        <v>176</v>
      </c>
      <c r="AI296" s="788" t="s">
        <v>85</v>
      </c>
      <c r="AJ296" s="787" t="s">
        <v>157</v>
      </c>
      <c r="AK296" s="745" t="s">
        <v>176</v>
      </c>
      <c r="AL296" s="788" t="s">
        <v>85</v>
      </c>
      <c r="AM296" s="787" t="s">
        <v>157</v>
      </c>
      <c r="AN296" s="745" t="s">
        <v>176</v>
      </c>
      <c r="AO296" s="788" t="s">
        <v>85</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ref="A297:A355" si="964">+$C$293&amp;B297</f>
        <v>PiècesPièces Ro Clients</v>
      </c>
      <c r="B297" s="710" t="s">
        <v>177</v>
      </c>
      <c r="C297" s="801">
        <f t="shared" ref="C297:C305" si="965">+SUM(F297,I297,L297,O297,R297,U297,X297,AA297,AD297,AG297,AJ297,AM297)</f>
        <v>968921.66484291316</v>
      </c>
      <c r="D297" s="796">
        <f t="shared" ref="D297:D306" si="966">IF(C297&lt;=0,0,E297/C297)</f>
        <v>0.35811007851031484</v>
      </c>
      <c r="E297" s="733">
        <f>+SUM(H297,K297,N297,Q297,T297,W297,Z297,AC297,AF297,AI297,AL297,AO297)</f>
        <v>346980.61346724059</v>
      </c>
      <c r="F297" s="802">
        <v>56461.376365452648</v>
      </c>
      <c r="G297" s="796">
        <f t="shared" ref="G297:G306" si="967">IF(F297&lt;=0,0,H297/F297)</f>
        <v>0.35811007851031496</v>
      </c>
      <c r="H297" s="748">
        <v>20219.387923032689</v>
      </c>
      <c r="I297" s="802">
        <v>61923.636069498294</v>
      </c>
      <c r="J297" s="796">
        <f t="shared" ref="J297:J306" si="968">IF(I297&lt;=0,0,K297/I297)</f>
        <v>0.35811007851031496</v>
      </c>
      <c r="K297" s="748">
        <v>22175.478174492204</v>
      </c>
      <c r="L297" s="802">
        <v>62396.267696223207</v>
      </c>
      <c r="M297" s="796">
        <f t="shared" ref="M297:M306" si="969">IF(L297&lt;=0,0,N297/L297)</f>
        <v>0.35811007851031496</v>
      </c>
      <c r="N297" s="748">
        <v>22344.732323445121</v>
      </c>
      <c r="O297" s="802">
        <v>105039.77986157766</v>
      </c>
      <c r="P297" s="796">
        <f t="shared" ref="P297:P306" si="970">IF(O297&lt;=0,0,Q297/O297)</f>
        <v>0.35811007851031496</v>
      </c>
      <c r="Q297" s="748">
        <v>37615.803812935774</v>
      </c>
      <c r="R297" s="802">
        <v>79638.512157463789</v>
      </c>
      <c r="S297" s="796">
        <f t="shared" ref="S297:S306" si="971">IF(R297&lt;=0,0,T297/R297)</f>
        <v>0.35811007851031496</v>
      </c>
      <c r="T297" s="748">
        <v>28519.353841154028</v>
      </c>
      <c r="U297" s="802">
        <v>73418.837757264744</v>
      </c>
      <c r="V297" s="796">
        <f t="shared" ref="V297:V306" si="972">IF(U297&lt;=0,0,W297/U297)</f>
        <v>0.35811007851031496</v>
      </c>
      <c r="W297" s="748">
        <v>26292.025753390153</v>
      </c>
      <c r="X297" s="802">
        <v>79379.673824367113</v>
      </c>
      <c r="Y297" s="796">
        <f t="shared" ref="Y297:Y306" si="973">IF(X297&lt;=0,0,Z297/X297)</f>
        <v>0.35811007851031496</v>
      </c>
      <c r="Z297" s="748">
        <v>28426.661225367301</v>
      </c>
      <c r="AA297" s="802">
        <v>75474.073218726146</v>
      </c>
      <c r="AB297" s="796">
        <f t="shared" ref="AB297:AB306" si="974">IF(AA297&lt;=0,0,AC297/AA297)</f>
        <v>0.35811007851031496</v>
      </c>
      <c r="AC297" s="748">
        <v>27028.02628585128</v>
      </c>
      <c r="AD297" s="802">
        <v>65845.949998240059</v>
      </c>
      <c r="AE297" s="796">
        <f t="shared" ref="AE297:AE306" si="975">IF(AD297&lt;=0,0,AF297/AD297)</f>
        <v>0.35811007851031496</v>
      </c>
      <c r="AF297" s="748">
        <v>23580.098323456019</v>
      </c>
      <c r="AG297" s="802">
        <v>95696.632594750467</v>
      </c>
      <c r="AH297" s="796">
        <f t="shared" ref="AH297:AH306" si="976">IF(AG297&lt;=0,0,AI297/AG297)</f>
        <v>0.35811007851031496</v>
      </c>
      <c r="AI297" s="748">
        <v>34269.928611678857</v>
      </c>
      <c r="AJ297" s="802">
        <v>149473.11647677055</v>
      </c>
      <c r="AK297" s="796">
        <f t="shared" ref="AK297:AK306" si="977">IF(AJ297&lt;=0,0,AL297/AJ297)</f>
        <v>0.35811007851031496</v>
      </c>
      <c r="AL297" s="748">
        <v>53527.829476677754</v>
      </c>
      <c r="AM297" s="802">
        <v>64173.80882257827</v>
      </c>
      <c r="AN297" s="796">
        <f t="shared" ref="AN297:AN306" si="978">IF(AM297&lt;=0,0,AO297/AM297)</f>
        <v>0.35811007851031496</v>
      </c>
      <c r="AO297" s="748">
        <v>22981.287715759448</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964"/>
        <v>PiècesPièces Ro Carrosserie</v>
      </c>
      <c r="B298" s="710" t="s">
        <v>178</v>
      </c>
      <c r="C298" s="801">
        <f t="shared" si="965"/>
        <v>546228.25138429506</v>
      </c>
      <c r="D298" s="796">
        <f t="shared" si="966"/>
        <v>0.2571723304036081</v>
      </c>
      <c r="E298" s="733">
        <f t="shared" ref="E298:E305" si="979">+SUM(H298,K298,N298,Q298,T298,W298,Z298,AC298,AF298,AI298,AL298,AO298)</f>
        <v>140474.79234078704</v>
      </c>
      <c r="F298" s="802">
        <v>59470.429082605799</v>
      </c>
      <c r="G298" s="796">
        <f t="shared" si="967"/>
        <v>0.2571723304036081</v>
      </c>
      <c r="H298" s="748">
        <v>15294.148837276241</v>
      </c>
      <c r="I298" s="802">
        <v>48291.555528349389</v>
      </c>
      <c r="J298" s="796">
        <f t="shared" si="968"/>
        <v>0.2571723304036081</v>
      </c>
      <c r="K298" s="748">
        <v>12419.251874040856</v>
      </c>
      <c r="L298" s="802">
        <v>47165.959455013479</v>
      </c>
      <c r="M298" s="796">
        <f t="shared" si="969"/>
        <v>0.2571723304036081</v>
      </c>
      <c r="N298" s="748">
        <v>12129.77970876791</v>
      </c>
      <c r="O298" s="802">
        <v>51954.602342500584</v>
      </c>
      <c r="P298" s="796">
        <f t="shared" si="970"/>
        <v>0.2571723304036081</v>
      </c>
      <c r="Q298" s="748">
        <v>13361.286159613632</v>
      </c>
      <c r="R298" s="802">
        <v>39425.477605529792</v>
      </c>
      <c r="S298" s="796">
        <f t="shared" si="971"/>
        <v>0.2571723304036081</v>
      </c>
      <c r="T298" s="748">
        <v>10139.14195308936</v>
      </c>
      <c r="U298" s="802">
        <v>50870.006431817041</v>
      </c>
      <c r="V298" s="796">
        <f t="shared" si="972"/>
        <v>0.2571723304036081</v>
      </c>
      <c r="W298" s="748">
        <v>13082.358101716922</v>
      </c>
      <c r="X298" s="802">
        <v>43018.019402990292</v>
      </c>
      <c r="Y298" s="796">
        <f t="shared" si="973"/>
        <v>0.2571723304036081</v>
      </c>
      <c r="Z298" s="748">
        <v>11063.044299214644</v>
      </c>
      <c r="AA298" s="802">
        <v>44071.224708216432</v>
      </c>
      <c r="AB298" s="796">
        <f t="shared" si="974"/>
        <v>0.2571723304036081</v>
      </c>
      <c r="AC298" s="748">
        <v>11333.899561953092</v>
      </c>
      <c r="AD298" s="802">
        <v>26405.132308725613</v>
      </c>
      <c r="AE298" s="796">
        <f t="shared" si="975"/>
        <v>0.2571723304036081</v>
      </c>
      <c r="AF298" s="748">
        <v>6790.6694104505705</v>
      </c>
      <c r="AG298" s="802">
        <v>40369.334451595299</v>
      </c>
      <c r="AH298" s="796">
        <f t="shared" si="976"/>
        <v>0.2571723304036081</v>
      </c>
      <c r="AI298" s="748">
        <v>10381.875817759426</v>
      </c>
      <c r="AJ298" s="802">
        <v>57225.564745148426</v>
      </c>
      <c r="AK298" s="796">
        <f t="shared" si="977"/>
        <v>0.2571723304036081</v>
      </c>
      <c r="AL298" s="748">
        <v>14716.831844172379</v>
      </c>
      <c r="AM298" s="802">
        <v>37960.945321802908</v>
      </c>
      <c r="AN298" s="796">
        <f t="shared" si="978"/>
        <v>0.2571723304036081</v>
      </c>
      <c r="AO298" s="748">
        <v>9762.5047727319979</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964"/>
        <v>PiècesP/A Garantie</v>
      </c>
      <c r="B299" s="710" t="s">
        <v>179</v>
      </c>
      <c r="C299" s="801">
        <f t="shared" si="965"/>
        <v>959940.64125968132</v>
      </c>
      <c r="D299" s="796">
        <f t="shared" si="966"/>
        <v>0.24177651145507995</v>
      </c>
      <c r="E299" s="733">
        <f t="shared" si="979"/>
        <v>232091.09944771812</v>
      </c>
      <c r="F299" s="802">
        <v>97054.600296279066</v>
      </c>
      <c r="G299" s="796">
        <f t="shared" si="967"/>
        <v>0.24177651145507992</v>
      </c>
      <c r="H299" s="748">
        <v>23465.522680301518</v>
      </c>
      <c r="I299" s="802">
        <v>72331.778987421625</v>
      </c>
      <c r="J299" s="796">
        <f t="shared" si="968"/>
        <v>0.24177651145507992</v>
      </c>
      <c r="K299" s="748">
        <v>17488.125190918654</v>
      </c>
      <c r="L299" s="802">
        <v>60793.730893188193</v>
      </c>
      <c r="M299" s="796">
        <f t="shared" si="969"/>
        <v>0.24177651145507992</v>
      </c>
      <c r="N299" s="748">
        <v>14698.49617369396</v>
      </c>
      <c r="O299" s="802">
        <v>49181.292269228259</v>
      </c>
      <c r="P299" s="796">
        <f t="shared" si="970"/>
        <v>0.24177651145507992</v>
      </c>
      <c r="Q299" s="748">
        <v>11890.8812737067</v>
      </c>
      <c r="R299" s="802">
        <v>92243.89391869164</v>
      </c>
      <c r="S299" s="796">
        <f t="shared" si="971"/>
        <v>0.24177651145507992</v>
      </c>
      <c r="T299" s="748">
        <v>22302.406874693726</v>
      </c>
      <c r="U299" s="802">
        <v>109393.16181373187</v>
      </c>
      <c r="V299" s="796">
        <f t="shared" si="972"/>
        <v>0.24177651145507992</v>
      </c>
      <c r="W299" s="748">
        <v>26448.697040365154</v>
      </c>
      <c r="X299" s="802">
        <v>72921.095203981851</v>
      </c>
      <c r="Y299" s="796">
        <f t="shared" si="973"/>
        <v>0.24177651145507992</v>
      </c>
      <c r="Z299" s="748">
        <v>17630.608009902491</v>
      </c>
      <c r="AA299" s="802">
        <v>106824.55059175834</v>
      </c>
      <c r="AB299" s="796">
        <f t="shared" si="974"/>
        <v>0.24177651145507992</v>
      </c>
      <c r="AC299" s="748">
        <v>25827.667179832024</v>
      </c>
      <c r="AD299" s="802">
        <v>91146.817495201045</v>
      </c>
      <c r="AE299" s="796">
        <f t="shared" si="975"/>
        <v>0.24177651145507992</v>
      </c>
      <c r="AF299" s="748">
        <v>22037.159564222555</v>
      </c>
      <c r="AG299" s="802">
        <v>80768.008384112531</v>
      </c>
      <c r="AH299" s="796">
        <f t="shared" si="976"/>
        <v>0.24177651145507995</v>
      </c>
      <c r="AI299" s="748">
        <v>19527.807304285376</v>
      </c>
      <c r="AJ299" s="802">
        <v>52760.337024139764</v>
      </c>
      <c r="AK299" s="796">
        <f t="shared" si="977"/>
        <v>0.24177651145507992</v>
      </c>
      <c r="AL299" s="748">
        <v>12756.210228890805</v>
      </c>
      <c r="AM299" s="802">
        <v>74521.374381947244</v>
      </c>
      <c r="AN299" s="796">
        <f t="shared" si="978"/>
        <v>0.24177651145507992</v>
      </c>
      <c r="AO299" s="748">
        <v>18017.517926905166</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964"/>
        <v>PiècesVentes Internes</v>
      </c>
      <c r="B300" s="710" t="s">
        <v>180</v>
      </c>
      <c r="C300" s="801">
        <f t="shared" si="965"/>
        <v>665954.22547417122</v>
      </c>
      <c r="D300" s="796">
        <f t="shared" si="966"/>
        <v>0.32393223852119096</v>
      </c>
      <c r="E300" s="733">
        <f t="shared" si="979"/>
        <v>215724.04301049424</v>
      </c>
      <c r="F300" s="802">
        <v>29250.274620911685</v>
      </c>
      <c r="G300" s="796">
        <f t="shared" si="967"/>
        <v>0.32393223852119107</v>
      </c>
      <c r="H300" s="748">
        <v>9475.1069353115054</v>
      </c>
      <c r="I300" s="802">
        <v>36547.942090579163</v>
      </c>
      <c r="J300" s="796">
        <f t="shared" si="968"/>
        <v>0.32393223852119107</v>
      </c>
      <c r="K300" s="748">
        <v>11839.056694744168</v>
      </c>
      <c r="L300" s="802">
        <v>50358.757369424849</v>
      </c>
      <c r="M300" s="796">
        <f t="shared" si="969"/>
        <v>0.32393223852119107</v>
      </c>
      <c r="N300" s="748">
        <v>16312.825003823318</v>
      </c>
      <c r="O300" s="802">
        <v>52700.318919051817</v>
      </c>
      <c r="P300" s="796">
        <f t="shared" si="970"/>
        <v>0.32393223852119107</v>
      </c>
      <c r="Q300" s="748">
        <v>17071.332278229132</v>
      </c>
      <c r="R300" s="802">
        <v>58194.152808607272</v>
      </c>
      <c r="S300" s="796">
        <f t="shared" si="971"/>
        <v>0.32393223852119107</v>
      </c>
      <c r="T300" s="748">
        <v>18850.962188136411</v>
      </c>
      <c r="U300" s="802">
        <v>69481.835026957517</v>
      </c>
      <c r="V300" s="796">
        <f t="shared" si="972"/>
        <v>0.32393223852119107</v>
      </c>
      <c r="W300" s="748">
        <v>22507.40635684245</v>
      </c>
      <c r="X300" s="802">
        <v>61015.569195122443</v>
      </c>
      <c r="Y300" s="796">
        <f t="shared" si="973"/>
        <v>0.32393223852119107</v>
      </c>
      <c r="Z300" s="748">
        <v>19764.909914020642</v>
      </c>
      <c r="AA300" s="802">
        <v>59513.809943333436</v>
      </c>
      <c r="AB300" s="796">
        <f t="shared" si="974"/>
        <v>0.32393223852119107</v>
      </c>
      <c r="AC300" s="748">
        <v>19278.441677868719</v>
      </c>
      <c r="AD300" s="802">
        <v>61448.46605748689</v>
      </c>
      <c r="AE300" s="796">
        <f t="shared" si="975"/>
        <v>0.32393223852119107</v>
      </c>
      <c r="AF300" s="748">
        <v>19905.139163695156</v>
      </c>
      <c r="AG300" s="802">
        <v>82965.37538955608</v>
      </c>
      <c r="AH300" s="796">
        <f t="shared" si="976"/>
        <v>0.32393223852119107</v>
      </c>
      <c r="AI300" s="748">
        <v>26875.159769689835</v>
      </c>
      <c r="AJ300" s="802">
        <v>63915.671014614694</v>
      </c>
      <c r="AK300" s="796">
        <f t="shared" si="977"/>
        <v>0.32393223852119107</v>
      </c>
      <c r="AL300" s="748">
        <v>20704.346388348145</v>
      </c>
      <c r="AM300" s="802">
        <v>40562.053038525242</v>
      </c>
      <c r="AN300" s="796">
        <f t="shared" si="978"/>
        <v>0.32393223852119107</v>
      </c>
      <c r="AO300" s="748">
        <v>13139.356639784763</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964"/>
        <v>PiècesVentes Détails</v>
      </c>
      <c r="B301" s="710" t="s">
        <v>181</v>
      </c>
      <c r="C301" s="801">
        <f t="shared" si="965"/>
        <v>208852.68785932133</v>
      </c>
      <c r="D301" s="796">
        <f t="shared" si="966"/>
        <v>0.28113730707120016</v>
      </c>
      <c r="E301" s="733">
        <f t="shared" si="979"/>
        <v>58716.282239351538</v>
      </c>
      <c r="F301" s="802">
        <v>11826.519514609769</v>
      </c>
      <c r="G301" s="796">
        <f t="shared" si="967"/>
        <v>0.28113730707120016</v>
      </c>
      <c r="H301" s="748">
        <v>3324.8758483623874</v>
      </c>
      <c r="I301" s="802">
        <v>11465.337802685986</v>
      </c>
      <c r="J301" s="796">
        <f t="shared" si="968"/>
        <v>0.28113730707120016</v>
      </c>
      <c r="K301" s="748">
        <v>3223.3341945087695</v>
      </c>
      <c r="L301" s="802">
        <v>13899.991682281056</v>
      </c>
      <c r="M301" s="796">
        <f t="shared" si="969"/>
        <v>0.28113730707120016</v>
      </c>
      <c r="N301" s="748">
        <v>3907.8062298685772</v>
      </c>
      <c r="O301" s="802">
        <v>21716.146264775864</v>
      </c>
      <c r="P301" s="796">
        <f t="shared" si="970"/>
        <v>0.28113730707120016</v>
      </c>
      <c r="Q301" s="748">
        <v>6105.2188808433884</v>
      </c>
      <c r="R301" s="802">
        <v>17935.903365990547</v>
      </c>
      <c r="S301" s="796">
        <f t="shared" si="971"/>
        <v>0.28113730707120016</v>
      </c>
      <c r="T301" s="748">
        <v>5042.4515722038568</v>
      </c>
      <c r="U301" s="802">
        <v>17231.184066161994</v>
      </c>
      <c r="V301" s="796">
        <f t="shared" si="972"/>
        <v>0.28113730707120016</v>
      </c>
      <c r="W301" s="748">
        <v>4844.3286860089556</v>
      </c>
      <c r="X301" s="802">
        <v>19201.56770742701</v>
      </c>
      <c r="Y301" s="796">
        <f t="shared" si="973"/>
        <v>0.28113730707120016</v>
      </c>
      <c r="Z301" s="748">
        <v>5398.2770368113479</v>
      </c>
      <c r="AA301" s="802">
        <v>17524.269897756858</v>
      </c>
      <c r="AB301" s="796">
        <f t="shared" si="974"/>
        <v>0.28113730707120016</v>
      </c>
      <c r="AC301" s="748">
        <v>4926.7260474442592</v>
      </c>
      <c r="AD301" s="802">
        <v>18277.343842364378</v>
      </c>
      <c r="AE301" s="796">
        <f t="shared" si="975"/>
        <v>0.28113730707120016</v>
      </c>
      <c r="AF301" s="748">
        <v>5138.4432282567041</v>
      </c>
      <c r="AG301" s="802">
        <v>19902.298775527383</v>
      </c>
      <c r="AH301" s="796">
        <f t="shared" si="976"/>
        <v>0.28113730707120016</v>
      </c>
      <c r="AI301" s="748">
        <v>5595.2786822782127</v>
      </c>
      <c r="AJ301" s="802">
        <v>25087.796549504917</v>
      </c>
      <c r="AK301" s="796">
        <f t="shared" si="977"/>
        <v>0.28113730707120016</v>
      </c>
      <c r="AL301" s="748">
        <v>7053.1155622779597</v>
      </c>
      <c r="AM301" s="802">
        <v>14784.32839023554</v>
      </c>
      <c r="AN301" s="796">
        <f t="shared" si="978"/>
        <v>0.28113730707120016</v>
      </c>
      <c r="AO301" s="748">
        <v>4156.4262704871117</v>
      </c>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964"/>
        <v>PiècesVentes de Gros</v>
      </c>
      <c r="B302" s="710" t="s">
        <v>182</v>
      </c>
      <c r="C302" s="801">
        <f t="shared" si="965"/>
        <v>638584.37979351613</v>
      </c>
      <c r="D302" s="796">
        <f t="shared" si="966"/>
        <v>0.18194830719212421</v>
      </c>
      <c r="E302" s="733">
        <f t="shared" si="979"/>
        <v>116189.34690276279</v>
      </c>
      <c r="F302" s="802">
        <v>53078.787628093189</v>
      </c>
      <c r="G302" s="796">
        <f t="shared" si="967"/>
        <v>0.18194830719212418</v>
      </c>
      <c r="H302" s="748">
        <v>9657.5955567418205</v>
      </c>
      <c r="I302" s="802">
        <v>39524.257156334323</v>
      </c>
      <c r="J302" s="796">
        <f t="shared" si="968"/>
        <v>0.18194830719212418</v>
      </c>
      <c r="K302" s="748">
        <v>7191.3716826212303</v>
      </c>
      <c r="L302" s="802">
        <v>53048.146725489867</v>
      </c>
      <c r="M302" s="796">
        <f t="shared" si="969"/>
        <v>0.18194830719212418</v>
      </c>
      <c r="N302" s="748">
        <v>9652.0204963823071</v>
      </c>
      <c r="O302" s="802">
        <v>46292.896296864907</v>
      </c>
      <c r="P302" s="796">
        <f t="shared" si="970"/>
        <v>0.18194830719212418</v>
      </c>
      <c r="Q302" s="748">
        <v>8422.9141162351243</v>
      </c>
      <c r="R302" s="802">
        <v>47625.131397946105</v>
      </c>
      <c r="S302" s="796">
        <f t="shared" si="971"/>
        <v>0.18194830719212418</v>
      </c>
      <c r="T302" s="748">
        <v>8665.3120376587758</v>
      </c>
      <c r="U302" s="802">
        <v>54215.59408438782</v>
      </c>
      <c r="V302" s="796">
        <f t="shared" si="972"/>
        <v>0.18194830719212418</v>
      </c>
      <c r="W302" s="748">
        <v>9864.4355670697059</v>
      </c>
      <c r="X302" s="802">
        <v>57835.091512829393</v>
      </c>
      <c r="Y302" s="796">
        <f t="shared" si="973"/>
        <v>0.18194830719212418</v>
      </c>
      <c r="Z302" s="748">
        <v>10522.996997060896</v>
      </c>
      <c r="AA302" s="802">
        <v>50443.62492032208</v>
      </c>
      <c r="AB302" s="796">
        <f t="shared" si="974"/>
        <v>0.18194830719212418</v>
      </c>
      <c r="AC302" s="748">
        <v>9178.1321628870519</v>
      </c>
      <c r="AD302" s="802">
        <v>60381.801421698925</v>
      </c>
      <c r="AE302" s="796">
        <f t="shared" si="975"/>
        <v>0.18194830719212418</v>
      </c>
      <c r="AF302" s="748">
        <v>10986.366553889116</v>
      </c>
      <c r="AG302" s="802">
        <v>60731.529763844148</v>
      </c>
      <c r="AH302" s="796">
        <f t="shared" si="976"/>
        <v>0.18194830719212418</v>
      </c>
      <c r="AI302" s="748">
        <v>11049.999033719549</v>
      </c>
      <c r="AJ302" s="802">
        <v>56903.922574518627</v>
      </c>
      <c r="AK302" s="796">
        <f t="shared" si="977"/>
        <v>0.18194830719212418</v>
      </c>
      <c r="AL302" s="748">
        <v>10353.572385025365</v>
      </c>
      <c r="AM302" s="802">
        <v>58503.596311186731</v>
      </c>
      <c r="AN302" s="796">
        <f t="shared" si="978"/>
        <v>0.18194830719212421</v>
      </c>
      <c r="AO302" s="748">
        <v>10644.630313471827</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964"/>
        <v>Pièces[...]</v>
      </c>
      <c r="B303" s="710" t="s">
        <v>42</v>
      </c>
      <c r="C303" s="801">
        <f t="shared" si="965"/>
        <v>0</v>
      </c>
      <c r="D303" s="796">
        <f t="shared" si="966"/>
        <v>0</v>
      </c>
      <c r="E303" s="733">
        <f t="shared" si="979"/>
        <v>0</v>
      </c>
      <c r="F303" s="802">
        <v>0</v>
      </c>
      <c r="G303" s="796">
        <f t="shared" si="967"/>
        <v>0</v>
      </c>
      <c r="H303" s="748">
        <v>0</v>
      </c>
      <c r="I303" s="802">
        <v>0</v>
      </c>
      <c r="J303" s="796">
        <f t="shared" si="968"/>
        <v>0</v>
      </c>
      <c r="K303" s="748">
        <v>0</v>
      </c>
      <c r="L303" s="802">
        <v>0</v>
      </c>
      <c r="M303" s="796">
        <f t="shared" si="969"/>
        <v>0</v>
      </c>
      <c r="N303" s="748">
        <v>0</v>
      </c>
      <c r="O303" s="802">
        <v>0</v>
      </c>
      <c r="P303" s="796">
        <f t="shared" si="970"/>
        <v>0</v>
      </c>
      <c r="Q303" s="748">
        <v>0</v>
      </c>
      <c r="R303" s="802">
        <v>0</v>
      </c>
      <c r="S303" s="796">
        <f t="shared" si="971"/>
        <v>0</v>
      </c>
      <c r="T303" s="748">
        <v>0</v>
      </c>
      <c r="U303" s="802">
        <v>0</v>
      </c>
      <c r="V303" s="796">
        <f t="shared" si="972"/>
        <v>0</v>
      </c>
      <c r="W303" s="748">
        <v>0</v>
      </c>
      <c r="X303" s="802">
        <v>0</v>
      </c>
      <c r="Y303" s="796">
        <f t="shared" si="973"/>
        <v>0</v>
      </c>
      <c r="Z303" s="748">
        <v>0</v>
      </c>
      <c r="AA303" s="802">
        <v>0</v>
      </c>
      <c r="AB303" s="796">
        <f t="shared" si="974"/>
        <v>0</v>
      </c>
      <c r="AC303" s="748">
        <v>0</v>
      </c>
      <c r="AD303" s="802">
        <v>0</v>
      </c>
      <c r="AE303" s="796">
        <f t="shared" si="975"/>
        <v>0</v>
      </c>
      <c r="AF303" s="748">
        <v>0</v>
      </c>
      <c r="AG303" s="802">
        <v>0</v>
      </c>
      <c r="AH303" s="796">
        <f t="shared" si="976"/>
        <v>0</v>
      </c>
      <c r="AI303" s="748">
        <v>0</v>
      </c>
      <c r="AJ303" s="802">
        <v>0</v>
      </c>
      <c r="AK303" s="796">
        <f t="shared" si="977"/>
        <v>0</v>
      </c>
      <c r="AL303" s="748">
        <v>0</v>
      </c>
      <c r="AM303" s="802">
        <v>0</v>
      </c>
      <c r="AN303" s="796">
        <f t="shared" si="978"/>
        <v>0</v>
      </c>
      <c r="AO303" s="748">
        <v>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964"/>
        <v>PiècesEscomptes</v>
      </c>
      <c r="B304" s="710" t="s">
        <v>183</v>
      </c>
      <c r="C304" s="801">
        <f t="shared" si="965"/>
        <v>0</v>
      </c>
      <c r="D304" s="796">
        <f t="shared" si="966"/>
        <v>0</v>
      </c>
      <c r="E304" s="733">
        <f t="shared" si="979"/>
        <v>66098.369366986604</v>
      </c>
      <c r="F304" s="802">
        <v>0</v>
      </c>
      <c r="G304" s="796">
        <f t="shared" si="967"/>
        <v>0</v>
      </c>
      <c r="H304" s="748">
        <v>5090.0531326941427</v>
      </c>
      <c r="I304" s="802">
        <v>0</v>
      </c>
      <c r="J304" s="796">
        <f t="shared" si="968"/>
        <v>0</v>
      </c>
      <c r="K304" s="748">
        <v>4475.9249796266477</v>
      </c>
      <c r="L304" s="802">
        <v>0</v>
      </c>
      <c r="M304" s="796">
        <f t="shared" si="969"/>
        <v>0</v>
      </c>
      <c r="N304" s="748">
        <v>4767.2388335266851</v>
      </c>
      <c r="O304" s="802">
        <v>0</v>
      </c>
      <c r="P304" s="796">
        <f t="shared" si="970"/>
        <v>0</v>
      </c>
      <c r="Q304" s="748">
        <v>5417.2411098479715</v>
      </c>
      <c r="R304" s="802">
        <v>0</v>
      </c>
      <c r="S304" s="796">
        <f t="shared" si="971"/>
        <v>0</v>
      </c>
      <c r="T304" s="748">
        <v>5552.7700700431051</v>
      </c>
      <c r="U304" s="802">
        <v>0</v>
      </c>
      <c r="V304" s="796">
        <f t="shared" si="972"/>
        <v>0</v>
      </c>
      <c r="W304" s="748">
        <v>6208.164410116402</v>
      </c>
      <c r="X304" s="802">
        <v>0</v>
      </c>
      <c r="Y304" s="796">
        <f t="shared" si="973"/>
        <v>0</v>
      </c>
      <c r="Z304" s="748">
        <v>5524.7288148974949</v>
      </c>
      <c r="AA304" s="802">
        <v>0</v>
      </c>
      <c r="AB304" s="796">
        <f t="shared" si="974"/>
        <v>0</v>
      </c>
      <c r="AC304" s="748">
        <v>5864.1386737640241</v>
      </c>
      <c r="AD304" s="802">
        <v>0</v>
      </c>
      <c r="AE304" s="796">
        <f t="shared" si="975"/>
        <v>0</v>
      </c>
      <c r="AF304" s="748">
        <v>5361.2345667863528</v>
      </c>
      <c r="AG304" s="802">
        <v>0</v>
      </c>
      <c r="AH304" s="796">
        <f t="shared" si="976"/>
        <v>0</v>
      </c>
      <c r="AI304" s="748">
        <v>6304.657699491182</v>
      </c>
      <c r="AJ304" s="802">
        <v>0</v>
      </c>
      <c r="AK304" s="796">
        <f t="shared" si="977"/>
        <v>0</v>
      </c>
      <c r="AL304" s="748">
        <v>6717.8589733976969</v>
      </c>
      <c r="AM304" s="802">
        <v>0</v>
      </c>
      <c r="AN304" s="796">
        <f t="shared" si="978"/>
        <v>0</v>
      </c>
      <c r="AO304" s="748">
        <v>4814.3581027948876</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964"/>
        <v>PiècesRectif. Inventaire</v>
      </c>
      <c r="B305" s="705" t="s">
        <v>184</v>
      </c>
      <c r="C305" s="801">
        <f t="shared" si="965"/>
        <v>0</v>
      </c>
      <c r="D305" s="796">
        <f t="shared" si="966"/>
        <v>0</v>
      </c>
      <c r="E305" s="733">
        <f t="shared" si="979"/>
        <v>0</v>
      </c>
      <c r="F305" s="802">
        <v>0</v>
      </c>
      <c r="G305" s="796">
        <f t="shared" si="967"/>
        <v>0</v>
      </c>
      <c r="H305" s="748">
        <v>0</v>
      </c>
      <c r="I305" s="802">
        <v>0</v>
      </c>
      <c r="J305" s="796">
        <f t="shared" si="968"/>
        <v>0</v>
      </c>
      <c r="K305" s="748">
        <v>0</v>
      </c>
      <c r="L305" s="802">
        <v>0</v>
      </c>
      <c r="M305" s="796">
        <f t="shared" si="969"/>
        <v>0</v>
      </c>
      <c r="N305" s="748">
        <v>0</v>
      </c>
      <c r="O305" s="802">
        <v>0</v>
      </c>
      <c r="P305" s="796">
        <f t="shared" si="970"/>
        <v>0</v>
      </c>
      <c r="Q305" s="748">
        <v>0</v>
      </c>
      <c r="R305" s="802">
        <v>0</v>
      </c>
      <c r="S305" s="796">
        <f t="shared" si="971"/>
        <v>0</v>
      </c>
      <c r="T305" s="748">
        <v>0</v>
      </c>
      <c r="U305" s="802">
        <v>0</v>
      </c>
      <c r="V305" s="796">
        <f t="shared" si="972"/>
        <v>0</v>
      </c>
      <c r="W305" s="748">
        <v>0</v>
      </c>
      <c r="X305" s="802">
        <v>0</v>
      </c>
      <c r="Y305" s="796">
        <f t="shared" si="973"/>
        <v>0</v>
      </c>
      <c r="Z305" s="748">
        <v>0</v>
      </c>
      <c r="AA305" s="802">
        <v>0</v>
      </c>
      <c r="AB305" s="796">
        <f t="shared" si="974"/>
        <v>0</v>
      </c>
      <c r="AC305" s="748">
        <v>0</v>
      </c>
      <c r="AD305" s="802">
        <v>0</v>
      </c>
      <c r="AE305" s="796">
        <f t="shared" si="975"/>
        <v>0</v>
      </c>
      <c r="AF305" s="748">
        <v>0</v>
      </c>
      <c r="AG305" s="802">
        <v>0</v>
      </c>
      <c r="AH305" s="796">
        <f t="shared" si="976"/>
        <v>0</v>
      </c>
      <c r="AI305" s="748">
        <v>0</v>
      </c>
      <c r="AJ305" s="802">
        <v>0</v>
      </c>
      <c r="AK305" s="796">
        <f t="shared" si="977"/>
        <v>0</v>
      </c>
      <c r="AL305" s="748">
        <v>0</v>
      </c>
      <c r="AM305" s="802">
        <v>0</v>
      </c>
      <c r="AN305" s="796">
        <f t="shared" si="978"/>
        <v>0</v>
      </c>
      <c r="AO305" s="748">
        <v>0</v>
      </c>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964"/>
        <v>PiècesSous-total Pièces</v>
      </c>
      <c r="B306" s="727" t="s">
        <v>185</v>
      </c>
      <c r="C306" s="843">
        <f>SUM(C297:C305)</f>
        <v>3988481.8506138986</v>
      </c>
      <c r="D306" s="844">
        <f t="shared" si="966"/>
        <v>0.2949178636965068</v>
      </c>
      <c r="E306" s="845">
        <f>SUM(E297:E305)</f>
        <v>1176274.546775341</v>
      </c>
      <c r="F306" s="843">
        <f>SUM(F297:F305)</f>
        <v>307141.98750795214</v>
      </c>
      <c r="G306" s="844">
        <f t="shared" si="967"/>
        <v>0.28171560526702671</v>
      </c>
      <c r="H306" s="845">
        <f>SUM(H297:H305)</f>
        <v>86526.690913720304</v>
      </c>
      <c r="I306" s="843">
        <f t="shared" ref="I306" si="980">SUM(I297:I305)</f>
        <v>270084.50763486873</v>
      </c>
      <c r="J306" s="844">
        <f t="shared" si="968"/>
        <v>0.29180697360657354</v>
      </c>
      <c r="K306" s="845">
        <f t="shared" ref="K306:L306" si="981">SUM(K297:K305)</f>
        <v>78812.542790952546</v>
      </c>
      <c r="L306" s="843">
        <f t="shared" si="981"/>
        <v>287662.85382162064</v>
      </c>
      <c r="M306" s="844">
        <f t="shared" si="969"/>
        <v>0.29135808692727549</v>
      </c>
      <c r="N306" s="845">
        <f t="shared" ref="N306:O306" si="982">SUM(N297:N305)</f>
        <v>83812.898769507883</v>
      </c>
      <c r="O306" s="843">
        <f t="shared" si="982"/>
        <v>326885.03595399909</v>
      </c>
      <c r="P306" s="844">
        <f t="shared" si="970"/>
        <v>0.30556515791523725</v>
      </c>
      <c r="Q306" s="845">
        <f t="shared" ref="Q306:R306" si="983">SUM(Q297:Q305)</f>
        <v>99884.677631411731</v>
      </c>
      <c r="R306" s="843">
        <f t="shared" si="983"/>
        <v>335063.07125422917</v>
      </c>
      <c r="S306" s="844">
        <f t="shared" si="971"/>
        <v>0.29568283417842867</v>
      </c>
      <c r="T306" s="845">
        <f t="shared" ref="T306:U306" si="984">SUM(T297:T305)</f>
        <v>99072.398536979264</v>
      </c>
      <c r="U306" s="843">
        <f t="shared" si="984"/>
        <v>374610.61918032094</v>
      </c>
      <c r="V306" s="844">
        <f t="shared" si="972"/>
        <v>0.29162925534399464</v>
      </c>
      <c r="W306" s="845">
        <f t="shared" ref="W306:X306" si="985">SUM(W297:W305)</f>
        <v>109247.41591550974</v>
      </c>
      <c r="X306" s="843">
        <f t="shared" si="985"/>
        <v>333371.01684671815</v>
      </c>
      <c r="Y306" s="844">
        <f t="shared" si="973"/>
        <v>0.29496033346680184</v>
      </c>
      <c r="Z306" s="845">
        <f t="shared" ref="Z306:AA306" si="986">SUM(Z297:Z305)</f>
        <v>98331.226297274799</v>
      </c>
      <c r="AA306" s="843">
        <f t="shared" si="986"/>
        <v>353851.55328011332</v>
      </c>
      <c r="AB306" s="844">
        <f t="shared" si="974"/>
        <v>0.29231758524377138</v>
      </c>
      <c r="AC306" s="845">
        <f t="shared" ref="AC306:AD306" si="987">SUM(AC297:AC305)</f>
        <v>103437.03158960045</v>
      </c>
      <c r="AD306" s="843">
        <f t="shared" si="987"/>
        <v>323505.51112371695</v>
      </c>
      <c r="AE306" s="844">
        <f t="shared" si="975"/>
        <v>0.28994594399625312</v>
      </c>
      <c r="AF306" s="845">
        <f t="shared" ref="AF306:AG306" si="988">SUM(AF297:AF305)</f>
        <v>93799.11081075648</v>
      </c>
      <c r="AG306" s="843">
        <f t="shared" si="988"/>
        <v>380433.17935938592</v>
      </c>
      <c r="AH306" s="844">
        <f t="shared" si="976"/>
        <v>0.29967077821886035</v>
      </c>
      <c r="AI306" s="845">
        <f t="shared" ref="AI306:AJ306" si="989">SUM(AI297:AI305)</f>
        <v>114004.70691890245</v>
      </c>
      <c r="AJ306" s="843">
        <f t="shared" si="989"/>
        <v>405366.40838469693</v>
      </c>
      <c r="AK306" s="844">
        <f t="shared" si="977"/>
        <v>0.31040994580729137</v>
      </c>
      <c r="AL306" s="845">
        <f t="shared" ref="AL306:AM306" si="990">SUM(AL297:AL305)</f>
        <v>125829.76485879012</v>
      </c>
      <c r="AM306" s="843">
        <f t="shared" si="990"/>
        <v>290506.10626627598</v>
      </c>
      <c r="AN306" s="844">
        <f t="shared" si="978"/>
        <v>0.28748477205978212</v>
      </c>
      <c r="AO306" s="845">
        <f t="shared" ref="AO306" si="991">SUM(AO297:AO305)</f>
        <v>83516.081741935195</v>
      </c>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964"/>
        <v>Pièces</v>
      </c>
      <c r="B307" s="710"/>
      <c r="C307" s="710"/>
      <c r="D307" s="732"/>
      <c r="E307" s="720"/>
      <c r="F307" s="710"/>
      <c r="G307" s="732"/>
      <c r="H307" s="720"/>
      <c r="I307" s="710"/>
      <c r="J307" s="732"/>
      <c r="K307" s="720"/>
      <c r="L307" s="710"/>
      <c r="M307" s="732"/>
      <c r="N307" s="720"/>
      <c r="O307" s="710"/>
      <c r="P307" s="732"/>
      <c r="Q307" s="720"/>
      <c r="R307" s="710"/>
      <c r="S307" s="732"/>
      <c r="T307" s="720"/>
      <c r="U307" s="710"/>
      <c r="V307" s="732"/>
      <c r="W307" s="720"/>
      <c r="X307" s="710"/>
      <c r="Y307" s="732"/>
      <c r="Z307" s="720"/>
      <c r="AA307" s="710"/>
      <c r="AB307" s="732"/>
      <c r="AC307" s="720"/>
      <c r="AD307" s="710"/>
      <c r="AE307" s="732"/>
      <c r="AF307" s="720"/>
      <c r="AG307" s="710"/>
      <c r="AH307" s="732"/>
      <c r="AI307" s="720"/>
      <c r="AJ307" s="710"/>
      <c r="AK307" s="732"/>
      <c r="AL307" s="720"/>
      <c r="AM307" s="710"/>
      <c r="AN307" s="732"/>
      <c r="AO307" s="720"/>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964"/>
        <v>Pièces</v>
      </c>
      <c r="B308" s="705"/>
      <c r="C308" s="705"/>
      <c r="D308" s="763"/>
      <c r="E308" s="846"/>
      <c r="F308" s="705"/>
      <c r="G308" s="763"/>
      <c r="H308" s="846"/>
      <c r="I308" s="705"/>
      <c r="J308" s="763"/>
      <c r="K308" s="846"/>
      <c r="L308" s="705"/>
      <c r="M308" s="763"/>
      <c r="N308" s="846"/>
      <c r="O308" s="705"/>
      <c r="P308" s="763"/>
      <c r="Q308" s="846"/>
      <c r="R308" s="705"/>
      <c r="S308" s="763"/>
      <c r="T308" s="846"/>
      <c r="U308" s="705"/>
      <c r="V308" s="763"/>
      <c r="W308" s="846"/>
      <c r="X308" s="705"/>
      <c r="Y308" s="763"/>
      <c r="Z308" s="846"/>
      <c r="AA308" s="705"/>
      <c r="AB308" s="763"/>
      <c r="AC308" s="846"/>
      <c r="AD308" s="705"/>
      <c r="AE308" s="763"/>
      <c r="AF308" s="846"/>
      <c r="AG308" s="705"/>
      <c r="AH308" s="763"/>
      <c r="AI308" s="846"/>
      <c r="AJ308" s="705"/>
      <c r="AK308" s="763"/>
      <c r="AL308" s="846"/>
      <c r="AM308" s="705"/>
      <c r="AN308" s="763"/>
      <c r="AO308" s="846"/>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964"/>
        <v>PiècesVentes Pneus</v>
      </c>
      <c r="B309" s="710" t="s">
        <v>186</v>
      </c>
      <c r="C309" s="801">
        <f>+SUM(F309,I309,L309,O309,R309,U309,X309,AA309,AD309,AG309,AJ309,AM309)</f>
        <v>509833.98707282689</v>
      </c>
      <c r="D309" s="796">
        <f>IF(C309&lt;=0,0,E309/C309)</f>
        <v>0.1816444838198383</v>
      </c>
      <c r="E309" s="733">
        <f>+SUM(H309,K309,N309,Q309,T309,W309,Z309,AC309,AF309,AI309,AL309,AO309)</f>
        <v>92608.53141565375</v>
      </c>
      <c r="F309" s="802">
        <v>31292.343122294344</v>
      </c>
      <c r="G309" s="796">
        <f>IF(F309&lt;=0,0,H309/F309)</f>
        <v>0.1816444838198383</v>
      </c>
      <c r="H309" s="748">
        <v>5684.0815139624237</v>
      </c>
      <c r="I309" s="802">
        <v>39040.480681514331</v>
      </c>
      <c r="J309" s="796">
        <f t="shared" ref="J309:J311" si="992">IF(I309&lt;=0,0,K309/I309)</f>
        <v>0.1816444838198383</v>
      </c>
      <c r="K309" s="748">
        <v>7091.4879614720394</v>
      </c>
      <c r="L309" s="802">
        <v>30401.378416408646</v>
      </c>
      <c r="M309" s="796">
        <f t="shared" ref="M309:M311" si="993">IF(L309&lt;=0,0,N309/L309)</f>
        <v>0.1816444838198383</v>
      </c>
      <c r="N309" s="748">
        <v>5522.2426898601216</v>
      </c>
      <c r="O309" s="802">
        <v>27666.855431102034</v>
      </c>
      <c r="P309" s="796">
        <f t="shared" ref="P309:P311" si="994">IF(O309&lt;=0,0,Q309/O309)</f>
        <v>0.1816444838198383</v>
      </c>
      <c r="Q309" s="748">
        <v>5025.5316737006187</v>
      </c>
      <c r="R309" s="802">
        <v>40235.745737282341</v>
      </c>
      <c r="S309" s="796">
        <f t="shared" ref="S309:S311" si="995">IF(R309&lt;=0,0,T309/R309)</f>
        <v>0.1816444838198383</v>
      </c>
      <c r="T309" s="748">
        <v>7308.6012655549102</v>
      </c>
      <c r="U309" s="802">
        <v>26239.689724136279</v>
      </c>
      <c r="V309" s="796">
        <f t="shared" ref="V309:V311" si="996">IF(U309&lt;=0,0,W309/U309)</f>
        <v>0.1816444838198383</v>
      </c>
      <c r="W309" s="748">
        <v>4766.2948955334496</v>
      </c>
      <c r="X309" s="802">
        <v>22593.353815060615</v>
      </c>
      <c r="Y309" s="796">
        <f t="shared" ref="Y309:Y311" si="997">IF(X309&lt;=0,0,Z309/X309)</f>
        <v>0.1816444838198383</v>
      </c>
      <c r="Z309" s="748">
        <v>4103.9580914956596</v>
      </c>
      <c r="AA309" s="802">
        <v>24624.102848337767</v>
      </c>
      <c r="AB309" s="796">
        <f t="shared" ref="AB309:AB311" si="998">IF(AA309&lt;=0,0,AC309/AA309)</f>
        <v>0.1816444838198383</v>
      </c>
      <c r="AC309" s="748">
        <v>4472.8324514129235</v>
      </c>
      <c r="AD309" s="802">
        <v>40120.543367926119</v>
      </c>
      <c r="AE309" s="796">
        <f t="shared" ref="AE309:AE311" si="999">IF(AD309&lt;=0,0,AF309/AD309)</f>
        <v>0.1816444838198383</v>
      </c>
      <c r="AF309" s="748">
        <v>7287.6753906383765</v>
      </c>
      <c r="AG309" s="802">
        <v>84297.591738986535</v>
      </c>
      <c r="AH309" s="796">
        <f t="shared" ref="AH309:AH311" si="1000">IF(AG309&lt;=0,0,AI309/AG309)</f>
        <v>0.1816444838198383</v>
      </c>
      <c r="AI309" s="748">
        <v>15312.192538683676</v>
      </c>
      <c r="AJ309" s="802">
        <v>109688.00715738688</v>
      </c>
      <c r="AK309" s="796">
        <f t="shared" ref="AK309:AK311" si="1001">IF(AJ309&lt;=0,0,AL309/AJ309)</f>
        <v>0.1816444838198383</v>
      </c>
      <c r="AL309" s="748">
        <v>19924.221441330268</v>
      </c>
      <c r="AM309" s="802">
        <v>33633.895032390988</v>
      </c>
      <c r="AN309" s="796">
        <f t="shared" ref="AN309:AN311" si="1002">IF(AM309&lt;=0,0,AO309/AM309)</f>
        <v>0.1816444838198383</v>
      </c>
      <c r="AO309" s="748">
        <v>6109.411502009285</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964"/>
        <v>PiècesHuiles et Graisse</v>
      </c>
      <c r="B310" s="705" t="s">
        <v>187</v>
      </c>
      <c r="C310" s="801">
        <f>+SUM(F310,I310,L310,O310,R310,U310,X310,AA310,AD310,AG310,AJ310,AM310)</f>
        <v>228666.61726632045</v>
      </c>
      <c r="D310" s="796">
        <f>IF(C310&lt;=0,0,E310/C310)</f>
        <v>0.29130399895825637</v>
      </c>
      <c r="E310" s="733">
        <f>+SUM(H310,K310,N310,Q310,T310,W310,Z310,AC310,AF310,AI310,AL310,AO310)</f>
        <v>66611.500037936217</v>
      </c>
      <c r="F310" s="802">
        <v>12189.384178068864</v>
      </c>
      <c r="G310" s="796">
        <f>IF(F310&lt;=0,0,H310/F310)</f>
        <v>0.29130399895825637</v>
      </c>
      <c r="H310" s="748">
        <v>3550.8163559099589</v>
      </c>
      <c r="I310" s="802">
        <v>12704.300272767408</v>
      </c>
      <c r="J310" s="796">
        <f t="shared" si="992"/>
        <v>0.29130399895825637</v>
      </c>
      <c r="K310" s="748">
        <v>3700.8134734236132</v>
      </c>
      <c r="L310" s="802">
        <v>16147.56556018053</v>
      </c>
      <c r="M310" s="796">
        <f t="shared" si="993"/>
        <v>0.29130399895825637</v>
      </c>
      <c r="N310" s="748">
        <v>4703.8504211212057</v>
      </c>
      <c r="O310" s="802">
        <v>22715.45758194369</v>
      </c>
      <c r="P310" s="796">
        <f t="shared" si="994"/>
        <v>0.29130399895825637</v>
      </c>
      <c r="Q310" s="748">
        <v>6617.103631786842</v>
      </c>
      <c r="R310" s="802">
        <v>20439.505143727129</v>
      </c>
      <c r="S310" s="796">
        <f t="shared" si="995"/>
        <v>0.29130399895825637</v>
      </c>
      <c r="T310" s="748">
        <v>5954.1095850955635</v>
      </c>
      <c r="U310" s="802">
        <v>20388.431823214447</v>
      </c>
      <c r="V310" s="796">
        <f t="shared" si="996"/>
        <v>0.29130399895825637</v>
      </c>
      <c r="W310" s="748">
        <v>5939.2317225901425</v>
      </c>
      <c r="X310" s="802">
        <v>19461.570150997708</v>
      </c>
      <c r="Y310" s="796">
        <f t="shared" si="997"/>
        <v>0.29130399895825637</v>
      </c>
      <c r="Z310" s="748">
        <v>5669.23321099227</v>
      </c>
      <c r="AA310" s="802">
        <v>18650.373190915845</v>
      </c>
      <c r="AB310" s="796">
        <f t="shared" si="998"/>
        <v>0.29130399895825637</v>
      </c>
      <c r="AC310" s="748">
        <v>5432.9282925776415</v>
      </c>
      <c r="AD310" s="802">
        <v>15456.721616591258</v>
      </c>
      <c r="AE310" s="796">
        <f t="shared" si="999"/>
        <v>0.29130399895825637</v>
      </c>
      <c r="AF310" s="748">
        <v>4502.6048176975582</v>
      </c>
      <c r="AG310" s="802">
        <v>25270.450725764731</v>
      </c>
      <c r="AH310" s="796">
        <f t="shared" si="1000"/>
        <v>0.29130399895825637</v>
      </c>
      <c r="AI310" s="748">
        <v>7361.3833518928386</v>
      </c>
      <c r="AJ310" s="802">
        <v>30020.764181026705</v>
      </c>
      <c r="AK310" s="796">
        <f t="shared" si="1001"/>
        <v>0.29130399895825637</v>
      </c>
      <c r="AL310" s="748">
        <v>8745.1686577158634</v>
      </c>
      <c r="AM310" s="802">
        <v>15222.092841122128</v>
      </c>
      <c r="AN310" s="796">
        <f t="shared" si="1002"/>
        <v>0.29130399895825637</v>
      </c>
      <c r="AO310" s="748">
        <v>4434.2565171327224</v>
      </c>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964"/>
        <v>PiècesSous-total Pièces et Acc.</v>
      </c>
      <c r="B311" s="727" t="s">
        <v>188</v>
      </c>
      <c r="C311" s="843">
        <f>C306+C309+C310</f>
        <v>4726982.4549530465</v>
      </c>
      <c r="D311" s="844">
        <f>IF(C311&lt;=0,0,E311/C311)</f>
        <v>0.28252581661892301</v>
      </c>
      <c r="E311" s="845">
        <f>E306+E309+E310</f>
        <v>1335494.5782289309</v>
      </c>
      <c r="F311" s="843">
        <f>F306+F309+F310</f>
        <v>350623.71480831533</v>
      </c>
      <c r="G311" s="844">
        <f>IF(F311&lt;=0,0,H311/F311)</f>
        <v>0.27311783184986554</v>
      </c>
      <c r="H311" s="845">
        <f>H306+H309+H310</f>
        <v>95761.588783592684</v>
      </c>
      <c r="I311" s="843">
        <f t="shared" ref="I311" si="1003">I306+I309+I310</f>
        <v>321829.28858915047</v>
      </c>
      <c r="J311" s="844">
        <f t="shared" si="992"/>
        <v>0.27842352266526732</v>
      </c>
      <c r="K311" s="845">
        <f t="shared" ref="K311:L311" si="1004">K306+K309+K310</f>
        <v>89604.844225848195</v>
      </c>
      <c r="L311" s="843">
        <f t="shared" si="1004"/>
        <v>334211.79779820982</v>
      </c>
      <c r="M311" s="844">
        <f t="shared" si="993"/>
        <v>0.28137544066373149</v>
      </c>
      <c r="N311" s="845">
        <f t="shared" ref="N311:O311" si="1005">N306+N309+N310</f>
        <v>94038.991880489222</v>
      </c>
      <c r="O311" s="843">
        <f t="shared" si="1005"/>
        <v>377267.34896704485</v>
      </c>
      <c r="P311" s="844">
        <f t="shared" si="994"/>
        <v>0.2956187786784627</v>
      </c>
      <c r="Q311" s="845">
        <f t="shared" ref="Q311:R311" si="1006">Q306+Q309+Q310</f>
        <v>111527.31293689919</v>
      </c>
      <c r="R311" s="843">
        <f t="shared" si="1006"/>
        <v>395738.32213523862</v>
      </c>
      <c r="S311" s="844">
        <f t="shared" si="995"/>
        <v>0.28386209549157743</v>
      </c>
      <c r="T311" s="845">
        <f t="shared" ref="T311:U311" si="1007">T306+T309+T310</f>
        <v>112335.10938762974</v>
      </c>
      <c r="U311" s="843">
        <f t="shared" si="1007"/>
        <v>421238.74072767165</v>
      </c>
      <c r="V311" s="844">
        <f t="shared" si="996"/>
        <v>0.28476237092158196</v>
      </c>
      <c r="W311" s="845">
        <f t="shared" ref="W311:X311" si="1008">W306+W309+W310</f>
        <v>119952.94253363332</v>
      </c>
      <c r="X311" s="843">
        <f t="shared" si="1008"/>
        <v>375425.94081277651</v>
      </c>
      <c r="Y311" s="844">
        <f t="shared" si="997"/>
        <v>0.28795137961357337</v>
      </c>
      <c r="Z311" s="845">
        <f t="shared" ref="Z311:AA311" si="1009">Z306+Z309+Z310</f>
        <v>108104.41759976273</v>
      </c>
      <c r="AA311" s="843">
        <f t="shared" si="1009"/>
        <v>397126.02931936696</v>
      </c>
      <c r="AB311" s="844">
        <f t="shared" si="998"/>
        <v>0.28540761361789568</v>
      </c>
      <c r="AC311" s="845">
        <f t="shared" ref="AC311:AD311" si="1010">AC306+AC309+AC310</f>
        <v>113342.792333591</v>
      </c>
      <c r="AD311" s="843">
        <f t="shared" si="1010"/>
        <v>379082.77610823436</v>
      </c>
      <c r="AE311" s="844">
        <f t="shared" si="999"/>
        <v>0.27853914151178666</v>
      </c>
      <c r="AF311" s="845">
        <f t="shared" ref="AF311:AG311" si="1011">AF306+AF309+AF310</f>
        <v>105589.39101909242</v>
      </c>
      <c r="AG311" s="843">
        <f t="shared" si="1011"/>
        <v>490001.2218241372</v>
      </c>
      <c r="AH311" s="844">
        <f t="shared" si="1000"/>
        <v>0.27893457551118755</v>
      </c>
      <c r="AI311" s="845">
        <f t="shared" ref="AI311:AJ311" si="1012">AI306+AI309+AI310</f>
        <v>136678.28280947896</v>
      </c>
      <c r="AJ311" s="843">
        <f t="shared" si="1012"/>
        <v>545075.17972311052</v>
      </c>
      <c r="AK311" s="844">
        <f t="shared" si="1001"/>
        <v>0.28344558825136629</v>
      </c>
      <c r="AL311" s="845">
        <f t="shared" ref="AL311:AM311" si="1013">AL306+AL309+AL310</f>
        <v>154499.15495783626</v>
      </c>
      <c r="AM311" s="843">
        <f t="shared" si="1013"/>
        <v>339362.09413978911</v>
      </c>
      <c r="AN311" s="844">
        <f t="shared" si="1002"/>
        <v>0.27716634057053041</v>
      </c>
      <c r="AO311" s="845">
        <f t="shared" ref="AO311" si="1014">AO306+AO309+AO310</f>
        <v>94059.749761077197</v>
      </c>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964"/>
        <v>Pièces</v>
      </c>
      <c r="B312" s="710"/>
      <c r="C312" s="710"/>
      <c r="D312" s="732"/>
      <c r="E312" s="720"/>
      <c r="F312" s="710"/>
      <c r="G312" s="732"/>
      <c r="H312" s="720"/>
      <c r="I312" s="710"/>
      <c r="J312" s="732"/>
      <c r="K312" s="720"/>
      <c r="L312" s="710"/>
      <c r="M312" s="732"/>
      <c r="N312" s="720"/>
      <c r="O312" s="710"/>
      <c r="P312" s="732"/>
      <c r="Q312" s="720"/>
      <c r="R312" s="710"/>
      <c r="S312" s="732"/>
      <c r="T312" s="720"/>
      <c r="U312" s="710"/>
      <c r="V312" s="732"/>
      <c r="W312" s="720"/>
      <c r="X312" s="710"/>
      <c r="Y312" s="732"/>
      <c r="Z312" s="720"/>
      <c r="AA312" s="710"/>
      <c r="AB312" s="732"/>
      <c r="AC312" s="720"/>
      <c r="AD312" s="710"/>
      <c r="AE312" s="732"/>
      <c r="AF312" s="720"/>
      <c r="AG312" s="710"/>
      <c r="AH312" s="732"/>
      <c r="AI312" s="720"/>
      <c r="AJ312" s="710"/>
      <c r="AK312" s="732"/>
      <c r="AL312" s="720"/>
      <c r="AM312" s="710"/>
      <c r="AN312" s="732"/>
      <c r="AO312" s="720"/>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0.25">
      <c r="A313" s="618" t="str">
        <f t="shared" si="964"/>
        <v>Pièces</v>
      </c>
      <c r="B313" s="710"/>
      <c r="C313" s="801">
        <f>+SUM(F313,I313,L313,O313,R313,U313,X313,AA313,AD313,AG313,AJ313,AM313)</f>
        <v>0</v>
      </c>
      <c r="D313" s="1194">
        <f>IF(C313&lt;=0,0,E313/C313)</f>
        <v>0</v>
      </c>
      <c r="E313" s="733">
        <f>+SUM(H313,K313,N313,Q313,T313,W313,Z313,AC313,AF313,AI313,AL313,AO313)</f>
        <v>0</v>
      </c>
      <c r="F313" s="710">
        <v>0</v>
      </c>
      <c r="G313" s="1195">
        <f>IF(F313&lt;=0,0,H313/F313)</f>
        <v>0</v>
      </c>
      <c r="H313" s="720">
        <v>0</v>
      </c>
      <c r="I313" s="710">
        <v>0</v>
      </c>
      <c r="J313" s="1195">
        <f t="shared" ref="J313:J314" si="1015">IF(I313&lt;=0,0,K313/I313)</f>
        <v>0</v>
      </c>
      <c r="K313" s="720">
        <v>0</v>
      </c>
      <c r="L313" s="710">
        <v>0</v>
      </c>
      <c r="M313" s="1195">
        <f t="shared" ref="M313:M314" si="1016">IF(L313&lt;=0,0,N313/L313)</f>
        <v>0</v>
      </c>
      <c r="N313" s="720">
        <v>0</v>
      </c>
      <c r="O313" s="710">
        <v>0</v>
      </c>
      <c r="P313" s="1195">
        <f t="shared" ref="P313:P314" si="1017">IF(O313&lt;=0,0,Q313/O313)</f>
        <v>0</v>
      </c>
      <c r="Q313" s="720">
        <v>0</v>
      </c>
      <c r="R313" s="710">
        <v>0</v>
      </c>
      <c r="S313" s="1195">
        <f t="shared" ref="S313:S314" si="1018">IF(R313&lt;=0,0,T313/R313)</f>
        <v>0</v>
      </c>
      <c r="T313" s="720">
        <v>0</v>
      </c>
      <c r="U313" s="710">
        <v>0</v>
      </c>
      <c r="V313" s="1195">
        <f t="shared" ref="V313:V314" si="1019">IF(U313&lt;=0,0,W313/U313)</f>
        <v>0</v>
      </c>
      <c r="W313" s="720">
        <v>0</v>
      </c>
      <c r="X313" s="710">
        <v>0</v>
      </c>
      <c r="Y313" s="1195">
        <f t="shared" ref="Y313:Y314" si="1020">IF(X313&lt;=0,0,Z313/X313)</f>
        <v>0</v>
      </c>
      <c r="Z313" s="720">
        <v>0</v>
      </c>
      <c r="AA313" s="710">
        <v>0</v>
      </c>
      <c r="AB313" s="1195">
        <f t="shared" ref="AB313:AB314" si="1021">IF(AA313&lt;=0,0,AC313/AA313)</f>
        <v>0</v>
      </c>
      <c r="AC313" s="720">
        <v>0</v>
      </c>
      <c r="AD313" s="710">
        <v>0</v>
      </c>
      <c r="AE313" s="1195">
        <f t="shared" ref="AE313:AE314" si="1022">IF(AD313&lt;=0,0,AF313/AD313)</f>
        <v>0</v>
      </c>
      <c r="AF313" s="720">
        <v>0</v>
      </c>
      <c r="AG313" s="710">
        <v>0</v>
      </c>
      <c r="AH313" s="1195">
        <f t="shared" ref="AH313:AH314" si="1023">IF(AG313&lt;=0,0,AI313/AG313)</f>
        <v>0</v>
      </c>
      <c r="AI313" s="720">
        <v>0</v>
      </c>
      <c r="AJ313" s="710">
        <v>0</v>
      </c>
      <c r="AK313" s="1195">
        <f t="shared" ref="AK313:AK314" si="1024">IF(AJ313&lt;=0,0,AL313/AJ313)</f>
        <v>0</v>
      </c>
      <c r="AL313" s="720">
        <v>0</v>
      </c>
      <c r="AM313" s="710">
        <v>0</v>
      </c>
      <c r="AN313" s="1195">
        <f t="shared" ref="AN313:AN314" si="1025">IF(AM313&lt;=0,0,AO313/AM313)</f>
        <v>0</v>
      </c>
      <c r="AO313" s="720">
        <v>0</v>
      </c>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0.25">
      <c r="A314" s="618" t="str">
        <f t="shared" si="964"/>
        <v>PiècesAutostock</v>
      </c>
      <c r="B314" s="705" t="s">
        <v>189</v>
      </c>
      <c r="C314" s="847">
        <f>+SUM(F314,I314,L314,O314,R314,U314,X314,AA314,AD314,AG314,AJ314,AM314)</f>
        <v>0</v>
      </c>
      <c r="D314" s="848">
        <f>IF(C314&lt;=0,0,E314/C314)</f>
        <v>0</v>
      </c>
      <c r="E314" s="766">
        <f>+SUM(H314,K314,N314,Q314,T314,W314,Z314,AC314,AF314,AI314,AL314,AO314)</f>
        <v>0</v>
      </c>
      <c r="F314" s="849">
        <v>0</v>
      </c>
      <c r="G314" s="848">
        <f>IF(F314&lt;=0,0,H314/F314)</f>
        <v>0</v>
      </c>
      <c r="H314" s="767">
        <v>0</v>
      </c>
      <c r="I314" s="849">
        <v>0</v>
      </c>
      <c r="J314" s="848">
        <f t="shared" si="1015"/>
        <v>0</v>
      </c>
      <c r="K314" s="767">
        <v>0</v>
      </c>
      <c r="L314" s="849">
        <v>0</v>
      </c>
      <c r="M314" s="848">
        <f t="shared" si="1016"/>
        <v>0</v>
      </c>
      <c r="N314" s="767">
        <v>0</v>
      </c>
      <c r="O314" s="849">
        <v>0</v>
      </c>
      <c r="P314" s="848">
        <f t="shared" si="1017"/>
        <v>0</v>
      </c>
      <c r="Q314" s="767">
        <v>0</v>
      </c>
      <c r="R314" s="849">
        <v>0</v>
      </c>
      <c r="S314" s="848">
        <f t="shared" si="1018"/>
        <v>0</v>
      </c>
      <c r="T314" s="767">
        <v>0</v>
      </c>
      <c r="U314" s="849">
        <v>0</v>
      </c>
      <c r="V314" s="848">
        <f t="shared" si="1019"/>
        <v>0</v>
      </c>
      <c r="W314" s="767">
        <v>0</v>
      </c>
      <c r="X314" s="849">
        <v>0</v>
      </c>
      <c r="Y314" s="848">
        <f t="shared" si="1020"/>
        <v>0</v>
      </c>
      <c r="Z314" s="767">
        <v>0</v>
      </c>
      <c r="AA314" s="849">
        <v>0</v>
      </c>
      <c r="AB314" s="848">
        <f t="shared" si="1021"/>
        <v>0</v>
      </c>
      <c r="AC314" s="767">
        <v>0</v>
      </c>
      <c r="AD314" s="849">
        <v>0</v>
      </c>
      <c r="AE314" s="848">
        <f t="shared" si="1022"/>
        <v>0</v>
      </c>
      <c r="AF314" s="767">
        <v>0</v>
      </c>
      <c r="AG314" s="849">
        <v>0</v>
      </c>
      <c r="AH314" s="848">
        <f t="shared" si="1023"/>
        <v>0</v>
      </c>
      <c r="AI314" s="767">
        <v>0</v>
      </c>
      <c r="AJ314" s="849">
        <v>0</v>
      </c>
      <c r="AK314" s="848">
        <f t="shared" si="1024"/>
        <v>0</v>
      </c>
      <c r="AL314" s="767">
        <v>0</v>
      </c>
      <c r="AM314" s="849">
        <v>0</v>
      </c>
      <c r="AN314" s="848">
        <f t="shared" si="1025"/>
        <v>0</v>
      </c>
      <c r="AO314" s="767">
        <v>0</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964"/>
        <v>Pièces</v>
      </c>
      <c r="B315" s="710"/>
      <c r="C315" s="801"/>
      <c r="D315" s="796"/>
      <c r="E315" s="733"/>
      <c r="F315" s="801"/>
      <c r="G315" s="796"/>
      <c r="H315" s="733"/>
      <c r="I315" s="801"/>
      <c r="J315" s="796"/>
      <c r="K315" s="733"/>
      <c r="L315" s="801"/>
      <c r="M315" s="796"/>
      <c r="N315" s="733"/>
      <c r="O315" s="801"/>
      <c r="P315" s="796"/>
      <c r="Q315" s="733"/>
      <c r="R315" s="801"/>
      <c r="S315" s="796"/>
      <c r="T315" s="733"/>
      <c r="U315" s="801"/>
      <c r="V315" s="796"/>
      <c r="W315" s="733"/>
      <c r="X315" s="801"/>
      <c r="Y315" s="796"/>
      <c r="Z315" s="733"/>
      <c r="AA315" s="801"/>
      <c r="AB315" s="796"/>
      <c r="AC315" s="733"/>
      <c r="AD315" s="801"/>
      <c r="AE315" s="796"/>
      <c r="AF315" s="733"/>
      <c r="AG315" s="801"/>
      <c r="AH315" s="796"/>
      <c r="AI315" s="733"/>
      <c r="AJ315" s="801"/>
      <c r="AK315" s="796"/>
      <c r="AL315" s="733"/>
      <c r="AM315" s="801"/>
      <c r="AN315" s="796"/>
      <c r="AO315" s="733"/>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964"/>
        <v>PiècesTotal Dépt. Pièces</v>
      </c>
      <c r="B316" s="734" t="s">
        <v>190</v>
      </c>
      <c r="C316" s="735">
        <f>C311+C314+C313</f>
        <v>4726982.4549530465</v>
      </c>
      <c r="D316" s="850">
        <f>IF(C316&lt;=0,0,E316/C316)</f>
        <v>0.28252581661892301</v>
      </c>
      <c r="E316" s="737">
        <f>E311+E314+E313</f>
        <v>1335494.5782289309</v>
      </c>
      <c r="F316" s="735">
        <f>F311+F314+F313</f>
        <v>350623.71480831533</v>
      </c>
      <c r="G316" s="850">
        <f>IF(F316&lt;=0,0,H316/F316)</f>
        <v>0.27311783184986554</v>
      </c>
      <c r="H316" s="737">
        <f>H311+H314+H313</f>
        <v>95761.588783592684</v>
      </c>
      <c r="I316" s="735">
        <f>I311+I314+I313</f>
        <v>321829.28858915047</v>
      </c>
      <c r="J316" s="850">
        <f>IF(I316&lt;=0,0,K316/I316)</f>
        <v>0.27842352266526732</v>
      </c>
      <c r="K316" s="737">
        <f>K311+K314+K313</f>
        <v>89604.844225848195</v>
      </c>
      <c r="L316" s="735">
        <f>L311+L314+L313</f>
        <v>334211.79779820982</v>
      </c>
      <c r="M316" s="850">
        <f>IF(L316&lt;=0,0,N316/L316)</f>
        <v>0.28137544066373149</v>
      </c>
      <c r="N316" s="737">
        <f>N311+N314+N313</f>
        <v>94038.991880489222</v>
      </c>
      <c r="O316" s="735">
        <f>O311+O314+O313</f>
        <v>377267.34896704485</v>
      </c>
      <c r="P316" s="850">
        <f>IF(O316&lt;=0,0,Q316/O316)</f>
        <v>0.2956187786784627</v>
      </c>
      <c r="Q316" s="737">
        <f>Q311+Q314+Q313</f>
        <v>111527.31293689919</v>
      </c>
      <c r="R316" s="735">
        <f>R311+R314+R313</f>
        <v>395738.32213523862</v>
      </c>
      <c r="S316" s="850">
        <f>IF(R316&lt;=0,0,T316/R316)</f>
        <v>0.28386209549157743</v>
      </c>
      <c r="T316" s="737">
        <f>T311+T314+T313</f>
        <v>112335.10938762974</v>
      </c>
      <c r="U316" s="735">
        <f>U311+U314+U313</f>
        <v>421238.74072767165</v>
      </c>
      <c r="V316" s="850">
        <f>IF(U316&lt;=0,0,W316/U316)</f>
        <v>0.28476237092158196</v>
      </c>
      <c r="W316" s="737">
        <f>W311+W314+W313</f>
        <v>119952.94253363332</v>
      </c>
      <c r="X316" s="735">
        <f>X311+X314+X313</f>
        <v>375425.94081277651</v>
      </c>
      <c r="Y316" s="850">
        <f>IF(X316&lt;=0,0,Z316/X316)</f>
        <v>0.28795137961357337</v>
      </c>
      <c r="Z316" s="737">
        <f>Z311+Z314+Z313</f>
        <v>108104.41759976273</v>
      </c>
      <c r="AA316" s="735">
        <f>AA311+AA314+AA313</f>
        <v>397126.02931936696</v>
      </c>
      <c r="AB316" s="850">
        <f>IF(AA316&lt;=0,0,AC316/AA316)</f>
        <v>0.28540761361789568</v>
      </c>
      <c r="AC316" s="737">
        <f>AC311+AC314+AC313</f>
        <v>113342.792333591</v>
      </c>
      <c r="AD316" s="735">
        <f>AD311+AD314+AD313</f>
        <v>379082.77610823436</v>
      </c>
      <c r="AE316" s="850">
        <f>IF(AD316&lt;=0,0,AF316/AD316)</f>
        <v>0.27853914151178666</v>
      </c>
      <c r="AF316" s="737">
        <f>AF311+AF314+AF313</f>
        <v>105589.39101909242</v>
      </c>
      <c r="AG316" s="735">
        <f>AG311+AG314+AG313</f>
        <v>490001.2218241372</v>
      </c>
      <c r="AH316" s="850">
        <f>IF(AG316&lt;=0,0,AI316/AG316)</f>
        <v>0.27893457551118755</v>
      </c>
      <c r="AI316" s="737">
        <f>AI311+AI314+AI313</f>
        <v>136678.28280947896</v>
      </c>
      <c r="AJ316" s="735">
        <f>AJ311+AJ314+AJ313</f>
        <v>545075.17972311052</v>
      </c>
      <c r="AK316" s="850">
        <f>IF(AJ316&lt;=0,0,AL316/AJ316)</f>
        <v>0.28344558825136629</v>
      </c>
      <c r="AL316" s="737">
        <f>AL311+AL314+AL313</f>
        <v>154499.15495783626</v>
      </c>
      <c r="AM316" s="735">
        <f>AM311+AM314+AM313</f>
        <v>339362.09413978911</v>
      </c>
      <c r="AN316" s="850">
        <f>IF(AM316&lt;=0,0,AO316/AM316)</f>
        <v>0.27716634057053041</v>
      </c>
      <c r="AO316" s="737">
        <f>AO311+AO314+AO313</f>
        <v>94059.749761077197</v>
      </c>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1" thickBot="1">
      <c r="A317" s="618" t="str">
        <f t="shared" si="964"/>
        <v>Pièces</v>
      </c>
      <c r="B317" s="851"/>
      <c r="C317" s="852"/>
      <c r="D317" s="853"/>
      <c r="E317" s="854"/>
      <c r="F317" s="852"/>
      <c r="G317" s="853"/>
      <c r="H317" s="854"/>
      <c r="I317" s="852"/>
      <c r="J317" s="853"/>
      <c r="K317" s="854"/>
      <c r="L317" s="852"/>
      <c r="M317" s="853"/>
      <c r="N317" s="854"/>
      <c r="O317" s="852"/>
      <c r="P317" s="853"/>
      <c r="Q317" s="854"/>
      <c r="R317" s="852"/>
      <c r="S317" s="853"/>
      <c r="T317" s="854"/>
      <c r="U317" s="852"/>
      <c r="V317" s="853"/>
      <c r="W317" s="854"/>
      <c r="X317" s="852"/>
      <c r="Y317" s="853"/>
      <c r="Z317" s="854"/>
      <c r="AA317" s="852"/>
      <c r="AB317" s="853"/>
      <c r="AC317" s="854"/>
      <c r="AD317" s="852"/>
      <c r="AE317" s="853"/>
      <c r="AF317" s="854"/>
      <c r="AG317" s="852"/>
      <c r="AH317" s="853"/>
      <c r="AI317" s="854"/>
      <c r="AJ317" s="852"/>
      <c r="AK317" s="853"/>
      <c r="AL317" s="854"/>
      <c r="AM317" s="852"/>
      <c r="AN317" s="853"/>
      <c r="AO317" s="854"/>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1" thickTop="1">
      <c r="A318" s="618" t="str">
        <f t="shared" si="964"/>
        <v>Pièces</v>
      </c>
      <c r="B318" s="741"/>
      <c r="C318" s="855"/>
      <c r="D318" s="856"/>
      <c r="E318" s="776"/>
      <c r="F318" s="855"/>
      <c r="G318" s="856"/>
      <c r="H318" s="776"/>
      <c r="I318" s="855"/>
      <c r="J318" s="856"/>
      <c r="K318" s="776"/>
      <c r="L318" s="855"/>
      <c r="M318" s="856"/>
      <c r="N318" s="776"/>
      <c r="O318" s="855"/>
      <c r="P318" s="856"/>
      <c r="Q318" s="776"/>
      <c r="R318" s="855"/>
      <c r="S318" s="856"/>
      <c r="T318" s="776"/>
      <c r="U318" s="855"/>
      <c r="V318" s="856"/>
      <c r="W318" s="776"/>
      <c r="X318" s="855"/>
      <c r="Y318" s="856"/>
      <c r="Z318" s="776"/>
      <c r="AA318" s="855"/>
      <c r="AB318" s="856"/>
      <c r="AC318" s="776"/>
      <c r="AD318" s="855"/>
      <c r="AE318" s="856"/>
      <c r="AF318" s="776"/>
      <c r="AG318" s="855"/>
      <c r="AH318" s="856"/>
      <c r="AI318" s="776"/>
      <c r="AJ318" s="855"/>
      <c r="AK318" s="856"/>
      <c r="AL318" s="776"/>
      <c r="AM318" s="855"/>
      <c r="AN318" s="856"/>
      <c r="AO318" s="776"/>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964"/>
        <v>PiècesDEPENSES</v>
      </c>
      <c r="B319" s="744" t="s">
        <v>102</v>
      </c>
      <c r="C319" s="710"/>
      <c r="D319" s="732"/>
      <c r="E319" s="720"/>
      <c r="F319" s="710"/>
      <c r="G319" s="732"/>
      <c r="H319" s="720"/>
      <c r="I319" s="710"/>
      <c r="J319" s="732"/>
      <c r="K319" s="720"/>
      <c r="L319" s="710"/>
      <c r="M319" s="732"/>
      <c r="N319" s="720"/>
      <c r="O319" s="710"/>
      <c r="P319" s="732"/>
      <c r="Q319" s="720"/>
      <c r="R319" s="710"/>
      <c r="S319" s="732"/>
      <c r="T319" s="720"/>
      <c r="U319" s="710"/>
      <c r="V319" s="732"/>
      <c r="W319" s="720"/>
      <c r="X319" s="710"/>
      <c r="Y319" s="732"/>
      <c r="Z319" s="720"/>
      <c r="AA319" s="710"/>
      <c r="AB319" s="732"/>
      <c r="AC319" s="720"/>
      <c r="AD319" s="710"/>
      <c r="AE319" s="732"/>
      <c r="AF319" s="720"/>
      <c r="AG319" s="710"/>
      <c r="AH319" s="732"/>
      <c r="AI319" s="720"/>
      <c r="AJ319" s="710"/>
      <c r="AK319" s="732"/>
      <c r="AL319" s="720"/>
      <c r="AM319" s="710"/>
      <c r="AN319" s="732"/>
      <c r="AO319" s="720"/>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964"/>
        <v>PiècesSalaires cadres</v>
      </c>
      <c r="B320" s="757" t="s">
        <v>112</v>
      </c>
      <c r="C320" s="710"/>
      <c r="D320" s="732"/>
      <c r="E320" s="733">
        <f t="shared" ref="E320:E331" si="1026">+SUM(H320,K320,N320,Q320,T320,W320,Z320,AC320,AF320,AI320,AL320,AO320)</f>
        <v>30921.799999999996</v>
      </c>
      <c r="F320" s="710"/>
      <c r="G320" s="732"/>
      <c r="H320" s="748">
        <v>2487.96091954023</v>
      </c>
      <c r="I320" s="710"/>
      <c r="J320" s="732"/>
      <c r="K320" s="748">
        <v>2369.4865900383143</v>
      </c>
      <c r="L320" s="710"/>
      <c r="M320" s="732"/>
      <c r="N320" s="748">
        <v>2724.9095785440613</v>
      </c>
      <c r="O320" s="710"/>
      <c r="P320" s="732"/>
      <c r="Q320" s="748">
        <v>2487.96091954023</v>
      </c>
      <c r="R320" s="710"/>
      <c r="S320" s="732"/>
      <c r="T320" s="748">
        <v>2606.4352490421456</v>
      </c>
      <c r="U320" s="710"/>
      <c r="V320" s="732"/>
      <c r="W320" s="748">
        <v>2606.4352490421456</v>
      </c>
      <c r="X320" s="710"/>
      <c r="Y320" s="732"/>
      <c r="Z320" s="748">
        <v>2606.4352490421456</v>
      </c>
      <c r="AA320" s="710"/>
      <c r="AB320" s="732"/>
      <c r="AC320" s="748">
        <v>2606.4352490421456</v>
      </c>
      <c r="AD320" s="710"/>
      <c r="AE320" s="732"/>
      <c r="AF320" s="748">
        <v>2606.4352490421456</v>
      </c>
      <c r="AG320" s="710"/>
      <c r="AH320" s="732"/>
      <c r="AI320" s="748">
        <v>2487.96091954023</v>
      </c>
      <c r="AJ320" s="710"/>
      <c r="AK320" s="732"/>
      <c r="AL320" s="748">
        <v>2606.4352490421456</v>
      </c>
      <c r="AM320" s="710"/>
      <c r="AN320" s="732"/>
      <c r="AO320" s="748">
        <v>2724.9095785440613</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964"/>
        <v>PiècesSalaires commis</v>
      </c>
      <c r="B321" s="758" t="s">
        <v>113</v>
      </c>
      <c r="C321" s="710"/>
      <c r="D321" s="732"/>
      <c r="E321" s="733">
        <f t="shared" si="1026"/>
        <v>51802.919188000014</v>
      </c>
      <c r="F321" s="710"/>
      <c r="G321" s="732"/>
      <c r="H321" s="748">
        <v>4171.6026932873565</v>
      </c>
      <c r="I321" s="710"/>
      <c r="J321" s="732"/>
      <c r="K321" s="748">
        <v>3977.8597078927205</v>
      </c>
      <c r="L321" s="710"/>
      <c r="M321" s="732"/>
      <c r="N321" s="748">
        <v>4559.0886640766294</v>
      </c>
      <c r="O321" s="710"/>
      <c r="P321" s="732"/>
      <c r="Q321" s="748">
        <v>4171.6026932873565</v>
      </c>
      <c r="R321" s="710"/>
      <c r="S321" s="732"/>
      <c r="T321" s="748">
        <v>4365.3456786819925</v>
      </c>
      <c r="U321" s="710"/>
      <c r="V321" s="732"/>
      <c r="W321" s="748">
        <v>4365.3456786819925</v>
      </c>
      <c r="X321" s="710"/>
      <c r="Y321" s="732"/>
      <c r="Z321" s="748">
        <v>4365.3456786819925</v>
      </c>
      <c r="AA321" s="710"/>
      <c r="AB321" s="732"/>
      <c r="AC321" s="748">
        <v>4365.3456786819925</v>
      </c>
      <c r="AD321" s="710"/>
      <c r="AE321" s="732"/>
      <c r="AF321" s="748">
        <v>4365.3456786819925</v>
      </c>
      <c r="AG321" s="710"/>
      <c r="AH321" s="732"/>
      <c r="AI321" s="748">
        <v>4171.6026932873565</v>
      </c>
      <c r="AJ321" s="710"/>
      <c r="AK321" s="732"/>
      <c r="AL321" s="748">
        <v>4365.3456786819925</v>
      </c>
      <c r="AM321" s="710"/>
      <c r="AN321" s="732"/>
      <c r="AO321" s="748">
        <v>4559.0886640766294</v>
      </c>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964"/>
        <v>PiècesSalaires autres</v>
      </c>
      <c r="B322" s="757" t="s">
        <v>114</v>
      </c>
      <c r="C322" s="701"/>
      <c r="D322" s="759"/>
      <c r="E322" s="760">
        <f t="shared" si="1026"/>
        <v>291456.99875199998</v>
      </c>
      <c r="F322" s="701"/>
      <c r="G322" s="759"/>
      <c r="H322" s="761">
        <v>23500.879209931034</v>
      </c>
      <c r="I322" s="701"/>
      <c r="J322" s="759"/>
      <c r="K322" s="761">
        <v>22451.273850727965</v>
      </c>
      <c r="L322" s="701"/>
      <c r="M322" s="759"/>
      <c r="N322" s="761">
        <v>25600.089928337162</v>
      </c>
      <c r="O322" s="701"/>
      <c r="P322" s="759"/>
      <c r="Q322" s="761">
        <v>23500.879209931034</v>
      </c>
      <c r="R322" s="701"/>
      <c r="S322" s="759"/>
      <c r="T322" s="761">
        <v>24550.484569134096</v>
      </c>
      <c r="U322" s="701"/>
      <c r="V322" s="759"/>
      <c r="W322" s="761">
        <v>24550.484569134096</v>
      </c>
      <c r="X322" s="701"/>
      <c r="Y322" s="759"/>
      <c r="Z322" s="761">
        <v>24550.484569134096</v>
      </c>
      <c r="AA322" s="701"/>
      <c r="AB322" s="759"/>
      <c r="AC322" s="761">
        <v>24550.484569134096</v>
      </c>
      <c r="AD322" s="701"/>
      <c r="AE322" s="759"/>
      <c r="AF322" s="761">
        <v>24550.484569134096</v>
      </c>
      <c r="AG322" s="701"/>
      <c r="AH322" s="759"/>
      <c r="AI322" s="761">
        <v>23500.879209931034</v>
      </c>
      <c r="AJ322" s="701"/>
      <c r="AK322" s="759"/>
      <c r="AL322" s="761">
        <v>24550.484569134096</v>
      </c>
      <c r="AM322" s="701"/>
      <c r="AN322" s="759"/>
      <c r="AO322" s="761">
        <v>25600.089928337162</v>
      </c>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964"/>
        <v>PiècesSalaires spécialistes</v>
      </c>
      <c r="B323" s="757" t="s">
        <v>115</v>
      </c>
      <c r="C323" s="710"/>
      <c r="D323" s="732"/>
      <c r="E323" s="733">
        <f t="shared" si="1026"/>
        <v>0</v>
      </c>
      <c r="F323" s="710"/>
      <c r="G323" s="732"/>
      <c r="H323" s="748">
        <v>0</v>
      </c>
      <c r="I323" s="710"/>
      <c r="J323" s="732"/>
      <c r="K323" s="748">
        <v>0</v>
      </c>
      <c r="L323" s="710"/>
      <c r="M323" s="732"/>
      <c r="N323" s="748">
        <v>0</v>
      </c>
      <c r="O323" s="710"/>
      <c r="P323" s="732"/>
      <c r="Q323" s="748">
        <v>0</v>
      </c>
      <c r="R323" s="710"/>
      <c r="S323" s="732"/>
      <c r="T323" s="748">
        <v>0</v>
      </c>
      <c r="U323" s="710"/>
      <c r="V323" s="732"/>
      <c r="W323" s="748">
        <v>0</v>
      </c>
      <c r="X323" s="710"/>
      <c r="Y323" s="732"/>
      <c r="Z323" s="748">
        <v>0</v>
      </c>
      <c r="AA323" s="710"/>
      <c r="AB323" s="732"/>
      <c r="AC323" s="748">
        <v>0</v>
      </c>
      <c r="AD323" s="710"/>
      <c r="AE323" s="732"/>
      <c r="AF323" s="748">
        <v>0</v>
      </c>
      <c r="AG323" s="710"/>
      <c r="AH323" s="732"/>
      <c r="AI323" s="748">
        <v>0</v>
      </c>
      <c r="AJ323" s="710"/>
      <c r="AK323" s="732"/>
      <c r="AL323" s="748">
        <v>0</v>
      </c>
      <c r="AM323" s="710"/>
      <c r="AN323" s="732"/>
      <c r="AO323" s="748">
        <v>0</v>
      </c>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964"/>
        <v>Pièces[...]</v>
      </c>
      <c r="B324" s="710" t="s">
        <v>42</v>
      </c>
      <c r="C324" s="710"/>
      <c r="D324" s="732"/>
      <c r="E324" s="733">
        <f t="shared" si="1026"/>
        <v>0</v>
      </c>
      <c r="F324" s="710"/>
      <c r="G324" s="732"/>
      <c r="H324" s="748">
        <v>0</v>
      </c>
      <c r="I324" s="710"/>
      <c r="J324" s="732"/>
      <c r="K324" s="748">
        <v>0</v>
      </c>
      <c r="L324" s="710"/>
      <c r="M324" s="732"/>
      <c r="N324" s="748">
        <v>0</v>
      </c>
      <c r="O324" s="710"/>
      <c r="P324" s="732"/>
      <c r="Q324" s="748">
        <v>0</v>
      </c>
      <c r="R324" s="710"/>
      <c r="S324" s="732"/>
      <c r="T324" s="748">
        <v>0</v>
      </c>
      <c r="U324" s="710"/>
      <c r="V324" s="732"/>
      <c r="W324" s="748">
        <v>0</v>
      </c>
      <c r="X324" s="710"/>
      <c r="Y324" s="732"/>
      <c r="Z324" s="748">
        <v>0</v>
      </c>
      <c r="AA324" s="710"/>
      <c r="AB324" s="732"/>
      <c r="AC324" s="748">
        <v>0</v>
      </c>
      <c r="AD324" s="710"/>
      <c r="AE324" s="732"/>
      <c r="AF324" s="748">
        <v>0</v>
      </c>
      <c r="AG324" s="710"/>
      <c r="AH324" s="732"/>
      <c r="AI324" s="748">
        <v>0</v>
      </c>
      <c r="AJ324" s="710"/>
      <c r="AK324" s="732"/>
      <c r="AL324" s="748">
        <v>0</v>
      </c>
      <c r="AM324" s="710"/>
      <c r="AN324" s="732"/>
      <c r="AO324" s="748">
        <v>0</v>
      </c>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964"/>
        <v>Pièces[...]</v>
      </c>
      <c r="B325" s="710" t="s">
        <v>42</v>
      </c>
      <c r="C325" s="710"/>
      <c r="D325" s="732"/>
      <c r="E325" s="733">
        <f t="shared" si="1026"/>
        <v>0</v>
      </c>
      <c r="F325" s="710"/>
      <c r="G325" s="732"/>
      <c r="H325" s="748">
        <v>0</v>
      </c>
      <c r="I325" s="710"/>
      <c r="J325" s="732"/>
      <c r="K325" s="748">
        <v>0</v>
      </c>
      <c r="L325" s="710"/>
      <c r="M325" s="732"/>
      <c r="N325" s="748">
        <v>0</v>
      </c>
      <c r="O325" s="710"/>
      <c r="P325" s="732"/>
      <c r="Q325" s="748">
        <v>0</v>
      </c>
      <c r="R325" s="710"/>
      <c r="S325" s="732"/>
      <c r="T325" s="748">
        <v>0</v>
      </c>
      <c r="U325" s="710"/>
      <c r="V325" s="732"/>
      <c r="W325" s="748">
        <v>0</v>
      </c>
      <c r="X325" s="710"/>
      <c r="Y325" s="732"/>
      <c r="Z325" s="748">
        <v>0</v>
      </c>
      <c r="AA325" s="710"/>
      <c r="AB325" s="732"/>
      <c r="AC325" s="748">
        <v>0</v>
      </c>
      <c r="AD325" s="710"/>
      <c r="AE325" s="732"/>
      <c r="AF325" s="748">
        <v>0</v>
      </c>
      <c r="AG325" s="710"/>
      <c r="AH325" s="732"/>
      <c r="AI325" s="748">
        <v>0</v>
      </c>
      <c r="AJ325" s="710"/>
      <c r="AK325" s="732"/>
      <c r="AL325" s="748">
        <v>0</v>
      </c>
      <c r="AM325" s="710"/>
      <c r="AN325" s="732"/>
      <c r="AO325" s="748">
        <v>0</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964"/>
        <v>Pièces[...]</v>
      </c>
      <c r="B326" s="710" t="s">
        <v>42</v>
      </c>
      <c r="C326" s="710"/>
      <c r="D326" s="732"/>
      <c r="E326" s="733">
        <f t="shared" si="1026"/>
        <v>0</v>
      </c>
      <c r="F326" s="710"/>
      <c r="G326" s="732"/>
      <c r="H326" s="748">
        <v>0</v>
      </c>
      <c r="I326" s="710"/>
      <c r="J326" s="732"/>
      <c r="K326" s="748">
        <v>0</v>
      </c>
      <c r="L326" s="710"/>
      <c r="M326" s="732"/>
      <c r="N326" s="748">
        <v>0</v>
      </c>
      <c r="O326" s="710"/>
      <c r="P326" s="732"/>
      <c r="Q326" s="748">
        <v>0</v>
      </c>
      <c r="R326" s="710"/>
      <c r="S326" s="732"/>
      <c r="T326" s="748">
        <v>0</v>
      </c>
      <c r="U326" s="710"/>
      <c r="V326" s="732"/>
      <c r="W326" s="748">
        <v>0</v>
      </c>
      <c r="X326" s="710"/>
      <c r="Y326" s="732"/>
      <c r="Z326" s="748">
        <v>0</v>
      </c>
      <c r="AA326" s="710"/>
      <c r="AB326" s="732"/>
      <c r="AC326" s="748">
        <v>0</v>
      </c>
      <c r="AD326" s="710"/>
      <c r="AE326" s="732"/>
      <c r="AF326" s="748">
        <v>0</v>
      </c>
      <c r="AG326" s="710"/>
      <c r="AH326" s="732"/>
      <c r="AI326" s="748">
        <v>0</v>
      </c>
      <c r="AJ326" s="710"/>
      <c r="AK326" s="732"/>
      <c r="AL326" s="748">
        <v>0</v>
      </c>
      <c r="AM326" s="710"/>
      <c r="AN326" s="732"/>
      <c r="AO326" s="748">
        <v>0</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964"/>
        <v>PiècesSalaires en absences</v>
      </c>
      <c r="B327" s="758" t="s">
        <v>116</v>
      </c>
      <c r="C327" s="710"/>
      <c r="D327" s="732"/>
      <c r="E327" s="733">
        <f t="shared" si="1026"/>
        <v>46820.503626307807</v>
      </c>
      <c r="F327" s="710"/>
      <c r="G327" s="732"/>
      <c r="H327" s="748">
        <v>3777.6323188809752</v>
      </c>
      <c r="I327" s="710"/>
      <c r="J327" s="732"/>
      <c r="K327" s="748">
        <v>3612.1972300214065</v>
      </c>
      <c r="L327" s="710"/>
      <c r="M327" s="732"/>
      <c r="N327" s="748">
        <v>4108.502496600111</v>
      </c>
      <c r="O327" s="710"/>
      <c r="P327" s="732"/>
      <c r="Q327" s="748">
        <v>3777.6323188809752</v>
      </c>
      <c r="R327" s="710"/>
      <c r="S327" s="732"/>
      <c r="T327" s="748">
        <v>3943.0674077405433</v>
      </c>
      <c r="U327" s="710"/>
      <c r="V327" s="732"/>
      <c r="W327" s="748">
        <v>3943.0674077405433</v>
      </c>
      <c r="X327" s="710"/>
      <c r="Y327" s="732"/>
      <c r="Z327" s="748">
        <v>3943.0674077405433</v>
      </c>
      <c r="AA327" s="710"/>
      <c r="AB327" s="732"/>
      <c r="AC327" s="748">
        <v>3943.0674077405433</v>
      </c>
      <c r="AD327" s="710"/>
      <c r="AE327" s="732"/>
      <c r="AF327" s="748">
        <v>3943.0674077405433</v>
      </c>
      <c r="AG327" s="710"/>
      <c r="AH327" s="732"/>
      <c r="AI327" s="748">
        <v>3777.6323188809752</v>
      </c>
      <c r="AJ327" s="710"/>
      <c r="AK327" s="732"/>
      <c r="AL327" s="748">
        <v>3943.0674077405433</v>
      </c>
      <c r="AM327" s="710"/>
      <c r="AN327" s="732"/>
      <c r="AO327" s="748">
        <v>4108.502496600111</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964"/>
        <v>PiècesDéduction à la source</v>
      </c>
      <c r="B328" s="757" t="s">
        <v>117</v>
      </c>
      <c r="C328" s="701"/>
      <c r="D328" s="759"/>
      <c r="E328" s="760">
        <f t="shared" si="1026"/>
        <v>41932.560367224003</v>
      </c>
      <c r="F328" s="701"/>
      <c r="G328" s="759"/>
      <c r="H328" s="761">
        <v>3383.2569705133797</v>
      </c>
      <c r="I328" s="701"/>
      <c r="J328" s="759"/>
      <c r="K328" s="761">
        <v>3235.0928903952181</v>
      </c>
      <c r="L328" s="701"/>
      <c r="M328" s="759"/>
      <c r="N328" s="761">
        <v>3679.585130749701</v>
      </c>
      <c r="O328" s="701"/>
      <c r="P328" s="759"/>
      <c r="Q328" s="761">
        <v>3383.2569705133797</v>
      </c>
      <c r="R328" s="701"/>
      <c r="S328" s="759"/>
      <c r="T328" s="761">
        <v>3531.4210506315403</v>
      </c>
      <c r="U328" s="701"/>
      <c r="V328" s="759"/>
      <c r="W328" s="761">
        <v>3531.4210506315403</v>
      </c>
      <c r="X328" s="701"/>
      <c r="Y328" s="759"/>
      <c r="Z328" s="761">
        <v>3531.4210506315403</v>
      </c>
      <c r="AA328" s="701"/>
      <c r="AB328" s="759"/>
      <c r="AC328" s="761">
        <v>3531.4210506315403</v>
      </c>
      <c r="AD328" s="701"/>
      <c r="AE328" s="759"/>
      <c r="AF328" s="761">
        <v>3531.4210506315403</v>
      </c>
      <c r="AG328" s="701"/>
      <c r="AH328" s="759"/>
      <c r="AI328" s="761">
        <v>3383.2569705133797</v>
      </c>
      <c r="AJ328" s="701"/>
      <c r="AK328" s="759"/>
      <c r="AL328" s="761">
        <v>3531.4210506315403</v>
      </c>
      <c r="AM328" s="701"/>
      <c r="AN328" s="759"/>
      <c r="AO328" s="761">
        <v>3679.585130749701</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964"/>
        <v>PiècesBénéfices marginaux</v>
      </c>
      <c r="B329" s="762" t="s">
        <v>118</v>
      </c>
      <c r="C329" s="710"/>
      <c r="D329" s="732"/>
      <c r="E329" s="733">
        <f t="shared" si="1026"/>
        <v>33299.386173972009</v>
      </c>
      <c r="F329" s="710"/>
      <c r="G329" s="732"/>
      <c r="H329" s="748">
        <v>2686.7040648194488</v>
      </c>
      <c r="I329" s="710"/>
      <c r="J329" s="732"/>
      <c r="K329" s="748">
        <v>2569.0443541373793</v>
      </c>
      <c r="L329" s="710"/>
      <c r="M329" s="732"/>
      <c r="N329" s="748">
        <v>2922.0234861835861</v>
      </c>
      <c r="O329" s="710"/>
      <c r="P329" s="732"/>
      <c r="Q329" s="748">
        <v>2686.7040648194488</v>
      </c>
      <c r="R329" s="710"/>
      <c r="S329" s="732"/>
      <c r="T329" s="748">
        <v>2804.3637755015175</v>
      </c>
      <c r="U329" s="710"/>
      <c r="V329" s="732"/>
      <c r="W329" s="748">
        <v>2804.3637755015175</v>
      </c>
      <c r="X329" s="710"/>
      <c r="Y329" s="732"/>
      <c r="Z329" s="748">
        <v>2804.3637755015175</v>
      </c>
      <c r="AA329" s="710"/>
      <c r="AB329" s="732"/>
      <c r="AC329" s="748">
        <v>2804.3637755015175</v>
      </c>
      <c r="AD329" s="710"/>
      <c r="AE329" s="732"/>
      <c r="AF329" s="748">
        <v>2804.3637755015175</v>
      </c>
      <c r="AG329" s="710"/>
      <c r="AH329" s="732"/>
      <c r="AI329" s="748">
        <v>2686.7040648194488</v>
      </c>
      <c r="AJ329" s="710"/>
      <c r="AK329" s="732"/>
      <c r="AL329" s="748">
        <v>2804.3637755015175</v>
      </c>
      <c r="AM329" s="710"/>
      <c r="AN329" s="732"/>
      <c r="AO329" s="748">
        <v>2922.0234861835861</v>
      </c>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964"/>
        <v>PiècesCsst</v>
      </c>
      <c r="B330" s="757" t="s">
        <v>119</v>
      </c>
      <c r="C330" s="710"/>
      <c r="D330" s="732"/>
      <c r="E330" s="733">
        <f t="shared" si="1026"/>
        <v>13566.416589396</v>
      </c>
      <c r="F330" s="710"/>
      <c r="G330" s="732"/>
      <c r="H330" s="748">
        <v>1094.5831375190346</v>
      </c>
      <c r="I330" s="710"/>
      <c r="J330" s="732"/>
      <c r="K330" s="748">
        <v>1046.6476998337471</v>
      </c>
      <c r="L330" s="710"/>
      <c r="M330" s="732"/>
      <c r="N330" s="748">
        <v>1190.4540128896092</v>
      </c>
      <c r="O330" s="710"/>
      <c r="P330" s="732"/>
      <c r="Q330" s="748">
        <v>1094.5831375190346</v>
      </c>
      <c r="R330" s="710"/>
      <c r="S330" s="732"/>
      <c r="T330" s="748">
        <v>1142.5185752043219</v>
      </c>
      <c r="U330" s="710"/>
      <c r="V330" s="732"/>
      <c r="W330" s="748">
        <v>1142.5185752043219</v>
      </c>
      <c r="X330" s="710"/>
      <c r="Y330" s="732"/>
      <c r="Z330" s="748">
        <v>1142.5185752043219</v>
      </c>
      <c r="AA330" s="710"/>
      <c r="AB330" s="732"/>
      <c r="AC330" s="748">
        <v>1142.5185752043219</v>
      </c>
      <c r="AD330" s="710"/>
      <c r="AE330" s="732"/>
      <c r="AF330" s="748">
        <v>1142.5185752043219</v>
      </c>
      <c r="AG330" s="710"/>
      <c r="AH330" s="732"/>
      <c r="AI330" s="748">
        <v>1094.5831375190346</v>
      </c>
      <c r="AJ330" s="710"/>
      <c r="AK330" s="732"/>
      <c r="AL330" s="748">
        <v>1142.5185752043219</v>
      </c>
      <c r="AM330" s="710"/>
      <c r="AN330" s="732"/>
      <c r="AO330" s="748">
        <v>1190.4540128896092</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964"/>
        <v>Pièces[...]</v>
      </c>
      <c r="B331" s="710" t="s">
        <v>42</v>
      </c>
      <c r="C331" s="705"/>
      <c r="D331" s="763"/>
      <c r="E331" s="751">
        <f t="shared" si="1026"/>
        <v>0</v>
      </c>
      <c r="F331" s="705"/>
      <c r="G331" s="763"/>
      <c r="H331" s="751">
        <v>0</v>
      </c>
      <c r="I331" s="705"/>
      <c r="J331" s="763"/>
      <c r="K331" s="751">
        <v>0</v>
      </c>
      <c r="L331" s="705"/>
      <c r="M331" s="763"/>
      <c r="N331" s="751">
        <v>0</v>
      </c>
      <c r="O331" s="705"/>
      <c r="P331" s="763"/>
      <c r="Q331" s="751">
        <v>0</v>
      </c>
      <c r="R331" s="705"/>
      <c r="S331" s="763"/>
      <c r="T331" s="751">
        <v>0</v>
      </c>
      <c r="U331" s="705"/>
      <c r="V331" s="763"/>
      <c r="W331" s="751">
        <v>0</v>
      </c>
      <c r="X331" s="705"/>
      <c r="Y331" s="763"/>
      <c r="Z331" s="751">
        <v>0</v>
      </c>
      <c r="AA331" s="705"/>
      <c r="AB331" s="763"/>
      <c r="AC331" s="751">
        <v>0</v>
      </c>
      <c r="AD331" s="705"/>
      <c r="AE331" s="763"/>
      <c r="AF331" s="751">
        <v>0</v>
      </c>
      <c r="AG331" s="705"/>
      <c r="AH331" s="763"/>
      <c r="AI331" s="751">
        <v>0</v>
      </c>
      <c r="AJ331" s="705"/>
      <c r="AK331" s="763"/>
      <c r="AL331" s="751">
        <v>0</v>
      </c>
      <c r="AM331" s="705"/>
      <c r="AN331" s="763"/>
      <c r="AO331" s="751">
        <v>0</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964"/>
        <v>PiècesTOTAL PERSONNEL</v>
      </c>
      <c r="B332" s="753" t="s">
        <v>120</v>
      </c>
      <c r="C332" s="754" t="s">
        <v>111</v>
      </c>
      <c r="D332" s="755">
        <f>IFERROR(E332/E$316,0)</f>
        <v>0.38173167679420533</v>
      </c>
      <c r="E332" s="756">
        <f>+SUM(E320:E331)</f>
        <v>509800.58469689981</v>
      </c>
      <c r="F332" s="754" t="s">
        <v>111</v>
      </c>
      <c r="G332" s="755">
        <f>IFERROR(H332/H$316,0)</f>
        <v>0.42921822660417031</v>
      </c>
      <c r="H332" s="756">
        <v>41102.619314491458</v>
      </c>
      <c r="I332" s="754" t="s">
        <v>111</v>
      </c>
      <c r="J332" s="755">
        <f t="shared" ref="J332" si="1027">IFERROR(K332/K$316,0)</f>
        <v>0.4381638365899978</v>
      </c>
      <c r="K332" s="756">
        <v>39261.602323046754</v>
      </c>
      <c r="L332" s="754" t="s">
        <v>111</v>
      </c>
      <c r="M332" s="755">
        <f t="shared" ref="M332" si="1028">IFERROR(N332/N$316,0)</f>
        <v>0.47623493618791729</v>
      </c>
      <c r="N332" s="756">
        <v>44784.653297380857</v>
      </c>
      <c r="O332" s="754" t="s">
        <v>111</v>
      </c>
      <c r="P332" s="755">
        <f t="shared" ref="P332" si="1029">IFERROR(Q332/Q$316,0)</f>
        <v>0.36854307910876344</v>
      </c>
      <c r="Q332" s="756">
        <v>41102.619314491458</v>
      </c>
      <c r="R332" s="754" t="s">
        <v>111</v>
      </c>
      <c r="S332" s="755">
        <f t="shared" ref="S332" si="1030">IFERROR(T332/T$316,0)</f>
        <v>0.38228151946469802</v>
      </c>
      <c r="T332" s="756">
        <v>42943.636305936161</v>
      </c>
      <c r="U332" s="754" t="s">
        <v>111</v>
      </c>
      <c r="V332" s="755">
        <f t="shared" ref="V332" si="1031">IFERROR(W332/W$316,0)</f>
        <v>0.35800402556940442</v>
      </c>
      <c r="W332" s="756">
        <v>42943.636305936161</v>
      </c>
      <c r="X332" s="754" t="s">
        <v>111</v>
      </c>
      <c r="Y332" s="755">
        <f t="shared" ref="Y332" si="1032">IFERROR(Z332/Z$316,0)</f>
        <v>0.39724219656709397</v>
      </c>
      <c r="Z332" s="756">
        <v>42943.636305936161</v>
      </c>
      <c r="AA332" s="754" t="s">
        <v>111</v>
      </c>
      <c r="AB332" s="755">
        <f t="shared" ref="AB332" si="1033">IFERROR(AC332/AC$316,0)</f>
        <v>0.37888281576427252</v>
      </c>
      <c r="AC332" s="756">
        <v>42943.636305936161</v>
      </c>
      <c r="AD332" s="754" t="s">
        <v>111</v>
      </c>
      <c r="AE332" s="755">
        <f t="shared" ref="AE332" si="1034">IFERROR(AF332/AF$316,0)</f>
        <v>0.40670408164558119</v>
      </c>
      <c r="AF332" s="756">
        <v>42943.636305936161</v>
      </c>
      <c r="AG332" s="754" t="s">
        <v>111</v>
      </c>
      <c r="AH332" s="755">
        <f t="shared" ref="AH332" si="1035">IFERROR(AI332/AI$316,0)</f>
        <v>0.30072531253400336</v>
      </c>
      <c r="AI332" s="756">
        <v>41102.619314491458</v>
      </c>
      <c r="AJ332" s="754" t="s">
        <v>111</v>
      </c>
      <c r="AK332" s="755">
        <f t="shared" ref="AK332" si="1036">IFERROR(AL332/AL$316,0)</f>
        <v>0.27795385882632001</v>
      </c>
      <c r="AL332" s="756">
        <v>42943.636305936161</v>
      </c>
      <c r="AM332" s="754" t="s">
        <v>111</v>
      </c>
      <c r="AN332" s="755">
        <f t="shared" ref="AN332" si="1037">IFERROR(AO332/AO$316,0)</f>
        <v>0.47612983673823428</v>
      </c>
      <c r="AO332" s="756">
        <v>44784.653297380857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964"/>
        <v>PiècesPublicité 2</v>
      </c>
      <c r="B333" s="840" t="s">
        <v>121</v>
      </c>
      <c r="C333" s="710"/>
      <c r="D333" s="732"/>
      <c r="E333" s="733">
        <f t="shared" ref="E333:E350" si="1038">+SUM(H333,K333,N333,Q333,T333,W333,Z333,AC333,AF333,AI333,AL333,AO333)</f>
        <v>44705.850000000006</v>
      </c>
      <c r="F333" s="710"/>
      <c r="G333" s="732"/>
      <c r="H333" s="748">
        <v>3725.4874999999997</v>
      </c>
      <c r="I333" s="710"/>
      <c r="J333" s="732"/>
      <c r="K333" s="748">
        <v>3725.4874999999997</v>
      </c>
      <c r="L333" s="710"/>
      <c r="M333" s="732"/>
      <c r="N333" s="748">
        <v>3725.4874999999997</v>
      </c>
      <c r="O333" s="710"/>
      <c r="P333" s="732"/>
      <c r="Q333" s="748">
        <v>3725.4874999999997</v>
      </c>
      <c r="R333" s="710"/>
      <c r="S333" s="732"/>
      <c r="T333" s="748">
        <v>3725.4874999999997</v>
      </c>
      <c r="U333" s="710"/>
      <c r="V333" s="732"/>
      <c r="W333" s="748">
        <v>3725.4874999999997</v>
      </c>
      <c r="X333" s="710"/>
      <c r="Y333" s="732"/>
      <c r="Z333" s="748">
        <v>3725.4874999999997</v>
      </c>
      <c r="AA333" s="710"/>
      <c r="AB333" s="732"/>
      <c r="AC333" s="748">
        <v>3725.4874999999997</v>
      </c>
      <c r="AD333" s="710"/>
      <c r="AE333" s="732"/>
      <c r="AF333" s="748">
        <v>3725.4874999999997</v>
      </c>
      <c r="AG333" s="710"/>
      <c r="AH333" s="732"/>
      <c r="AI333" s="748">
        <v>3725.4874999999997</v>
      </c>
      <c r="AJ333" s="710"/>
      <c r="AK333" s="732"/>
      <c r="AL333" s="748">
        <v>3725.4874999999997</v>
      </c>
      <c r="AM333" s="710"/>
      <c r="AN333" s="732"/>
      <c r="AO333" s="748">
        <v>3725.4874999999997</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964"/>
        <v>PiècesService gratuit 2</v>
      </c>
      <c r="B334" s="757" t="s">
        <v>122</v>
      </c>
      <c r="C334" s="710"/>
      <c r="D334" s="732"/>
      <c r="E334" s="733">
        <f t="shared" si="1038"/>
        <v>8123.7873918357745</v>
      </c>
      <c r="F334" s="710"/>
      <c r="G334" s="732"/>
      <c r="H334" s="748">
        <v>473.39246719983549</v>
      </c>
      <c r="I334" s="710"/>
      <c r="J334" s="732"/>
      <c r="K334" s="748">
        <v>519.19001526256022</v>
      </c>
      <c r="L334" s="710"/>
      <c r="M334" s="732"/>
      <c r="N334" s="748">
        <v>523.1527286474377</v>
      </c>
      <c r="O334" s="710"/>
      <c r="P334" s="732"/>
      <c r="Q334" s="748">
        <v>880.6912573464183</v>
      </c>
      <c r="R334" s="710"/>
      <c r="S334" s="732"/>
      <c r="T334" s="748">
        <v>667.7179017090657</v>
      </c>
      <c r="U334" s="710"/>
      <c r="V334" s="732"/>
      <c r="W334" s="748">
        <v>615.56991667886973</v>
      </c>
      <c r="X334" s="710"/>
      <c r="Y334" s="732"/>
      <c r="Z334" s="748">
        <v>665.54770811836352</v>
      </c>
      <c r="AA334" s="710"/>
      <c r="AB334" s="732"/>
      <c r="AC334" s="748">
        <v>632.80174927679275</v>
      </c>
      <c r="AD334" s="710"/>
      <c r="AE334" s="732"/>
      <c r="AF334" s="748">
        <v>552.07610461045431</v>
      </c>
      <c r="AG334" s="710"/>
      <c r="AH334" s="732"/>
      <c r="AI334" s="748">
        <v>802.35495347336871</v>
      </c>
      <c r="AJ334" s="710"/>
      <c r="AK334" s="732"/>
      <c r="AL334" s="748">
        <v>1253.2363173541548</v>
      </c>
      <c r="AM334" s="710"/>
      <c r="AN334" s="732"/>
      <c r="AO334" s="748">
        <v>538.05627215845414</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964"/>
        <v>PiècesFrais véhicules de cie</v>
      </c>
      <c r="B335" s="758" t="s">
        <v>123</v>
      </c>
      <c r="C335" s="705"/>
      <c r="D335" s="763"/>
      <c r="E335" s="751">
        <f t="shared" si="1038"/>
        <v>5202</v>
      </c>
      <c r="F335" s="705"/>
      <c r="G335" s="763"/>
      <c r="H335" s="752">
        <v>433.5</v>
      </c>
      <c r="I335" s="705"/>
      <c r="J335" s="763"/>
      <c r="K335" s="752">
        <v>433.5</v>
      </c>
      <c r="L335" s="705"/>
      <c r="M335" s="763"/>
      <c r="N335" s="752">
        <v>433.5</v>
      </c>
      <c r="O335" s="705"/>
      <c r="P335" s="763"/>
      <c r="Q335" s="752">
        <v>433.5</v>
      </c>
      <c r="R335" s="705"/>
      <c r="S335" s="763"/>
      <c r="T335" s="752">
        <v>433.5</v>
      </c>
      <c r="U335" s="705"/>
      <c r="V335" s="763"/>
      <c r="W335" s="752">
        <v>433.5</v>
      </c>
      <c r="X335" s="705"/>
      <c r="Y335" s="763"/>
      <c r="Z335" s="752">
        <v>433.5</v>
      </c>
      <c r="AA335" s="705"/>
      <c r="AB335" s="763"/>
      <c r="AC335" s="752">
        <v>433.5</v>
      </c>
      <c r="AD335" s="705"/>
      <c r="AE335" s="763"/>
      <c r="AF335" s="752">
        <v>433.5</v>
      </c>
      <c r="AG335" s="705"/>
      <c r="AH335" s="763"/>
      <c r="AI335" s="752">
        <v>433.5</v>
      </c>
      <c r="AJ335" s="705"/>
      <c r="AK335" s="763"/>
      <c r="AL335" s="752">
        <v>433.5</v>
      </c>
      <c r="AM335" s="705"/>
      <c r="AN335" s="763"/>
      <c r="AO335" s="752">
        <v>433.5</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964"/>
        <v>PiècesInformatique</v>
      </c>
      <c r="B336" s="757" t="s">
        <v>124</v>
      </c>
      <c r="C336" s="710"/>
      <c r="D336" s="732"/>
      <c r="E336" s="733">
        <f t="shared" si="1038"/>
        <v>41873.822750000014</v>
      </c>
      <c r="F336" s="710"/>
      <c r="G336" s="732"/>
      <c r="H336" s="748">
        <v>3489.4852291666666</v>
      </c>
      <c r="I336" s="710"/>
      <c r="J336" s="732"/>
      <c r="K336" s="748">
        <v>3489.4852291666666</v>
      </c>
      <c r="L336" s="710"/>
      <c r="M336" s="732"/>
      <c r="N336" s="748">
        <v>3489.4852291666666</v>
      </c>
      <c r="O336" s="710"/>
      <c r="P336" s="732"/>
      <c r="Q336" s="748">
        <v>3489.4852291666666</v>
      </c>
      <c r="R336" s="710"/>
      <c r="S336" s="732"/>
      <c r="T336" s="748">
        <v>3489.4852291666666</v>
      </c>
      <c r="U336" s="710"/>
      <c r="V336" s="732"/>
      <c r="W336" s="748">
        <v>3489.4852291666666</v>
      </c>
      <c r="X336" s="710"/>
      <c r="Y336" s="732"/>
      <c r="Z336" s="748">
        <v>3489.4852291666666</v>
      </c>
      <c r="AA336" s="710"/>
      <c r="AB336" s="732"/>
      <c r="AC336" s="748">
        <v>3489.4852291666666</v>
      </c>
      <c r="AD336" s="710"/>
      <c r="AE336" s="732"/>
      <c r="AF336" s="748">
        <v>3489.4852291666666</v>
      </c>
      <c r="AG336" s="710"/>
      <c r="AH336" s="732"/>
      <c r="AI336" s="748">
        <v>3489.4852291666666</v>
      </c>
      <c r="AJ336" s="710"/>
      <c r="AK336" s="732"/>
      <c r="AL336" s="748">
        <v>3489.4852291666666</v>
      </c>
      <c r="AM336" s="710"/>
      <c r="AN336" s="732"/>
      <c r="AO336" s="748">
        <v>3489.4852291666666</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964"/>
        <v>PiècesFrais de déplacement</v>
      </c>
      <c r="B337" s="757" t="s">
        <v>125</v>
      </c>
      <c r="C337" s="710"/>
      <c r="D337" s="732"/>
      <c r="E337" s="733">
        <f t="shared" si="1038"/>
        <v>7426.3293750000021</v>
      </c>
      <c r="F337" s="710"/>
      <c r="G337" s="732"/>
      <c r="H337" s="748">
        <v>618.86078125000006</v>
      </c>
      <c r="I337" s="710"/>
      <c r="J337" s="732"/>
      <c r="K337" s="748">
        <v>618.86078125000006</v>
      </c>
      <c r="L337" s="710"/>
      <c r="M337" s="732"/>
      <c r="N337" s="748">
        <v>618.86078125000006</v>
      </c>
      <c r="O337" s="710"/>
      <c r="P337" s="732"/>
      <c r="Q337" s="748">
        <v>618.86078125000006</v>
      </c>
      <c r="R337" s="710"/>
      <c r="S337" s="732"/>
      <c r="T337" s="748">
        <v>618.86078125000006</v>
      </c>
      <c r="U337" s="710"/>
      <c r="V337" s="732"/>
      <c r="W337" s="748">
        <v>618.86078125000006</v>
      </c>
      <c r="X337" s="710"/>
      <c r="Y337" s="732"/>
      <c r="Z337" s="748">
        <v>618.86078125000006</v>
      </c>
      <c r="AA337" s="710"/>
      <c r="AB337" s="732"/>
      <c r="AC337" s="748">
        <v>618.86078125000006</v>
      </c>
      <c r="AD337" s="710"/>
      <c r="AE337" s="732"/>
      <c r="AF337" s="748">
        <v>618.86078125000006</v>
      </c>
      <c r="AG337" s="710"/>
      <c r="AH337" s="732"/>
      <c r="AI337" s="748">
        <v>618.86078125000006</v>
      </c>
      <c r="AJ337" s="710"/>
      <c r="AK337" s="732"/>
      <c r="AL337" s="748">
        <v>618.86078125000006</v>
      </c>
      <c r="AM337" s="710"/>
      <c r="AN337" s="732"/>
      <c r="AO337" s="748">
        <v>618.86078125000006</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964"/>
        <v>PiècesServices extérieurs</v>
      </c>
      <c r="B338" s="757" t="s">
        <v>126</v>
      </c>
      <c r="C338" s="705"/>
      <c r="D338" s="763"/>
      <c r="E338" s="751">
        <f t="shared" si="1038"/>
        <v>96799.98056666668</v>
      </c>
      <c r="F338" s="705"/>
      <c r="G338" s="763"/>
      <c r="H338" s="752">
        <v>7859.6626888888895</v>
      </c>
      <c r="I338" s="705"/>
      <c r="J338" s="763"/>
      <c r="K338" s="752">
        <v>7705.5304888888886</v>
      </c>
      <c r="L338" s="705"/>
      <c r="M338" s="763"/>
      <c r="N338" s="752">
        <v>8336.0258888888875</v>
      </c>
      <c r="O338" s="705"/>
      <c r="P338" s="763"/>
      <c r="Q338" s="752">
        <v>7604.1176888888895</v>
      </c>
      <c r="R338" s="705"/>
      <c r="S338" s="763"/>
      <c r="T338" s="752">
        <v>9703.3845888888882</v>
      </c>
      <c r="U338" s="705"/>
      <c r="V338" s="763"/>
      <c r="W338" s="752">
        <v>8215.5508888888889</v>
      </c>
      <c r="X338" s="705"/>
      <c r="Y338" s="763"/>
      <c r="Z338" s="752">
        <v>8136.425888888888</v>
      </c>
      <c r="AA338" s="705"/>
      <c r="AB338" s="763"/>
      <c r="AC338" s="752">
        <v>7416.3995888888885</v>
      </c>
      <c r="AD338" s="705"/>
      <c r="AE338" s="763"/>
      <c r="AF338" s="752">
        <v>7706.3617888888884</v>
      </c>
      <c r="AG338" s="705"/>
      <c r="AH338" s="763"/>
      <c r="AI338" s="752">
        <v>7740.1897888888889</v>
      </c>
      <c r="AJ338" s="705"/>
      <c r="AK338" s="763"/>
      <c r="AL338" s="752">
        <v>8998.9226888888879</v>
      </c>
      <c r="AM338" s="705"/>
      <c r="AN338" s="763"/>
      <c r="AO338" s="752">
        <v>7377.4085888888894</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c r="B339" s="757"/>
      <c r="C339" s="710"/>
      <c r="D339" s="921"/>
      <c r="E339" s="733">
        <f t="shared" si="1038"/>
        <v>0</v>
      </c>
      <c r="F339" s="710"/>
      <c r="G339" s="921"/>
      <c r="H339" s="748">
        <v>0</v>
      </c>
      <c r="I339" s="710"/>
      <c r="J339" s="921"/>
      <c r="K339" s="748">
        <v>0</v>
      </c>
      <c r="L339" s="710"/>
      <c r="M339" s="921"/>
      <c r="N339" s="748">
        <v>0</v>
      </c>
      <c r="O339" s="710"/>
      <c r="P339" s="921"/>
      <c r="Q339" s="748">
        <v>0</v>
      </c>
      <c r="R339" s="710"/>
      <c r="S339" s="921"/>
      <c r="T339" s="748">
        <v>0</v>
      </c>
      <c r="U339" s="710"/>
      <c r="V339" s="921"/>
      <c r="W339" s="748">
        <v>0</v>
      </c>
      <c r="X339" s="710"/>
      <c r="Y339" s="921"/>
      <c r="Z339" s="748">
        <v>0</v>
      </c>
      <c r="AA339" s="710"/>
      <c r="AB339" s="921"/>
      <c r="AC339" s="748">
        <v>0</v>
      </c>
      <c r="AD339" s="710"/>
      <c r="AE339" s="921"/>
      <c r="AF339" s="748">
        <v>0</v>
      </c>
      <c r="AG339" s="710"/>
      <c r="AH339" s="921"/>
      <c r="AI339" s="748">
        <v>0</v>
      </c>
      <c r="AJ339" s="710"/>
      <c r="AK339" s="921"/>
      <c r="AL339" s="748">
        <v>0</v>
      </c>
      <c r="AM339" s="710"/>
      <c r="AN339" s="921"/>
      <c r="AO339" s="748">
        <v>0</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964"/>
        <v>PiècesFournitures autres</v>
      </c>
      <c r="B340" s="841" t="s">
        <v>127</v>
      </c>
      <c r="C340" s="710"/>
      <c r="D340" s="732"/>
      <c r="E340" s="733">
        <f t="shared" si="1038"/>
        <v>989.00442577648357</v>
      </c>
      <c r="F340" s="710"/>
      <c r="G340" s="732"/>
      <c r="H340" s="748">
        <v>50.536579190711528</v>
      </c>
      <c r="I340" s="710"/>
      <c r="J340" s="732"/>
      <c r="K340" s="748">
        <v>52.169295627645639</v>
      </c>
      <c r="L340" s="710"/>
      <c r="M340" s="732"/>
      <c r="N340" s="748">
        <v>91.038462807095044</v>
      </c>
      <c r="O340" s="710"/>
      <c r="P340" s="732"/>
      <c r="Q340" s="748">
        <v>96.216577192736779</v>
      </c>
      <c r="R340" s="710"/>
      <c r="S340" s="732"/>
      <c r="T340" s="748">
        <v>107.68716037339154</v>
      </c>
      <c r="U340" s="710"/>
      <c r="V340" s="732"/>
      <c r="W340" s="748">
        <v>92.79037772039085</v>
      </c>
      <c r="X340" s="710"/>
      <c r="Y340" s="732"/>
      <c r="Z340" s="748">
        <v>99.362811590243282</v>
      </c>
      <c r="AA340" s="710"/>
      <c r="AB340" s="732"/>
      <c r="AC340" s="748">
        <v>94.464662279440972</v>
      </c>
      <c r="AD340" s="710"/>
      <c r="AE340" s="732"/>
      <c r="AF340" s="748">
        <v>81.641327736691551</v>
      </c>
      <c r="AG340" s="710"/>
      <c r="AH340" s="732"/>
      <c r="AI340" s="748">
        <v>89.804909921362054</v>
      </c>
      <c r="AJ340" s="710"/>
      <c r="AK340" s="732"/>
      <c r="AL340" s="748">
        <v>79.371050795832929</v>
      </c>
      <c r="AM340" s="710"/>
      <c r="AN340" s="732"/>
      <c r="AO340" s="748">
        <v>53.921210540941438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964"/>
        <v>PiècesUniformes</v>
      </c>
      <c r="B341" s="757" t="s">
        <v>128</v>
      </c>
      <c r="C341" s="710"/>
      <c r="D341" s="732"/>
      <c r="E341" s="733">
        <f t="shared" si="1038"/>
        <v>525.530953125</v>
      </c>
      <c r="F341" s="710"/>
      <c r="G341" s="732"/>
      <c r="H341" s="748">
        <v>26.853809687373364</v>
      </c>
      <c r="I341" s="710"/>
      <c r="J341" s="732"/>
      <c r="K341" s="748">
        <v>27.721392281466581</v>
      </c>
      <c r="L341" s="710"/>
      <c r="M341" s="732"/>
      <c r="N341" s="748">
        <v>48.375445936437309</v>
      </c>
      <c r="O341" s="710"/>
      <c r="P341" s="732"/>
      <c r="Q341" s="748">
        <v>51.126959799825812</v>
      </c>
      <c r="R341" s="710"/>
      <c r="S341" s="732"/>
      <c r="T341" s="748">
        <v>57.222126165837054</v>
      </c>
      <c r="U341" s="710"/>
      <c r="V341" s="732"/>
      <c r="W341" s="748">
        <v>49.306367467405586</v>
      </c>
      <c r="X341" s="710"/>
      <c r="Y341" s="732"/>
      <c r="Z341" s="748">
        <v>52.798786051137185</v>
      </c>
      <c r="AA341" s="710"/>
      <c r="AB341" s="732"/>
      <c r="AC341" s="748">
        <v>50.196038268857535</v>
      </c>
      <c r="AD341" s="710"/>
      <c r="AE341" s="732"/>
      <c r="AF341" s="748">
        <v>43.382055389861925</v>
      </c>
      <c r="AG341" s="710"/>
      <c r="AH341" s="732"/>
      <c r="AI341" s="748">
        <v>47.719968360328004</v>
      </c>
      <c r="AJ341" s="710"/>
      <c r="AK341" s="732"/>
      <c r="AL341" s="748">
        <v>42.175689904034691</v>
      </c>
      <c r="AM341" s="710"/>
      <c r="AN341" s="732"/>
      <c r="AO341" s="748">
        <v>28.652313812434855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964"/>
        <v>PiècesPapeterie</v>
      </c>
      <c r="B342" s="757" t="s">
        <v>129</v>
      </c>
      <c r="C342" s="710"/>
      <c r="D342" s="732"/>
      <c r="E342" s="733">
        <f t="shared" si="1038"/>
        <v>6120.6030000000019</v>
      </c>
      <c r="F342" s="710"/>
      <c r="G342" s="732"/>
      <c r="H342" s="748">
        <v>510.05025000000001</v>
      </c>
      <c r="I342" s="710"/>
      <c r="J342" s="732"/>
      <c r="K342" s="748">
        <v>510.05025000000001</v>
      </c>
      <c r="L342" s="710"/>
      <c r="M342" s="732"/>
      <c r="N342" s="748">
        <v>510.05025000000001</v>
      </c>
      <c r="O342" s="710"/>
      <c r="P342" s="732"/>
      <c r="Q342" s="748">
        <v>510.05025000000001</v>
      </c>
      <c r="R342" s="710"/>
      <c r="S342" s="732"/>
      <c r="T342" s="748">
        <v>510.05025000000001</v>
      </c>
      <c r="U342" s="710"/>
      <c r="V342" s="732"/>
      <c r="W342" s="748">
        <v>510.05025000000001</v>
      </c>
      <c r="X342" s="710"/>
      <c r="Y342" s="732"/>
      <c r="Z342" s="748">
        <v>510.05025000000001</v>
      </c>
      <c r="AA342" s="710"/>
      <c r="AB342" s="732"/>
      <c r="AC342" s="748">
        <v>510.05025000000001</v>
      </c>
      <c r="AD342" s="710"/>
      <c r="AE342" s="732"/>
      <c r="AF342" s="748">
        <v>510.05025000000001</v>
      </c>
      <c r="AG342" s="710"/>
      <c r="AH342" s="732"/>
      <c r="AI342" s="748">
        <v>510.05025000000001</v>
      </c>
      <c r="AJ342" s="710"/>
      <c r="AK342" s="732"/>
      <c r="AL342" s="748">
        <v>510.05025000000001</v>
      </c>
      <c r="AM342" s="710"/>
      <c r="AN342" s="732"/>
      <c r="AO342" s="748">
        <v>510.05025000000001</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s="590" customFormat="1" ht="20.25">
      <c r="A343" s="618" t="str">
        <f t="shared" si="964"/>
        <v>PiècesTéléphone</v>
      </c>
      <c r="B343" s="757" t="s">
        <v>130</v>
      </c>
      <c r="C343" s="710"/>
      <c r="D343" s="732"/>
      <c r="E343" s="733">
        <f t="shared" si="1038"/>
        <v>2826.2299374999998</v>
      </c>
      <c r="F343" s="710"/>
      <c r="G343" s="732"/>
      <c r="H343" s="748">
        <v>235.51916145833334</v>
      </c>
      <c r="I343" s="710"/>
      <c r="J343" s="732"/>
      <c r="K343" s="748">
        <v>235.51916145833334</v>
      </c>
      <c r="L343" s="710"/>
      <c r="M343" s="732"/>
      <c r="N343" s="748">
        <v>235.51916145833334</v>
      </c>
      <c r="O343" s="710"/>
      <c r="P343" s="732"/>
      <c r="Q343" s="748">
        <v>235.51916145833334</v>
      </c>
      <c r="R343" s="710"/>
      <c r="S343" s="732"/>
      <c r="T343" s="748">
        <v>235.51916145833334</v>
      </c>
      <c r="U343" s="710"/>
      <c r="V343" s="732"/>
      <c r="W343" s="748">
        <v>235.51916145833334</v>
      </c>
      <c r="X343" s="710"/>
      <c r="Y343" s="732"/>
      <c r="Z343" s="748">
        <v>235.51916145833334</v>
      </c>
      <c r="AA343" s="710"/>
      <c r="AB343" s="732"/>
      <c r="AC343" s="748">
        <v>235.51916145833334</v>
      </c>
      <c r="AD343" s="710"/>
      <c r="AE343" s="732"/>
      <c r="AF343" s="748">
        <v>235.51916145833334</v>
      </c>
      <c r="AG343" s="710"/>
      <c r="AH343" s="732"/>
      <c r="AI343" s="748">
        <v>235.51916145833334</v>
      </c>
      <c r="AJ343" s="710"/>
      <c r="AK343" s="732"/>
      <c r="AL343" s="748">
        <v>235.51916145833334</v>
      </c>
      <c r="AM343" s="710"/>
      <c r="AN343" s="732"/>
      <c r="AO343" s="748">
        <v>235.51916145833334</v>
      </c>
      <c r="AP343" s="591"/>
      <c r="AQ343" s="591"/>
      <c r="AR343" s="591"/>
      <c r="AS343" s="591"/>
      <c r="AT343" s="591"/>
      <c r="AU343" s="591"/>
      <c r="AV343" s="591"/>
      <c r="AW343" s="591"/>
      <c r="AX343" s="591"/>
      <c r="AY343" s="591"/>
      <c r="AZ343" s="591"/>
      <c r="BA343" s="591"/>
      <c r="BB343" s="591"/>
      <c r="BC343" s="591"/>
      <c r="BD343" s="591"/>
      <c r="BE343" s="591"/>
      <c r="BF343" s="591"/>
      <c r="BG343" s="591"/>
      <c r="BH343" s="591"/>
      <c r="BI343" s="591"/>
      <c r="BJ343" s="591"/>
      <c r="BK343" s="591"/>
      <c r="BL343" s="591"/>
      <c r="BM343" s="591"/>
      <c r="BN343" s="591"/>
      <c r="BO343" s="591"/>
      <c r="BP343" s="591"/>
      <c r="BQ343" s="591"/>
      <c r="BR343" s="591"/>
      <c r="BS343" s="591"/>
      <c r="BT343" s="591"/>
      <c r="BU343" s="591"/>
      <c r="BV343" s="591"/>
      <c r="BW343" s="591"/>
      <c r="BX343" s="591"/>
      <c r="BY343" s="591"/>
      <c r="BZ343" s="591"/>
      <c r="CA343" s="591"/>
      <c r="CB343" s="591"/>
      <c r="CC343" s="591"/>
      <c r="CD343" s="591"/>
      <c r="CE343" s="591"/>
      <c r="CF343" s="591"/>
      <c r="CG343" s="591"/>
      <c r="CH343" s="591"/>
      <c r="CI343" s="591"/>
      <c r="CJ343" s="591"/>
      <c r="CK343" s="591"/>
      <c r="CL343" s="591"/>
      <c r="CM343" s="591"/>
      <c r="CN343" s="591"/>
      <c r="CO343" s="591"/>
      <c r="CP343" s="591"/>
      <c r="CQ343" s="591"/>
      <c r="CR343" s="591"/>
      <c r="CS343" s="591"/>
      <c r="CT343" s="591"/>
      <c r="CU343" s="591"/>
      <c r="CV343" s="591"/>
      <c r="CW343" s="591"/>
      <c r="CX343" s="591"/>
      <c r="CY343" s="591"/>
      <c r="CZ343" s="591"/>
      <c r="DA343" s="591"/>
      <c r="DB343" s="591"/>
      <c r="DC343" s="591"/>
      <c r="DD343" s="591"/>
      <c r="DE343" s="591"/>
      <c r="DF343" s="591"/>
      <c r="DG343" s="591"/>
      <c r="DH343" s="591"/>
      <c r="DI343" s="591"/>
      <c r="DJ343" s="591"/>
      <c r="DK343" s="591"/>
      <c r="DL343" s="591"/>
      <c r="DM343" s="591"/>
      <c r="DN343" s="591"/>
      <c r="DO343" s="591"/>
      <c r="DP343" s="591"/>
      <c r="DQ343" s="591"/>
      <c r="DR343" s="591"/>
      <c r="DS343" s="591"/>
      <c r="DT343" s="591"/>
      <c r="DU343" s="591"/>
      <c r="DV343" s="591"/>
      <c r="DW343" s="591"/>
      <c r="DX343" s="591"/>
      <c r="DY343" s="591"/>
      <c r="DZ343" s="591"/>
      <c r="EA343" s="591"/>
      <c r="EB343" s="591"/>
      <c r="EC343" s="591"/>
      <c r="ED343" s="591"/>
      <c r="EE343" s="591"/>
      <c r="EF343" s="591"/>
      <c r="EG343" s="591"/>
      <c r="EH343" s="591"/>
      <c r="EI343" s="591"/>
      <c r="EJ343" s="591"/>
      <c r="EK343" s="591"/>
      <c r="EL343" s="591"/>
      <c r="EM343" s="591"/>
      <c r="EN343" s="591"/>
      <c r="EO343" s="591"/>
      <c r="EP343" s="591"/>
      <c r="EQ343" s="591"/>
      <c r="ER343" s="591"/>
      <c r="ES343" s="591"/>
      <c r="ET343" s="591"/>
      <c r="EU343" s="591"/>
      <c r="EV343" s="591"/>
      <c r="EW343" s="591"/>
      <c r="EX343" s="591"/>
      <c r="EY343" s="591"/>
      <c r="EZ343" s="591"/>
      <c r="FA343" s="591"/>
      <c r="FB343" s="591"/>
      <c r="FC343" s="591"/>
      <c r="FD343" s="591"/>
      <c r="FE343" s="591"/>
      <c r="FF343" s="591"/>
      <c r="FG343" s="591"/>
      <c r="FH343" s="591"/>
      <c r="FI343" s="591"/>
      <c r="FJ343" s="591"/>
      <c r="FK343" s="591"/>
      <c r="FL343" s="591"/>
      <c r="FM343" s="591"/>
      <c r="FN343" s="591"/>
      <c r="FO343" s="591"/>
      <c r="FP343" s="591"/>
      <c r="FQ343" s="591"/>
      <c r="FR343" s="591"/>
      <c r="FS343" s="591"/>
      <c r="FT343" s="591"/>
      <c r="FU343" s="591"/>
      <c r="FV343" s="591"/>
      <c r="FW343" s="591"/>
      <c r="FX343" s="591"/>
      <c r="FY343" s="591"/>
      <c r="FZ343" s="591"/>
      <c r="GA343" s="591"/>
    </row>
    <row r="344" spans="1:219" s="590" customFormat="1" ht="20.25">
      <c r="A344" s="618" t="str">
        <f t="shared" si="964"/>
        <v>PiècesFrais postaux</v>
      </c>
      <c r="B344" s="757" t="s">
        <v>131</v>
      </c>
      <c r="C344" s="710"/>
      <c r="D344" s="732"/>
      <c r="E344" s="733">
        <f t="shared" si="1038"/>
        <v>1508.5975624999994</v>
      </c>
      <c r="F344" s="710"/>
      <c r="G344" s="732"/>
      <c r="H344" s="748">
        <v>125.71646354166664</v>
      </c>
      <c r="I344" s="710"/>
      <c r="J344" s="732"/>
      <c r="K344" s="748">
        <v>125.71646354166664</v>
      </c>
      <c r="L344" s="710"/>
      <c r="M344" s="732"/>
      <c r="N344" s="748">
        <v>125.71646354166664</v>
      </c>
      <c r="O344" s="710"/>
      <c r="P344" s="732"/>
      <c r="Q344" s="748">
        <v>125.71646354166664</v>
      </c>
      <c r="R344" s="710"/>
      <c r="S344" s="732"/>
      <c r="T344" s="748">
        <v>125.71646354166664</v>
      </c>
      <c r="U344" s="710"/>
      <c r="V344" s="732"/>
      <c r="W344" s="748">
        <v>125.71646354166664</v>
      </c>
      <c r="X344" s="710"/>
      <c r="Y344" s="732"/>
      <c r="Z344" s="748">
        <v>125.71646354166664</v>
      </c>
      <c r="AA344" s="710"/>
      <c r="AB344" s="732"/>
      <c r="AC344" s="748">
        <v>125.71646354166664</v>
      </c>
      <c r="AD344" s="710"/>
      <c r="AE344" s="732"/>
      <c r="AF344" s="748">
        <v>125.71646354166664</v>
      </c>
      <c r="AG344" s="710"/>
      <c r="AH344" s="732"/>
      <c r="AI344" s="748">
        <v>125.71646354166664</v>
      </c>
      <c r="AJ344" s="710"/>
      <c r="AK344" s="732"/>
      <c r="AL344" s="748">
        <v>125.71646354166664</v>
      </c>
      <c r="AM344" s="710"/>
      <c r="AN344" s="732"/>
      <c r="AO344" s="748">
        <v>125.71646354166664</v>
      </c>
      <c r="AP344" s="591"/>
      <c r="AQ344" s="591"/>
      <c r="AR344" s="591"/>
      <c r="AS344" s="591"/>
      <c r="AT344" s="591"/>
      <c r="AU344" s="591"/>
      <c r="AV344" s="591"/>
      <c r="AW344" s="591"/>
      <c r="AX344" s="591"/>
      <c r="AY344" s="591"/>
      <c r="AZ344" s="591"/>
      <c r="BA344" s="591"/>
      <c r="BB344" s="591"/>
      <c r="BC344" s="591"/>
      <c r="BD344" s="591"/>
      <c r="BE344" s="591"/>
      <c r="BF344" s="591"/>
      <c r="BG344" s="591"/>
      <c r="BH344" s="591"/>
      <c r="BI344" s="591"/>
      <c r="BJ344" s="591"/>
      <c r="BK344" s="591"/>
      <c r="BL344" s="591"/>
      <c r="BM344" s="591"/>
      <c r="BN344" s="591"/>
      <c r="BO344" s="591"/>
      <c r="BP344" s="591"/>
      <c r="BQ344" s="591"/>
      <c r="BR344" s="591"/>
      <c r="BS344" s="591"/>
      <c r="BT344" s="591"/>
      <c r="BU344" s="591"/>
      <c r="BV344" s="591"/>
      <c r="BW344" s="591"/>
      <c r="BX344" s="591"/>
      <c r="BY344" s="591"/>
      <c r="BZ344" s="591"/>
      <c r="CA344" s="591"/>
      <c r="CB344" s="591"/>
      <c r="CC344" s="591"/>
      <c r="CD344" s="591"/>
      <c r="CE344" s="591"/>
      <c r="CF344" s="591"/>
      <c r="CG344" s="591"/>
      <c r="CH344" s="591"/>
      <c r="CI344" s="591"/>
      <c r="CJ344" s="591"/>
      <c r="CK344" s="591"/>
      <c r="CL344" s="591"/>
      <c r="CM344" s="591"/>
      <c r="CN344" s="591"/>
      <c r="CO344" s="591"/>
      <c r="CP344" s="591"/>
      <c r="CQ344" s="591"/>
      <c r="CR344" s="591"/>
      <c r="CS344" s="591"/>
      <c r="CT344" s="591"/>
      <c r="CU344" s="591"/>
      <c r="CV344" s="591"/>
      <c r="CW344" s="591"/>
      <c r="CX344" s="591"/>
      <c r="CY344" s="591"/>
      <c r="CZ344" s="591"/>
      <c r="DA344" s="591"/>
      <c r="DB344" s="591"/>
      <c r="DC344" s="591"/>
      <c r="DD344" s="591"/>
      <c r="DE344" s="591"/>
      <c r="DF344" s="591"/>
      <c r="DG344" s="591"/>
      <c r="DH344" s="591"/>
      <c r="DI344" s="591"/>
      <c r="DJ344" s="591"/>
      <c r="DK344" s="591"/>
      <c r="DL344" s="591"/>
      <c r="DM344" s="591"/>
      <c r="DN344" s="591"/>
      <c r="DO344" s="591"/>
      <c r="DP344" s="591"/>
      <c r="DQ344" s="591"/>
      <c r="DR344" s="591"/>
      <c r="DS344" s="591"/>
      <c r="DT344" s="591"/>
      <c r="DU344" s="591"/>
      <c r="DV344" s="591"/>
      <c r="DW344" s="591"/>
      <c r="DX344" s="591"/>
      <c r="DY344" s="591"/>
      <c r="DZ344" s="591"/>
      <c r="EA344" s="591"/>
      <c r="EB344" s="591"/>
      <c r="EC344" s="591"/>
      <c r="ED344" s="591"/>
      <c r="EE344" s="591"/>
      <c r="EF344" s="591"/>
      <c r="EG344" s="591"/>
      <c r="EH344" s="591"/>
      <c r="EI344" s="591"/>
      <c r="EJ344" s="591"/>
      <c r="EK344" s="591"/>
      <c r="EL344" s="591"/>
      <c r="EM344" s="591"/>
      <c r="EN344" s="591"/>
      <c r="EO344" s="591"/>
      <c r="EP344" s="591"/>
      <c r="EQ344" s="591"/>
      <c r="ER344" s="591"/>
      <c r="ES344" s="591"/>
      <c r="ET344" s="591"/>
      <c r="EU344" s="591"/>
      <c r="EV344" s="591"/>
      <c r="EW344" s="591"/>
      <c r="EX344" s="591"/>
      <c r="EY344" s="591"/>
      <c r="EZ344" s="591"/>
      <c r="FA344" s="591"/>
      <c r="FB344" s="591"/>
      <c r="FC344" s="591"/>
      <c r="FD344" s="591"/>
      <c r="FE344" s="591"/>
      <c r="FF344" s="591"/>
      <c r="FG344" s="591"/>
      <c r="FH344" s="591"/>
      <c r="FI344" s="591"/>
      <c r="FJ344" s="591"/>
      <c r="FK344" s="591"/>
      <c r="FL344" s="591"/>
      <c r="FM344" s="591"/>
      <c r="FN344" s="591"/>
      <c r="FO344" s="591"/>
      <c r="FP344" s="591"/>
      <c r="FQ344" s="591"/>
      <c r="FR344" s="591"/>
      <c r="FS344" s="591"/>
      <c r="FT344" s="591"/>
      <c r="FU344" s="591"/>
      <c r="FV344" s="591"/>
      <c r="FW344" s="591"/>
      <c r="FX344" s="591"/>
      <c r="FY344" s="591"/>
      <c r="FZ344" s="591"/>
      <c r="GA344" s="591"/>
    </row>
    <row r="345" spans="1:219" s="590" customFormat="1" ht="20.25">
      <c r="A345" s="618" t="str">
        <f t="shared" si="964"/>
        <v>PiècesDivers</v>
      </c>
      <c r="B345" s="757" t="s">
        <v>132</v>
      </c>
      <c r="C345" s="710"/>
      <c r="D345" s="732"/>
      <c r="E345" s="733">
        <f t="shared" si="1038"/>
        <v>7277.1899374999985</v>
      </c>
      <c r="F345" s="710"/>
      <c r="G345" s="732"/>
      <c r="H345" s="748">
        <v>606.4324947916665</v>
      </c>
      <c r="I345" s="710"/>
      <c r="J345" s="732"/>
      <c r="K345" s="748">
        <v>606.4324947916665</v>
      </c>
      <c r="L345" s="710"/>
      <c r="M345" s="732"/>
      <c r="N345" s="748">
        <v>606.4324947916665</v>
      </c>
      <c r="O345" s="710"/>
      <c r="P345" s="732"/>
      <c r="Q345" s="748">
        <v>606.4324947916665</v>
      </c>
      <c r="R345" s="710"/>
      <c r="S345" s="732"/>
      <c r="T345" s="748">
        <v>606.4324947916665</v>
      </c>
      <c r="U345" s="710"/>
      <c r="V345" s="732"/>
      <c r="W345" s="748">
        <v>606.4324947916665</v>
      </c>
      <c r="X345" s="710"/>
      <c r="Y345" s="732"/>
      <c r="Z345" s="748">
        <v>606.4324947916665</v>
      </c>
      <c r="AA345" s="710"/>
      <c r="AB345" s="732"/>
      <c r="AC345" s="748">
        <v>606.4324947916665</v>
      </c>
      <c r="AD345" s="710"/>
      <c r="AE345" s="732"/>
      <c r="AF345" s="748">
        <v>606.4324947916665</v>
      </c>
      <c r="AG345" s="710"/>
      <c r="AH345" s="732"/>
      <c r="AI345" s="748">
        <v>606.4324947916665</v>
      </c>
      <c r="AJ345" s="710"/>
      <c r="AK345" s="732"/>
      <c r="AL345" s="748">
        <v>606.4324947916665</v>
      </c>
      <c r="AM345" s="710"/>
      <c r="AN345" s="732"/>
      <c r="AO345" s="748">
        <v>606.4324947916665</v>
      </c>
      <c r="AP345" s="591"/>
      <c r="AQ345" s="591"/>
      <c r="AR345" s="591"/>
      <c r="AS345" s="591"/>
      <c r="AT345" s="591"/>
      <c r="AU345" s="591"/>
      <c r="AV345" s="591"/>
      <c r="AW345" s="591"/>
      <c r="AX345" s="591"/>
      <c r="AY345" s="591"/>
      <c r="AZ345" s="591"/>
      <c r="BA345" s="591"/>
      <c r="BB345" s="591"/>
      <c r="BC345" s="591"/>
      <c r="BD345" s="591"/>
      <c r="BE345" s="591"/>
      <c r="BF345" s="591"/>
      <c r="BG345" s="591"/>
      <c r="BH345" s="591"/>
      <c r="BI345" s="591"/>
      <c r="BJ345" s="591"/>
      <c r="BK345" s="591"/>
      <c r="BL345" s="591"/>
      <c r="BM345" s="591"/>
      <c r="BN345" s="591"/>
      <c r="BO345" s="591"/>
      <c r="BP345" s="591"/>
      <c r="BQ345" s="591"/>
      <c r="BR345" s="591"/>
      <c r="BS345" s="591"/>
      <c r="BT345" s="591"/>
      <c r="BU345" s="591"/>
      <c r="BV345" s="591"/>
      <c r="BW345" s="591"/>
      <c r="BX345" s="591"/>
      <c r="BY345" s="591"/>
      <c r="BZ345" s="591"/>
      <c r="CA345" s="591"/>
      <c r="CB345" s="591"/>
      <c r="CC345" s="591"/>
      <c r="CD345" s="591"/>
      <c r="CE345" s="591"/>
      <c r="CF345" s="591"/>
      <c r="CG345" s="591"/>
      <c r="CH345" s="591"/>
      <c r="CI345" s="591"/>
      <c r="CJ345" s="591"/>
      <c r="CK345" s="591"/>
      <c r="CL345" s="591"/>
      <c r="CM345" s="591"/>
      <c r="CN345" s="591"/>
      <c r="CO345" s="591"/>
      <c r="CP345" s="591"/>
      <c r="CQ345" s="591"/>
      <c r="CR345" s="591"/>
      <c r="CS345" s="591"/>
      <c r="CT345" s="591"/>
      <c r="CU345" s="591"/>
      <c r="CV345" s="591"/>
      <c r="CW345" s="591"/>
      <c r="CX345" s="591"/>
      <c r="CY345" s="591"/>
      <c r="CZ345" s="591"/>
      <c r="DA345" s="591"/>
      <c r="DB345" s="591"/>
      <c r="DC345" s="591"/>
      <c r="DD345" s="591"/>
      <c r="DE345" s="591"/>
      <c r="DF345" s="591"/>
      <c r="DG345" s="591"/>
      <c r="DH345" s="591"/>
      <c r="DI345" s="591"/>
      <c r="DJ345" s="591"/>
      <c r="DK345" s="591"/>
      <c r="DL345" s="591"/>
      <c r="DM345" s="591"/>
      <c r="DN345" s="591"/>
      <c r="DO345" s="591"/>
      <c r="DP345" s="591"/>
      <c r="DQ345" s="591"/>
      <c r="DR345" s="591"/>
      <c r="DS345" s="591"/>
      <c r="DT345" s="591"/>
      <c r="DU345" s="591"/>
      <c r="DV345" s="591"/>
      <c r="DW345" s="591"/>
      <c r="DX345" s="591"/>
      <c r="DY345" s="591"/>
      <c r="DZ345" s="591"/>
      <c r="EA345" s="591"/>
      <c r="EB345" s="591"/>
      <c r="EC345" s="591"/>
      <c r="ED345" s="591"/>
      <c r="EE345" s="591"/>
      <c r="EF345" s="591"/>
      <c r="EG345" s="591"/>
      <c r="EH345" s="591"/>
      <c r="EI345" s="591"/>
      <c r="EJ345" s="591"/>
      <c r="EK345" s="591"/>
      <c r="EL345" s="591"/>
      <c r="EM345" s="591"/>
      <c r="EN345" s="591"/>
      <c r="EO345" s="591"/>
      <c r="EP345" s="591"/>
      <c r="EQ345" s="591"/>
      <c r="ER345" s="591"/>
      <c r="ES345" s="591"/>
      <c r="ET345" s="591"/>
      <c r="EU345" s="591"/>
      <c r="EV345" s="591"/>
      <c r="EW345" s="591"/>
      <c r="EX345" s="591"/>
      <c r="EY345" s="591"/>
      <c r="EZ345" s="591"/>
      <c r="FA345" s="591"/>
      <c r="FB345" s="591"/>
      <c r="FC345" s="591"/>
      <c r="FD345" s="591"/>
      <c r="FE345" s="591"/>
      <c r="FF345" s="591"/>
      <c r="FG345" s="591"/>
      <c r="FH345" s="591"/>
      <c r="FI345" s="591"/>
      <c r="FJ345" s="591"/>
      <c r="FK345" s="591"/>
      <c r="FL345" s="591"/>
      <c r="FM345" s="591"/>
      <c r="FN345" s="591"/>
      <c r="FO345" s="591"/>
      <c r="FP345" s="591"/>
      <c r="FQ345" s="591"/>
      <c r="FR345" s="591"/>
      <c r="FS345" s="591"/>
      <c r="FT345" s="591"/>
      <c r="FU345" s="591"/>
      <c r="FV345" s="591"/>
      <c r="FW345" s="591"/>
      <c r="FX345" s="591"/>
      <c r="FY345" s="591"/>
      <c r="FZ345" s="591"/>
      <c r="GA345" s="591"/>
    </row>
    <row r="346" spans="1:219" ht="20.25">
      <c r="A346" s="618" t="str">
        <f t="shared" si="964"/>
        <v>PiècesFormation</v>
      </c>
      <c r="B346" s="757" t="s">
        <v>133</v>
      </c>
      <c r="C346" s="710"/>
      <c r="D346" s="732"/>
      <c r="E346" s="733">
        <f t="shared" si="1038"/>
        <v>10811.777500000002</v>
      </c>
      <c r="F346" s="710"/>
      <c r="G346" s="732"/>
      <c r="H346" s="748">
        <v>900.98145833333331</v>
      </c>
      <c r="I346" s="710"/>
      <c r="J346" s="732"/>
      <c r="K346" s="748">
        <v>900.98145833333331</v>
      </c>
      <c r="L346" s="710"/>
      <c r="M346" s="732"/>
      <c r="N346" s="748">
        <v>900.98145833333331</v>
      </c>
      <c r="O346" s="710"/>
      <c r="P346" s="732"/>
      <c r="Q346" s="748">
        <v>900.98145833333331</v>
      </c>
      <c r="R346" s="710"/>
      <c r="S346" s="732"/>
      <c r="T346" s="748">
        <v>900.98145833333331</v>
      </c>
      <c r="U346" s="710"/>
      <c r="V346" s="732"/>
      <c r="W346" s="748">
        <v>900.98145833333331</v>
      </c>
      <c r="X346" s="710"/>
      <c r="Y346" s="732"/>
      <c r="Z346" s="748">
        <v>900.98145833333331</v>
      </c>
      <c r="AA346" s="710"/>
      <c r="AB346" s="732"/>
      <c r="AC346" s="748">
        <v>900.98145833333331</v>
      </c>
      <c r="AD346" s="710"/>
      <c r="AE346" s="732"/>
      <c r="AF346" s="748">
        <v>900.98145833333331</v>
      </c>
      <c r="AG346" s="710"/>
      <c r="AH346" s="732"/>
      <c r="AI346" s="748">
        <v>900.98145833333331</v>
      </c>
      <c r="AJ346" s="710"/>
      <c r="AK346" s="732"/>
      <c r="AL346" s="748">
        <v>900.98145833333331</v>
      </c>
      <c r="AM346" s="710"/>
      <c r="AN346" s="732"/>
      <c r="AO346" s="748">
        <v>900.98145833333331</v>
      </c>
      <c r="AP346" s="589"/>
      <c r="AQ346" s="589"/>
      <c r="AR346" s="589"/>
      <c r="AS346" s="589"/>
      <c r="AT346" s="589"/>
      <c r="AU346" s="589"/>
      <c r="AV346" s="589"/>
      <c r="AW346" s="589"/>
      <c r="AX346" s="589"/>
      <c r="AY346" s="589"/>
      <c r="AZ346" s="589"/>
      <c r="BA346" s="589"/>
      <c r="BB346" s="589"/>
      <c r="BC346" s="589"/>
      <c r="BD346" s="589"/>
      <c r="BE346" s="589"/>
      <c r="BF346" s="589"/>
      <c r="BG346" s="589"/>
      <c r="BH346" s="589"/>
      <c r="BI346" s="589"/>
      <c r="BJ346" s="589"/>
      <c r="BK346" s="589"/>
      <c r="BL346" s="589"/>
      <c r="BM346" s="589"/>
      <c r="BN346" s="589"/>
      <c r="BO346" s="589"/>
      <c r="BP346" s="589"/>
      <c r="BQ346" s="589"/>
      <c r="BR346" s="589"/>
      <c r="BS346" s="589"/>
      <c r="BT346" s="589"/>
      <c r="BU346" s="589"/>
      <c r="BV346" s="589"/>
      <c r="BW346" s="589"/>
      <c r="BX346" s="589"/>
      <c r="BY346" s="589"/>
      <c r="BZ346" s="589"/>
      <c r="CA346" s="589"/>
      <c r="CB346" s="589"/>
      <c r="CC346" s="589"/>
      <c r="CD346" s="589"/>
      <c r="CE346" s="589"/>
      <c r="CF346" s="589"/>
      <c r="CG346" s="589"/>
      <c r="CH346" s="589"/>
      <c r="CI346" s="589"/>
      <c r="CJ346" s="589"/>
      <c r="CK346" s="589"/>
      <c r="CL346" s="589"/>
      <c r="CM346" s="589"/>
      <c r="CN346" s="589"/>
      <c r="CO346" s="589"/>
      <c r="CP346" s="589"/>
      <c r="CQ346" s="589"/>
      <c r="CR346" s="589"/>
      <c r="CS346" s="589"/>
      <c r="CT346" s="589"/>
      <c r="CU346" s="589"/>
      <c r="CV346" s="589"/>
      <c r="CW346" s="589"/>
      <c r="CX346" s="589"/>
      <c r="CY346" s="589"/>
      <c r="CZ346" s="589"/>
      <c r="DA346" s="589"/>
      <c r="DB346" s="589"/>
      <c r="DC346" s="589"/>
      <c r="DD346" s="589"/>
      <c r="DE346" s="589"/>
      <c r="DF346" s="589"/>
      <c r="DG346" s="589"/>
      <c r="DH346" s="589"/>
      <c r="DI346" s="589"/>
      <c r="DJ346" s="589"/>
      <c r="DK346" s="589"/>
      <c r="DL346" s="589"/>
      <c r="DM346" s="589"/>
      <c r="DN346" s="589"/>
      <c r="DO346" s="589"/>
      <c r="DP346" s="589"/>
      <c r="DQ346" s="589"/>
      <c r="DR346" s="589"/>
      <c r="DS346" s="589"/>
      <c r="DT346" s="589"/>
      <c r="DU346" s="589"/>
      <c r="DV346" s="589"/>
      <c r="DW346" s="589"/>
      <c r="DX346" s="589"/>
      <c r="DY346" s="589"/>
      <c r="DZ346" s="589"/>
      <c r="EA346" s="589"/>
      <c r="EB346" s="589"/>
      <c r="EC346" s="589"/>
      <c r="ED346" s="589"/>
      <c r="EE346" s="589"/>
      <c r="EF346" s="589"/>
      <c r="EG346" s="589"/>
      <c r="EH346" s="589"/>
      <c r="EI346" s="589"/>
      <c r="EJ346" s="589"/>
      <c r="EK346" s="589"/>
      <c r="EL346" s="589"/>
      <c r="EM346" s="589"/>
      <c r="EN346" s="589"/>
      <c r="EO346" s="589"/>
      <c r="EP346" s="589"/>
      <c r="EQ346" s="589"/>
      <c r="ER346" s="589"/>
      <c r="ES346" s="589"/>
      <c r="ET346" s="589"/>
      <c r="EU346" s="589"/>
      <c r="EV346" s="589"/>
      <c r="EW346" s="589"/>
      <c r="EX346" s="589"/>
      <c r="EY346" s="589"/>
      <c r="EZ346" s="589"/>
      <c r="FA346" s="589"/>
      <c r="FB346" s="589"/>
      <c r="FC346" s="589"/>
      <c r="FD346" s="589"/>
      <c r="FE346" s="589"/>
      <c r="FF346" s="589"/>
      <c r="FG346" s="589"/>
      <c r="FH346" s="589"/>
      <c r="FI346" s="589"/>
      <c r="FJ346" s="589"/>
      <c r="FK346" s="589"/>
      <c r="FL346" s="589"/>
      <c r="FM346" s="589"/>
      <c r="FN346" s="589"/>
      <c r="FO346" s="589"/>
      <c r="FP346" s="589"/>
      <c r="FQ346" s="589"/>
      <c r="FR346" s="589"/>
      <c r="FS346" s="589"/>
      <c r="FT346" s="589"/>
      <c r="FU346" s="589"/>
      <c r="FV346" s="589"/>
      <c r="FW346" s="589"/>
      <c r="FX346" s="589"/>
      <c r="FY346" s="589"/>
      <c r="FZ346" s="589"/>
      <c r="GA346" s="589"/>
      <c r="GB346" s="594"/>
      <c r="GC346" s="594"/>
      <c r="GD346" s="594"/>
      <c r="GE346" s="594"/>
      <c r="GF346" s="594"/>
      <c r="GG346" s="594"/>
      <c r="GH346" s="594"/>
      <c r="GI346" s="594"/>
      <c r="GJ346" s="594"/>
      <c r="GK346" s="594"/>
      <c r="GL346" s="594"/>
      <c r="GM346" s="594"/>
      <c r="GN346" s="594"/>
      <c r="GO346" s="594"/>
      <c r="GP346" s="594"/>
      <c r="GQ346" s="594"/>
      <c r="GR346" s="594"/>
      <c r="GS346" s="594"/>
      <c r="GT346" s="594"/>
      <c r="GU346" s="594"/>
      <c r="GV346" s="594"/>
      <c r="GW346" s="594"/>
      <c r="GX346" s="594"/>
      <c r="GY346" s="594"/>
      <c r="GZ346" s="594"/>
      <c r="HA346" s="594"/>
      <c r="HB346" s="594"/>
      <c r="HC346" s="594"/>
      <c r="HD346" s="594"/>
      <c r="HE346" s="594"/>
      <c r="HF346" s="594"/>
      <c r="HG346" s="594"/>
      <c r="HH346" s="594"/>
      <c r="HI346" s="594"/>
      <c r="HJ346" s="594"/>
      <c r="HK346" s="594"/>
    </row>
    <row r="347" spans="1:219" ht="20.25">
      <c r="A347" s="618" t="str">
        <f t="shared" si="964"/>
        <v>PiècesFrais bancaires</v>
      </c>
      <c r="B347" s="757" t="s">
        <v>134</v>
      </c>
      <c r="C347" s="710"/>
      <c r="D347" s="732"/>
      <c r="E347" s="733">
        <f t="shared" si="1038"/>
        <v>21851.06196710033</v>
      </c>
      <c r="F347" s="710"/>
      <c r="G347" s="732"/>
      <c r="H347" s="748">
        <v>1315.0291164110902</v>
      </c>
      <c r="I347" s="710"/>
      <c r="J347" s="732"/>
      <c r="K347" s="748">
        <v>1119.102628153775</v>
      </c>
      <c r="L347" s="710"/>
      <c r="M347" s="732"/>
      <c r="N347" s="748">
        <v>1312.0521308696195</v>
      </c>
      <c r="O347" s="710"/>
      <c r="P347" s="732"/>
      <c r="Q347" s="748">
        <v>2624.2574883797606</v>
      </c>
      <c r="R347" s="710"/>
      <c r="S347" s="732"/>
      <c r="T347" s="748">
        <v>2395.9626172538665</v>
      </c>
      <c r="U347" s="710"/>
      <c r="V347" s="732"/>
      <c r="W347" s="748">
        <v>1546.1820231195743</v>
      </c>
      <c r="X347" s="710"/>
      <c r="Y347" s="732"/>
      <c r="Z347" s="748">
        <v>1451.3962162142657</v>
      </c>
      <c r="AA347" s="710"/>
      <c r="AB347" s="732"/>
      <c r="AC347" s="748">
        <v>1611.0469817368421</v>
      </c>
      <c r="AD347" s="710"/>
      <c r="AE347" s="732"/>
      <c r="AF347" s="748">
        <v>1193.22186433759</v>
      </c>
      <c r="AG347" s="710"/>
      <c r="AH347" s="732"/>
      <c r="AI347" s="748">
        <v>2333.4036667516821</v>
      </c>
      <c r="AJ347" s="710"/>
      <c r="AK347" s="732"/>
      <c r="AL347" s="748">
        <v>3445.8189640982819</v>
      </c>
      <c r="AM347" s="710"/>
      <c r="AN347" s="732"/>
      <c r="AO347" s="748">
        <v>1503.5882697739819</v>
      </c>
      <c r="AP347" s="589"/>
      <c r="AQ347" s="589"/>
      <c r="AR347" s="589"/>
      <c r="AS347" s="589"/>
      <c r="AT347" s="589"/>
      <c r="AU347" s="589"/>
      <c r="AV347" s="589"/>
      <c r="AW347" s="589"/>
      <c r="AX347" s="589"/>
      <c r="AY347" s="589"/>
      <c r="AZ347" s="589"/>
      <c r="BA347" s="589"/>
      <c r="BB347" s="589"/>
      <c r="BC347" s="589"/>
      <c r="BD347" s="589"/>
      <c r="BE347" s="589"/>
      <c r="BF347" s="589"/>
      <c r="BG347" s="589"/>
      <c r="BH347" s="589"/>
      <c r="BI347" s="589"/>
      <c r="BJ347" s="589"/>
      <c r="BK347" s="589"/>
      <c r="BL347" s="589"/>
      <c r="BM347" s="589"/>
      <c r="BN347" s="589"/>
      <c r="BO347" s="589"/>
      <c r="BP347" s="589"/>
      <c r="BQ347" s="589"/>
      <c r="BR347" s="589"/>
      <c r="BS347" s="589"/>
      <c r="BT347" s="589"/>
      <c r="BU347" s="589"/>
      <c r="BV347" s="589"/>
      <c r="BW347" s="589"/>
      <c r="BX347" s="589"/>
      <c r="BY347" s="589"/>
      <c r="BZ347" s="589"/>
      <c r="CA347" s="589"/>
      <c r="CB347" s="589"/>
      <c r="CC347" s="589"/>
      <c r="CD347" s="589"/>
      <c r="CE347" s="589"/>
      <c r="CF347" s="589"/>
      <c r="CG347" s="589"/>
      <c r="CH347" s="589"/>
      <c r="CI347" s="589"/>
      <c r="CJ347" s="589"/>
      <c r="CK347" s="589"/>
      <c r="CL347" s="589"/>
      <c r="CM347" s="589"/>
      <c r="CN347" s="589"/>
      <c r="CO347" s="589"/>
      <c r="CP347" s="589"/>
      <c r="CQ347" s="589"/>
      <c r="CR347" s="589"/>
      <c r="CS347" s="589"/>
      <c r="CT347" s="589"/>
      <c r="CU347" s="589"/>
      <c r="CV347" s="589"/>
      <c r="CW347" s="589"/>
      <c r="CX347" s="589"/>
      <c r="CY347" s="589"/>
      <c r="CZ347" s="589"/>
      <c r="DA347" s="589"/>
      <c r="DB347" s="589"/>
      <c r="DC347" s="589"/>
      <c r="DD347" s="589"/>
      <c r="DE347" s="589"/>
      <c r="DF347" s="589"/>
      <c r="DG347" s="589"/>
      <c r="DH347" s="589"/>
      <c r="DI347" s="589"/>
      <c r="DJ347" s="589"/>
      <c r="DK347" s="589"/>
      <c r="DL347" s="589"/>
      <c r="DM347" s="589"/>
      <c r="DN347" s="589"/>
      <c r="DO347" s="589"/>
      <c r="DP347" s="589"/>
      <c r="DQ347" s="589"/>
      <c r="DR347" s="589"/>
      <c r="DS347" s="589"/>
      <c r="DT347" s="589"/>
      <c r="DU347" s="589"/>
      <c r="DV347" s="589"/>
      <c r="DW347" s="589"/>
      <c r="DX347" s="589"/>
      <c r="DY347" s="589"/>
      <c r="DZ347" s="589"/>
      <c r="EA347" s="589"/>
      <c r="EB347" s="589"/>
      <c r="EC347" s="589"/>
      <c r="ED347" s="589"/>
      <c r="EE347" s="589"/>
      <c r="EF347" s="589"/>
      <c r="EG347" s="589"/>
      <c r="EH347" s="589"/>
      <c r="EI347" s="589"/>
      <c r="EJ347" s="589"/>
      <c r="EK347" s="589"/>
      <c r="EL347" s="589"/>
      <c r="EM347" s="589"/>
      <c r="EN347" s="589"/>
      <c r="EO347" s="589"/>
      <c r="EP347" s="589"/>
      <c r="EQ347" s="589"/>
      <c r="ER347" s="589"/>
      <c r="ES347" s="589"/>
      <c r="ET347" s="589"/>
      <c r="EU347" s="589"/>
      <c r="EV347" s="589"/>
      <c r="EW347" s="589"/>
      <c r="EX347" s="589"/>
      <c r="EY347" s="589"/>
      <c r="EZ347" s="589"/>
      <c r="FA347" s="589"/>
      <c r="FB347" s="589"/>
      <c r="FC347" s="589"/>
      <c r="FD347" s="589"/>
      <c r="FE347" s="589"/>
      <c r="FF347" s="589"/>
      <c r="FG347" s="589"/>
      <c r="FH347" s="589"/>
      <c r="FI347" s="589"/>
      <c r="FJ347" s="589"/>
      <c r="FK347" s="589"/>
      <c r="FL347" s="589"/>
      <c r="FM347" s="589"/>
      <c r="FN347" s="589"/>
      <c r="FO347" s="589"/>
      <c r="FP347" s="589"/>
      <c r="FQ347" s="589"/>
      <c r="FR347" s="589"/>
      <c r="FS347" s="589"/>
      <c r="FT347" s="589"/>
      <c r="FU347" s="589"/>
      <c r="FV347" s="589"/>
      <c r="FW347" s="589"/>
      <c r="FX347" s="589"/>
      <c r="FY347" s="589"/>
      <c r="FZ347" s="589"/>
      <c r="GA347" s="589"/>
      <c r="GB347" s="594"/>
      <c r="GC347" s="594"/>
      <c r="GD347" s="594"/>
      <c r="GE347" s="594"/>
      <c r="GF347" s="594"/>
      <c r="GG347" s="594"/>
      <c r="GH347" s="594"/>
      <c r="GI347" s="594"/>
      <c r="GJ347" s="594"/>
      <c r="GK347" s="594"/>
      <c r="GL347" s="594"/>
      <c r="GM347" s="594"/>
      <c r="GN347" s="594"/>
      <c r="GO347" s="594"/>
      <c r="GP347" s="594"/>
      <c r="GQ347" s="594"/>
      <c r="GR347" s="594"/>
      <c r="GS347" s="594"/>
      <c r="GT347" s="594"/>
      <c r="GU347" s="594"/>
      <c r="GV347" s="594"/>
      <c r="GW347" s="594"/>
      <c r="GX347" s="594"/>
      <c r="GY347" s="594"/>
      <c r="GZ347" s="594"/>
      <c r="HA347" s="594"/>
      <c r="HB347" s="594"/>
      <c r="HC347" s="594"/>
      <c r="HD347" s="594"/>
      <c r="HE347" s="594"/>
      <c r="HF347" s="594"/>
      <c r="HG347" s="594"/>
      <c r="HH347" s="594"/>
      <c r="HI347" s="594"/>
      <c r="HJ347" s="594"/>
      <c r="HK347" s="594"/>
    </row>
    <row r="348" spans="1:219" ht="20.25">
      <c r="A348" s="618" t="str">
        <f t="shared" si="964"/>
        <v>Pièces[...]</v>
      </c>
      <c r="B348" s="757" t="s">
        <v>42</v>
      </c>
      <c r="C348" s="710"/>
      <c r="D348" s="732"/>
      <c r="E348" s="733">
        <f t="shared" si="1038"/>
        <v>0</v>
      </c>
      <c r="F348" s="710"/>
      <c r="G348" s="732"/>
      <c r="H348" s="733"/>
      <c r="I348" s="710"/>
      <c r="J348" s="732"/>
      <c r="K348" s="733"/>
      <c r="L348" s="710"/>
      <c r="M348" s="732"/>
      <c r="N348" s="733"/>
      <c r="O348" s="710"/>
      <c r="P348" s="732"/>
      <c r="Q348" s="733"/>
      <c r="R348" s="710"/>
      <c r="S348" s="732"/>
      <c r="T348" s="733"/>
      <c r="U348" s="710"/>
      <c r="V348" s="732"/>
      <c r="W348" s="733"/>
      <c r="X348" s="710"/>
      <c r="Y348" s="732"/>
      <c r="Z348" s="733"/>
      <c r="AA348" s="710"/>
      <c r="AB348" s="732"/>
      <c r="AC348" s="733"/>
      <c r="AD348" s="710"/>
      <c r="AE348" s="732"/>
      <c r="AF348" s="733"/>
      <c r="AG348" s="710"/>
      <c r="AH348" s="732"/>
      <c r="AI348" s="733"/>
      <c r="AJ348" s="710"/>
      <c r="AK348" s="732"/>
      <c r="AL348" s="733"/>
      <c r="AM348" s="710"/>
      <c r="AN348" s="732"/>
      <c r="AO348" s="733"/>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s="590" customFormat="1" ht="20.25">
      <c r="A349" s="618" t="str">
        <f t="shared" si="964"/>
        <v>Pièces[...]</v>
      </c>
      <c r="B349" s="757" t="s">
        <v>42</v>
      </c>
      <c r="C349" s="710"/>
      <c r="D349" s="732"/>
      <c r="E349" s="733">
        <f t="shared" si="1038"/>
        <v>0</v>
      </c>
      <c r="F349" s="710"/>
      <c r="G349" s="732"/>
      <c r="H349" s="733"/>
      <c r="I349" s="710"/>
      <c r="J349" s="732"/>
      <c r="K349" s="733"/>
      <c r="L349" s="710"/>
      <c r="M349" s="732"/>
      <c r="N349" s="733"/>
      <c r="O349" s="710"/>
      <c r="P349" s="732"/>
      <c r="Q349" s="733"/>
      <c r="R349" s="710"/>
      <c r="S349" s="732"/>
      <c r="T349" s="733"/>
      <c r="U349" s="710"/>
      <c r="V349" s="732"/>
      <c r="W349" s="733"/>
      <c r="X349" s="710"/>
      <c r="Y349" s="732"/>
      <c r="Z349" s="733"/>
      <c r="AA349" s="710"/>
      <c r="AB349" s="732"/>
      <c r="AC349" s="733"/>
      <c r="AD349" s="710"/>
      <c r="AE349" s="732"/>
      <c r="AF349" s="733"/>
      <c r="AG349" s="710"/>
      <c r="AH349" s="732"/>
      <c r="AI349" s="733"/>
      <c r="AJ349" s="710"/>
      <c r="AK349" s="732"/>
      <c r="AL349" s="733"/>
      <c r="AM349" s="710"/>
      <c r="AN349" s="732"/>
      <c r="AO349" s="733"/>
      <c r="AP349" s="591"/>
      <c r="AQ349" s="591"/>
      <c r="AR349" s="591"/>
      <c r="AS349" s="591"/>
      <c r="AT349" s="591"/>
      <c r="AU349" s="591"/>
      <c r="AV349" s="591"/>
      <c r="AW349" s="591"/>
      <c r="AX349" s="591"/>
      <c r="AY349" s="591"/>
      <c r="AZ349" s="591"/>
      <c r="BA349" s="591"/>
      <c r="BB349" s="591"/>
      <c r="BC349" s="591"/>
      <c r="BD349" s="591"/>
      <c r="BE349" s="591"/>
      <c r="BF349" s="591"/>
      <c r="BG349" s="591"/>
      <c r="BH349" s="591"/>
      <c r="BI349" s="591"/>
      <c r="BJ349" s="591"/>
      <c r="BK349" s="591"/>
      <c r="BL349" s="591"/>
      <c r="BM349" s="591"/>
      <c r="BN349" s="591"/>
      <c r="BO349" s="591"/>
      <c r="BP349" s="591"/>
      <c r="BQ349" s="591"/>
      <c r="BR349" s="591"/>
      <c r="BS349" s="591"/>
      <c r="BT349" s="591"/>
      <c r="BU349" s="591"/>
      <c r="BV349" s="591"/>
      <c r="BW349" s="591"/>
      <c r="BX349" s="591"/>
      <c r="BY349" s="591"/>
      <c r="BZ349" s="591"/>
      <c r="CA349" s="591"/>
      <c r="CB349" s="591"/>
      <c r="CC349" s="591"/>
      <c r="CD349" s="591"/>
      <c r="CE349" s="591"/>
      <c r="CF349" s="591"/>
      <c r="CG349" s="591"/>
      <c r="CH349" s="591"/>
      <c r="CI349" s="591"/>
      <c r="CJ349" s="591"/>
      <c r="CK349" s="591"/>
      <c r="CL349" s="591"/>
      <c r="CM349" s="591"/>
      <c r="CN349" s="591"/>
      <c r="CO349" s="591"/>
      <c r="CP349" s="591"/>
      <c r="CQ349" s="591"/>
      <c r="CR349" s="591"/>
      <c r="CS349" s="591"/>
      <c r="CT349" s="591"/>
      <c r="CU349" s="591"/>
      <c r="CV349" s="591"/>
      <c r="CW349" s="591"/>
      <c r="CX349" s="591"/>
      <c r="CY349" s="591"/>
      <c r="CZ349" s="591"/>
      <c r="DA349" s="591"/>
      <c r="DB349" s="591"/>
      <c r="DC349" s="591"/>
      <c r="DD349" s="591"/>
      <c r="DE349" s="591"/>
      <c r="DF349" s="591"/>
      <c r="DG349" s="591"/>
      <c r="DH349" s="591"/>
      <c r="DI349" s="591"/>
      <c r="DJ349" s="591"/>
      <c r="DK349" s="591"/>
      <c r="DL349" s="591"/>
      <c r="DM349" s="591"/>
      <c r="DN349" s="591"/>
      <c r="DO349" s="591"/>
      <c r="DP349" s="591"/>
      <c r="DQ349" s="591"/>
      <c r="DR349" s="591"/>
      <c r="DS349" s="591"/>
      <c r="DT349" s="591"/>
      <c r="DU349" s="591"/>
      <c r="DV349" s="591"/>
      <c r="DW349" s="591"/>
      <c r="DX349" s="591"/>
      <c r="DY349" s="591"/>
      <c r="DZ349" s="591"/>
      <c r="EA349" s="591"/>
      <c r="EB349" s="591"/>
      <c r="EC349" s="591"/>
      <c r="ED349" s="591"/>
      <c r="EE349" s="591"/>
      <c r="EF349" s="591"/>
      <c r="EG349" s="591"/>
      <c r="EH349" s="591"/>
      <c r="EI349" s="591"/>
      <c r="EJ349" s="591"/>
      <c r="EK349" s="591"/>
      <c r="EL349" s="591"/>
      <c r="EM349" s="591"/>
      <c r="EN349" s="591"/>
      <c r="EO349" s="591"/>
      <c r="EP349" s="591"/>
      <c r="EQ349" s="591"/>
      <c r="ER349" s="591"/>
      <c r="ES349" s="591"/>
      <c r="ET349" s="591"/>
      <c r="EU349" s="591"/>
      <c r="EV349" s="591"/>
      <c r="EW349" s="591"/>
      <c r="EX349" s="591"/>
      <c r="EY349" s="591"/>
      <c r="EZ349" s="591"/>
      <c r="FA349" s="591"/>
      <c r="FB349" s="591"/>
      <c r="FC349" s="591"/>
      <c r="FD349" s="591"/>
      <c r="FE349" s="591"/>
      <c r="FF349" s="591"/>
      <c r="FG349" s="591"/>
      <c r="FH349" s="591"/>
      <c r="FI349" s="591"/>
      <c r="FJ349" s="591"/>
      <c r="FK349" s="591"/>
      <c r="FL349" s="591"/>
      <c r="FM349" s="591"/>
      <c r="FN349" s="591"/>
      <c r="FO349" s="591"/>
      <c r="FP349" s="591"/>
      <c r="FQ349" s="591"/>
      <c r="FR349" s="591"/>
      <c r="FS349" s="591"/>
      <c r="FT349" s="591"/>
      <c r="FU349" s="591"/>
      <c r="FV349" s="591"/>
      <c r="FW349" s="591"/>
      <c r="FX349" s="591"/>
      <c r="FY349" s="591"/>
      <c r="FZ349" s="591"/>
      <c r="GA349" s="591"/>
      <c r="GB349" s="591"/>
      <c r="GC349" s="591"/>
      <c r="GD349" s="591"/>
      <c r="GE349" s="591"/>
      <c r="GF349" s="591"/>
      <c r="GG349" s="591"/>
      <c r="GH349" s="591"/>
      <c r="GI349" s="591"/>
      <c r="GJ349" s="591"/>
      <c r="GK349" s="591"/>
      <c r="GL349" s="591"/>
      <c r="GM349" s="591"/>
      <c r="GN349" s="591"/>
      <c r="GO349" s="591"/>
      <c r="GP349" s="591"/>
      <c r="GQ349" s="591"/>
      <c r="GR349" s="591"/>
      <c r="GS349" s="591"/>
      <c r="GT349" s="591"/>
      <c r="GU349" s="591"/>
      <c r="GV349" s="591"/>
      <c r="GW349" s="591"/>
      <c r="GX349" s="591"/>
      <c r="GY349" s="591"/>
      <c r="GZ349" s="591"/>
      <c r="HA349" s="591"/>
      <c r="HB349" s="591"/>
      <c r="HC349" s="591"/>
      <c r="HD349" s="591"/>
      <c r="HE349" s="591"/>
      <c r="HF349" s="591"/>
      <c r="HG349" s="591"/>
      <c r="HH349" s="591"/>
      <c r="HI349" s="591"/>
      <c r="HJ349" s="591"/>
      <c r="HK349" s="591"/>
    </row>
    <row r="350" spans="1:219" s="590" customFormat="1" ht="20.25">
      <c r="A350" s="618" t="str">
        <f t="shared" si="964"/>
        <v>Pièces[...]</v>
      </c>
      <c r="B350" s="757" t="s">
        <v>42</v>
      </c>
      <c r="C350" s="710"/>
      <c r="D350" s="732"/>
      <c r="E350" s="733">
        <f t="shared" si="1038"/>
        <v>0</v>
      </c>
      <c r="F350" s="710"/>
      <c r="G350" s="732"/>
      <c r="H350" s="733"/>
      <c r="I350" s="710"/>
      <c r="J350" s="732"/>
      <c r="K350" s="733"/>
      <c r="L350" s="710"/>
      <c r="M350" s="732"/>
      <c r="N350" s="733"/>
      <c r="O350" s="710"/>
      <c r="P350" s="732"/>
      <c r="Q350" s="733"/>
      <c r="R350" s="710"/>
      <c r="S350" s="732"/>
      <c r="T350" s="733"/>
      <c r="U350" s="710"/>
      <c r="V350" s="732"/>
      <c r="W350" s="733"/>
      <c r="X350" s="710"/>
      <c r="Y350" s="732"/>
      <c r="Z350" s="733"/>
      <c r="AA350" s="710"/>
      <c r="AB350" s="732"/>
      <c r="AC350" s="733"/>
      <c r="AD350" s="710"/>
      <c r="AE350" s="732"/>
      <c r="AF350" s="733"/>
      <c r="AG350" s="710"/>
      <c r="AH350" s="732"/>
      <c r="AI350" s="733"/>
      <c r="AJ350" s="710"/>
      <c r="AK350" s="732"/>
      <c r="AL350" s="733"/>
      <c r="AM350" s="710"/>
      <c r="AN350" s="732"/>
      <c r="AO350" s="733"/>
      <c r="AP350" s="591"/>
      <c r="AQ350" s="591"/>
      <c r="AR350" s="591"/>
      <c r="AS350" s="591"/>
      <c r="AT350" s="591"/>
      <c r="AU350" s="591"/>
      <c r="AV350" s="591"/>
      <c r="AW350" s="591"/>
      <c r="AX350" s="591"/>
      <c r="AY350" s="591"/>
      <c r="AZ350" s="591"/>
      <c r="BA350" s="591"/>
      <c r="BB350" s="591"/>
      <c r="BC350" s="591"/>
      <c r="BD350" s="591"/>
      <c r="BE350" s="591"/>
      <c r="BF350" s="591"/>
      <c r="BG350" s="591"/>
      <c r="BH350" s="591"/>
      <c r="BI350" s="591"/>
      <c r="BJ350" s="591"/>
      <c r="BK350" s="591"/>
      <c r="BL350" s="591"/>
      <c r="BM350" s="591"/>
      <c r="BN350" s="591"/>
      <c r="BO350" s="591"/>
      <c r="BP350" s="591"/>
      <c r="BQ350" s="591"/>
      <c r="BR350" s="591"/>
      <c r="BS350" s="591"/>
      <c r="BT350" s="591"/>
      <c r="BU350" s="591"/>
      <c r="BV350" s="591"/>
      <c r="BW350" s="591"/>
      <c r="BX350" s="591"/>
      <c r="BY350" s="591"/>
      <c r="BZ350" s="591"/>
      <c r="CA350" s="591"/>
      <c r="CB350" s="591"/>
      <c r="CC350" s="591"/>
      <c r="CD350" s="591"/>
      <c r="CE350" s="591"/>
      <c r="CF350" s="591"/>
      <c r="CG350" s="591"/>
      <c r="CH350" s="591"/>
      <c r="CI350" s="591"/>
      <c r="CJ350" s="591"/>
      <c r="CK350" s="591"/>
      <c r="CL350" s="591"/>
      <c r="CM350" s="591"/>
      <c r="CN350" s="591"/>
      <c r="CO350" s="591"/>
      <c r="CP350" s="591"/>
      <c r="CQ350" s="591"/>
      <c r="CR350" s="591"/>
      <c r="CS350" s="591"/>
      <c r="CT350" s="591"/>
      <c r="CU350" s="591"/>
      <c r="CV350" s="591"/>
      <c r="CW350" s="591"/>
      <c r="CX350" s="591"/>
      <c r="CY350" s="591"/>
      <c r="CZ350" s="591"/>
      <c r="DA350" s="591"/>
      <c r="DB350" s="591"/>
      <c r="DC350" s="591"/>
      <c r="DD350" s="591"/>
      <c r="DE350" s="591"/>
      <c r="DF350" s="591"/>
      <c r="DG350" s="591"/>
      <c r="DH350" s="591"/>
      <c r="DI350" s="591"/>
      <c r="DJ350" s="591"/>
      <c r="DK350" s="591"/>
      <c r="DL350" s="591"/>
      <c r="DM350" s="591"/>
      <c r="DN350" s="591"/>
      <c r="DO350" s="591"/>
      <c r="DP350" s="591"/>
      <c r="DQ350" s="591"/>
      <c r="DR350" s="591"/>
      <c r="DS350" s="591"/>
      <c r="DT350" s="591"/>
      <c r="DU350" s="591"/>
      <c r="DV350" s="591"/>
      <c r="DW350" s="591"/>
      <c r="DX350" s="591"/>
      <c r="DY350" s="591"/>
      <c r="DZ350" s="591"/>
      <c r="EA350" s="591"/>
      <c r="EB350" s="591"/>
      <c r="EC350" s="591"/>
      <c r="ED350" s="591"/>
      <c r="EE350" s="591"/>
      <c r="EF350" s="591"/>
      <c r="EG350" s="591"/>
      <c r="EH350" s="591"/>
      <c r="EI350" s="591"/>
      <c r="EJ350" s="591"/>
      <c r="EK350" s="591"/>
      <c r="EL350" s="591"/>
      <c r="EM350" s="591"/>
      <c r="EN350" s="591"/>
      <c r="EO350" s="591"/>
      <c r="EP350" s="591"/>
      <c r="EQ350" s="591"/>
      <c r="ER350" s="591"/>
      <c r="ES350" s="591"/>
      <c r="ET350" s="591"/>
      <c r="EU350" s="591"/>
      <c r="EV350" s="591"/>
      <c r="EW350" s="591"/>
      <c r="EX350" s="591"/>
      <c r="EY350" s="591"/>
      <c r="EZ350" s="591"/>
      <c r="FA350" s="591"/>
      <c r="FB350" s="591"/>
      <c r="FC350" s="591"/>
      <c r="FD350" s="591"/>
      <c r="FE350" s="591"/>
      <c r="FF350" s="591"/>
      <c r="FG350" s="591"/>
      <c r="FH350" s="591"/>
      <c r="FI350" s="591"/>
      <c r="FJ350" s="591"/>
      <c r="FK350" s="591"/>
      <c r="FL350" s="591"/>
      <c r="FM350" s="591"/>
      <c r="FN350" s="591"/>
      <c r="FO350" s="591"/>
      <c r="FP350" s="591"/>
      <c r="FQ350" s="591"/>
      <c r="FR350" s="591"/>
      <c r="FS350" s="591"/>
      <c r="FT350" s="591"/>
      <c r="FU350" s="591"/>
      <c r="FV350" s="591"/>
      <c r="FW350" s="591"/>
      <c r="FX350" s="591"/>
      <c r="FY350" s="591"/>
      <c r="FZ350" s="591"/>
      <c r="GA350" s="591"/>
      <c r="GB350" s="591"/>
      <c r="GC350" s="591"/>
      <c r="GD350" s="591"/>
      <c r="GE350" s="591"/>
      <c r="GF350" s="591"/>
      <c r="GG350" s="591"/>
      <c r="GH350" s="591"/>
      <c r="GI350" s="591"/>
      <c r="GJ350" s="591"/>
      <c r="GK350" s="591"/>
      <c r="GL350" s="591"/>
      <c r="GM350" s="591"/>
      <c r="GN350" s="591"/>
      <c r="GO350" s="591"/>
      <c r="GP350" s="591"/>
      <c r="GQ350" s="591"/>
      <c r="GR350" s="591"/>
      <c r="GS350" s="591"/>
      <c r="GT350" s="591"/>
      <c r="GU350" s="591"/>
      <c r="GV350" s="591"/>
      <c r="GW350" s="591"/>
      <c r="GX350" s="591"/>
      <c r="GY350" s="591"/>
      <c r="GZ350" s="591"/>
      <c r="HA350" s="591"/>
      <c r="HB350" s="591"/>
      <c r="HC350" s="591"/>
      <c r="HD350" s="591"/>
      <c r="HE350" s="591"/>
      <c r="HF350" s="591"/>
      <c r="HG350" s="591"/>
      <c r="HH350" s="591"/>
      <c r="HI350" s="591"/>
      <c r="HJ350" s="591"/>
      <c r="HK350" s="591"/>
    </row>
    <row r="351" spans="1:219" ht="20.25">
      <c r="A351" s="618" t="str">
        <f t="shared" si="964"/>
        <v>PiècesTOTAL SEMI-FIXES</v>
      </c>
      <c r="B351" s="753" t="s">
        <v>135</v>
      </c>
      <c r="C351" s="754" t="s">
        <v>111</v>
      </c>
      <c r="D351" s="755">
        <f>IFERROR(E351/E$316,0)</f>
        <v>0.19172055771769186</v>
      </c>
      <c r="E351" s="756">
        <f>+SUM(E333:E350)</f>
        <v>256041.76536700429</v>
      </c>
      <c r="F351" s="754" t="s">
        <v>111</v>
      </c>
      <c r="G351" s="755">
        <f>IFERROR(H351/H$316,0)</f>
        <v>0.21273151645338945</v>
      </c>
      <c r="H351" s="756">
        <f>+SUM(H333:H350)</f>
        <v>20371.507999919562</v>
      </c>
      <c r="I351" s="754" t="s">
        <v>111</v>
      </c>
      <c r="J351" s="755">
        <f t="shared" ref="J351" si="1039">IFERROR(K351/K$316,0)</f>
        <v>0.22398060430940969</v>
      </c>
      <c r="K351" s="756">
        <f t="shared" ref="K351" si="1040">+SUM(K333:K350)</f>
        <v>20069.747158755999</v>
      </c>
      <c r="L351" s="754" t="s">
        <v>111</v>
      </c>
      <c r="M351" s="755">
        <f t="shared" ref="M351" si="1041">IFERROR(N351/N$316,0)</f>
        <v>0.22285094274855935</v>
      </c>
      <c r="N351" s="756">
        <f t="shared" ref="N351" si="1042">+SUM(N333:N350)</f>
        <v>20956.677995691141</v>
      </c>
      <c r="O351" s="754" t="s">
        <v>111</v>
      </c>
      <c r="P351" s="755">
        <f t="shared" ref="P351" si="1043">IFERROR(Q351/Q$316,0)</f>
        <v>0.19638636252754904</v>
      </c>
      <c r="Q351" s="756">
        <f t="shared" ref="Q351" si="1044">+SUM(Q333:Q350)</f>
        <v>21902.443310149294</v>
      </c>
      <c r="R351" s="754" t="s">
        <v>111</v>
      </c>
      <c r="S351" s="755">
        <f t="shared" ref="S351" si="1045">IFERROR(T351/T$316,0)</f>
        <v>0.20988992543349147</v>
      </c>
      <c r="T351" s="756">
        <f t="shared" ref="T351" si="1046">+SUM(T333:T350)</f>
        <v>23578.007732932714</v>
      </c>
      <c r="U351" s="754" t="s">
        <v>111</v>
      </c>
      <c r="V351" s="755">
        <f t="shared" ref="V351" si="1047">IFERROR(W351/W$316,0)</f>
        <v>0.17644780082391281</v>
      </c>
      <c r="W351" s="756">
        <f t="shared" ref="W351" si="1048">+SUM(W333:W350)</f>
        <v>21165.432912416793</v>
      </c>
      <c r="X351" s="754" t="s">
        <v>111</v>
      </c>
      <c r="Y351" s="755">
        <f t="shared" ref="Y351" si="1049">IFERROR(Z351/Z$316,0)</f>
        <v>0.19473362159300664</v>
      </c>
      <c r="Z351" s="756">
        <f t="shared" ref="Z351" si="1050">+SUM(Z333:Z350)</f>
        <v>21051.564749404562</v>
      </c>
      <c r="AA351" s="754" t="s">
        <v>111</v>
      </c>
      <c r="AB351" s="755">
        <f t="shared" ref="AB351" si="1051">IFERROR(AC351/AC$316,0)</f>
        <v>0.18043443202635401</v>
      </c>
      <c r="AC351" s="756">
        <f t="shared" ref="AC351" si="1052">+SUM(AC333:AC350)</f>
        <v>20450.942358992485</v>
      </c>
      <c r="AD351" s="754" t="s">
        <v>111</v>
      </c>
      <c r="AE351" s="755">
        <f t="shared" ref="AE351" si="1053">IFERROR(AF351/AF$316,0)</f>
        <v>0.19152223802340643</v>
      </c>
      <c r="AF351" s="756">
        <f t="shared" ref="AF351" si="1054">+SUM(AF333:AF350)</f>
        <v>20222.71647950515</v>
      </c>
      <c r="AG351" s="754" t="s">
        <v>111</v>
      </c>
      <c r="AH351" s="755">
        <f t="shared" ref="AH351" si="1055">IFERROR(AI351/AI$316,0)</f>
        <v>0.15847072541970181</v>
      </c>
      <c r="AI351" s="756">
        <f t="shared" ref="AI351" si="1056">+SUM(AI333:AI350)</f>
        <v>21659.506625937291</v>
      </c>
      <c r="AJ351" s="754" t="s">
        <v>111</v>
      </c>
      <c r="AK351" s="755">
        <f t="shared" ref="AK351" si="1057">IFERROR(AL351/AL$316,0)</f>
        <v>0.15835399265620353</v>
      </c>
      <c r="AL351" s="756">
        <f t="shared" ref="AL351" si="1058">+SUM(AL333:AL350)</f>
        <v>24465.558049582854</v>
      </c>
      <c r="AM351" s="754" t="s">
        <v>111</v>
      </c>
      <c r="AN351" s="755">
        <f t="shared" ref="AN351" si="1059">IFERROR(AO351/AO$316,0)</f>
        <v>0.2142006548485807</v>
      </c>
      <c r="AO351" s="756">
        <f t="shared" ref="AO351" si="1060">+SUM(AO333:AO350)</f>
        <v>20147.659993716366</v>
      </c>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0.25">
      <c r="A352" s="618" t="str">
        <f t="shared" si="964"/>
        <v>Pièces</v>
      </c>
      <c r="B352" s="705"/>
      <c r="C352" s="705"/>
      <c r="D352" s="763"/>
      <c r="E352" s="751"/>
      <c r="F352" s="705"/>
      <c r="G352" s="763"/>
      <c r="H352" s="751"/>
      <c r="I352" s="705"/>
      <c r="J352" s="763"/>
      <c r="K352" s="751"/>
      <c r="L352" s="705"/>
      <c r="M352" s="763"/>
      <c r="N352" s="751"/>
      <c r="O352" s="705"/>
      <c r="P352" s="763"/>
      <c r="Q352" s="751"/>
      <c r="R352" s="705"/>
      <c r="S352" s="763"/>
      <c r="T352" s="751"/>
      <c r="U352" s="705"/>
      <c r="V352" s="763"/>
      <c r="W352" s="751"/>
      <c r="X352" s="705"/>
      <c r="Y352" s="763"/>
      <c r="Z352" s="751"/>
      <c r="AA352" s="705"/>
      <c r="AB352" s="763"/>
      <c r="AC352" s="751"/>
      <c r="AD352" s="705"/>
      <c r="AE352" s="763"/>
      <c r="AF352" s="751"/>
      <c r="AG352" s="705"/>
      <c r="AH352" s="763"/>
      <c r="AI352" s="751"/>
      <c r="AJ352" s="705"/>
      <c r="AK352" s="763"/>
      <c r="AL352" s="751"/>
      <c r="AM352" s="705"/>
      <c r="AN352" s="763"/>
      <c r="AO352" s="751"/>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t="str">
        <f t="shared" si="964"/>
        <v>PiècesTOTAL DES DÉPENSES</v>
      </c>
      <c r="B353" s="768" t="s">
        <v>136</v>
      </c>
      <c r="C353" s="754" t="s">
        <v>111</v>
      </c>
      <c r="D353" s="798">
        <f>IFERROR(E353/E$316,0)</f>
        <v>0.5734522345118972</v>
      </c>
      <c r="E353" s="769">
        <f>E332+E351</f>
        <v>765842.35006390407</v>
      </c>
      <c r="F353" s="754" t="s">
        <v>111</v>
      </c>
      <c r="G353" s="798">
        <f>IFERROR(H353/H$316,0)</f>
        <v>0.6419497430575597</v>
      </c>
      <c r="H353" s="769">
        <f>H332+H351</f>
        <v>61474.127314411016</v>
      </c>
      <c r="I353" s="754" t="s">
        <v>111</v>
      </c>
      <c r="J353" s="798">
        <f t="shared" ref="J353" si="1061">IFERROR(K353/K$316,0)</f>
        <v>0.66214444089940749</v>
      </c>
      <c r="K353" s="769">
        <f t="shared" ref="K353" si="1062">K332+K351</f>
        <v>59331.349481802754</v>
      </c>
      <c r="L353" s="754" t="s">
        <v>111</v>
      </c>
      <c r="M353" s="798">
        <f t="shared" ref="M353" si="1063">IFERROR(N353/N$316,0)</f>
        <v>0.69908587893647667</v>
      </c>
      <c r="N353" s="769">
        <f t="shared" ref="N353" si="1064">N332+N351</f>
        <v>65741.331293071999</v>
      </c>
      <c r="O353" s="754" t="s">
        <v>111</v>
      </c>
      <c r="P353" s="798">
        <f t="shared" ref="P353" si="1065">IFERROR(Q353/Q$316,0)</f>
        <v>0.56492944163631242</v>
      </c>
      <c r="Q353" s="769">
        <f t="shared" ref="Q353" si="1066">Q332+Q351</f>
        <v>63005.062624640748</v>
      </c>
      <c r="R353" s="754" t="s">
        <v>111</v>
      </c>
      <c r="S353" s="798">
        <f t="shared" ref="S353" si="1067">IFERROR(T353/T$316,0)</f>
        <v>0.59217144489818951</v>
      </c>
      <c r="T353" s="769">
        <f t="shared" ref="T353" si="1068">T332+T351</f>
        <v>66521.644038868879</v>
      </c>
      <c r="U353" s="754" t="s">
        <v>111</v>
      </c>
      <c r="V353" s="798">
        <f t="shared" ref="V353" si="1069">IFERROR(W353/W$316,0)</f>
        <v>0.53445182639331723</v>
      </c>
      <c r="W353" s="769">
        <f t="shared" ref="W353" si="1070">W332+W351</f>
        <v>64109.069218352954</v>
      </c>
      <c r="X353" s="754" t="s">
        <v>111</v>
      </c>
      <c r="Y353" s="798">
        <f t="shared" ref="Y353" si="1071">IFERROR(Z353/Z$316,0)</f>
        <v>0.59197581816010059</v>
      </c>
      <c r="Z353" s="769">
        <f t="shared" ref="Z353" si="1072">Z332+Z351</f>
        <v>63995.201055340724</v>
      </c>
      <c r="AA353" s="754" t="s">
        <v>111</v>
      </c>
      <c r="AB353" s="798">
        <f t="shared" ref="AB353" si="1073">IFERROR(AC353/AC$316,0)</f>
        <v>0.55931724779062653</v>
      </c>
      <c r="AC353" s="769">
        <f t="shared" ref="AC353" si="1074">AC332+AC351</f>
        <v>63394.578664928646</v>
      </c>
      <c r="AD353" s="754" t="s">
        <v>111</v>
      </c>
      <c r="AE353" s="798">
        <f t="shared" ref="AE353" si="1075">IFERROR(AF353/AF$316,0)</f>
        <v>0.59822631966898765</v>
      </c>
      <c r="AF353" s="769">
        <f t="shared" ref="AF353" si="1076">AF332+AF351</f>
        <v>63166.352785441311</v>
      </c>
      <c r="AG353" s="754" t="s">
        <v>111</v>
      </c>
      <c r="AH353" s="798">
        <f t="shared" ref="AH353" si="1077">IFERROR(AI353/AI$316,0)</f>
        <v>0.45919603795370517</v>
      </c>
      <c r="AI353" s="769">
        <f t="shared" ref="AI353" si="1078">AI332+AI351</f>
        <v>62762.125940428748</v>
      </c>
      <c r="AJ353" s="754" t="s">
        <v>111</v>
      </c>
      <c r="AK353" s="798">
        <f t="shared" ref="AK353" si="1079">IFERROR(AL353/AL$316,0)</f>
        <v>0.4363078514825236</v>
      </c>
      <c r="AL353" s="769">
        <f t="shared" ref="AL353" si="1080">AL332+AL351</f>
        <v>67409.194355519023</v>
      </c>
      <c r="AM353" s="754" t="s">
        <v>111</v>
      </c>
      <c r="AN353" s="798">
        <f t="shared" ref="AN353" si="1081">IFERROR(AO353/AO$316,0)</f>
        <v>0.69033049158681492</v>
      </c>
      <c r="AO353" s="769">
        <f t="shared" ref="AO353" si="1082">AO332+AO351</f>
        <v>64932.31329109722</v>
      </c>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t="str">
        <f t="shared" si="964"/>
        <v>Pièces</v>
      </c>
      <c r="B354" s="710"/>
      <c r="C354" s="710"/>
      <c r="D354" s="732"/>
      <c r="E354" s="733"/>
      <c r="F354" s="710"/>
      <c r="G354" s="732"/>
      <c r="H354" s="733"/>
      <c r="I354" s="710"/>
      <c r="J354" s="732"/>
      <c r="K354" s="733"/>
      <c r="L354" s="710"/>
      <c r="M354" s="732"/>
      <c r="N354" s="733"/>
      <c r="O354" s="710"/>
      <c r="P354" s="732"/>
      <c r="Q354" s="733"/>
      <c r="R354" s="710"/>
      <c r="S354" s="732"/>
      <c r="T354" s="733"/>
      <c r="U354" s="710"/>
      <c r="V354" s="732"/>
      <c r="W354" s="733"/>
      <c r="X354" s="710"/>
      <c r="Y354" s="732"/>
      <c r="Z354" s="733"/>
      <c r="AA354" s="710"/>
      <c r="AB354" s="732"/>
      <c r="AC354" s="733"/>
      <c r="AD354" s="710"/>
      <c r="AE354" s="732"/>
      <c r="AF354" s="733"/>
      <c r="AG354" s="710"/>
      <c r="AH354" s="732"/>
      <c r="AI354" s="733"/>
      <c r="AJ354" s="710"/>
      <c r="AK354" s="732"/>
      <c r="AL354" s="733"/>
      <c r="AM354" s="710"/>
      <c r="AN354" s="732"/>
      <c r="AO354" s="733"/>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21" thickBot="1">
      <c r="A355" s="618" t="str">
        <f t="shared" si="964"/>
        <v>PiècesPROFIT DÉPARTEMENTAL</v>
      </c>
      <c r="B355" s="777" t="s">
        <v>143</v>
      </c>
      <c r="C355" s="777"/>
      <c r="D355" s="799"/>
      <c r="E355" s="780">
        <f>E316-E353</f>
        <v>569652.22816502687</v>
      </c>
      <c r="F355" s="777"/>
      <c r="G355" s="799"/>
      <c r="H355" s="780">
        <f>H316-H353</f>
        <v>34287.461469181668</v>
      </c>
      <c r="I355" s="777"/>
      <c r="J355" s="799"/>
      <c r="K355" s="780">
        <f t="shared" ref="K355" si="1083">K316-K353</f>
        <v>30273.494744045442</v>
      </c>
      <c r="L355" s="777"/>
      <c r="M355" s="799"/>
      <c r="N355" s="780">
        <f t="shared" ref="N355" si="1084">N316-N353</f>
        <v>28297.660587417224</v>
      </c>
      <c r="O355" s="777"/>
      <c r="P355" s="799"/>
      <c r="Q355" s="780">
        <f t="shared" ref="Q355" si="1085">Q316-Q353</f>
        <v>48522.250312258446</v>
      </c>
      <c r="R355" s="777"/>
      <c r="S355" s="799"/>
      <c r="T355" s="780">
        <f t="shared" ref="T355" si="1086">T316-T353</f>
        <v>45813.465348760859</v>
      </c>
      <c r="U355" s="777"/>
      <c r="V355" s="799"/>
      <c r="W355" s="780">
        <f t="shared" ref="W355" si="1087">W316-W353</f>
        <v>55843.873315280369</v>
      </c>
      <c r="X355" s="777"/>
      <c r="Y355" s="799"/>
      <c r="Z355" s="780">
        <f t="shared" ref="Z355" si="1088">Z316-Z353</f>
        <v>44109.216544422008</v>
      </c>
      <c r="AA355" s="777"/>
      <c r="AB355" s="799"/>
      <c r="AC355" s="780">
        <f t="shared" ref="AC355" si="1089">AC316-AC353</f>
        <v>49948.213668662356</v>
      </c>
      <c r="AD355" s="777"/>
      <c r="AE355" s="799"/>
      <c r="AF355" s="780">
        <f t="shared" ref="AF355" si="1090">AF316-AF353</f>
        <v>42423.03823365111</v>
      </c>
      <c r="AG355" s="777"/>
      <c r="AH355" s="799"/>
      <c r="AI355" s="780">
        <f t="shared" ref="AI355" si="1091">AI316-AI353</f>
        <v>73916.156869050203</v>
      </c>
      <c r="AJ355" s="777"/>
      <c r="AK355" s="799"/>
      <c r="AL355" s="780">
        <f t="shared" ref="AL355" si="1092">AL316-AL353</f>
        <v>87089.960602317238</v>
      </c>
      <c r="AM355" s="777"/>
      <c r="AN355" s="799"/>
      <c r="AO355" s="780">
        <f t="shared" ref="AO355" si="1093">AO316-AO353</f>
        <v>29127.436469979977</v>
      </c>
      <c r="AP355" s="589"/>
      <c r="AQ355" s="589"/>
      <c r="AR355" s="589"/>
      <c r="AS355" s="589"/>
      <c r="AT355" s="589"/>
      <c r="AU355" s="589"/>
      <c r="AV355" s="589"/>
      <c r="AW355" s="589"/>
      <c r="AX355" s="589"/>
      <c r="AY355" s="589"/>
      <c r="AZ355" s="589"/>
      <c r="BA355" s="589"/>
      <c r="BB355" s="589"/>
      <c r="BC355" s="589"/>
      <c r="BD355" s="589"/>
      <c r="BE355" s="589"/>
      <c r="BF355" s="589"/>
      <c r="BG355" s="589"/>
      <c r="BH355" s="589"/>
      <c r="BI355" s="589"/>
      <c r="BJ355" s="589"/>
      <c r="BK355" s="589"/>
      <c r="BL355" s="589"/>
      <c r="BM355" s="589"/>
      <c r="BN355" s="589"/>
      <c r="BO355" s="589"/>
      <c r="BP355" s="589"/>
      <c r="BQ355" s="589"/>
      <c r="BR355" s="589"/>
      <c r="BS355" s="589"/>
      <c r="BT355" s="589"/>
      <c r="BU355" s="589"/>
      <c r="BV355" s="589"/>
      <c r="BW355" s="589"/>
      <c r="BX355" s="589"/>
      <c r="BY355" s="589"/>
      <c r="BZ355" s="589"/>
      <c r="CA355" s="589"/>
      <c r="CB355" s="589"/>
      <c r="CC355" s="589"/>
      <c r="CD355" s="589"/>
      <c r="CE355" s="589"/>
      <c r="CF355" s="589"/>
      <c r="CG355" s="589"/>
      <c r="CH355" s="589"/>
      <c r="CI355" s="589"/>
      <c r="CJ355" s="589"/>
      <c r="CK355" s="589"/>
      <c r="CL355" s="589"/>
      <c r="CM355" s="589"/>
      <c r="CN355" s="589"/>
      <c r="CO355" s="589"/>
      <c r="CP355" s="589"/>
      <c r="CQ355" s="589"/>
      <c r="CR355" s="589"/>
      <c r="CS355" s="589"/>
      <c r="CT355" s="589"/>
      <c r="CU355" s="589"/>
      <c r="CV355" s="589"/>
      <c r="CW355" s="589"/>
      <c r="CX355" s="589"/>
      <c r="CY355" s="589"/>
      <c r="CZ355" s="589"/>
      <c r="DA355" s="589"/>
      <c r="DB355" s="589"/>
      <c r="DC355" s="589"/>
      <c r="DD355" s="589"/>
      <c r="DE355" s="589"/>
      <c r="DF355" s="589"/>
      <c r="DG355" s="589"/>
      <c r="DH355" s="589"/>
      <c r="DI355" s="589"/>
      <c r="DJ355" s="589"/>
      <c r="DK355" s="589"/>
      <c r="DL355" s="589"/>
      <c r="DM355" s="589"/>
      <c r="DN355" s="589"/>
      <c r="DO355" s="589"/>
      <c r="DP355" s="589"/>
      <c r="DQ355" s="589"/>
      <c r="DR355" s="589"/>
      <c r="DS355" s="589"/>
      <c r="DT355" s="589"/>
      <c r="DU355" s="589"/>
      <c r="DV355" s="589"/>
      <c r="DW355" s="589"/>
      <c r="DX355" s="589"/>
      <c r="DY355" s="589"/>
      <c r="DZ355" s="589"/>
      <c r="EA355" s="589"/>
      <c r="EB355" s="589"/>
      <c r="EC355" s="589"/>
      <c r="ED355" s="589"/>
      <c r="EE355" s="589"/>
      <c r="EF355" s="589"/>
      <c r="EG355" s="589"/>
      <c r="EH355" s="589"/>
      <c r="EI355" s="589"/>
      <c r="EJ355" s="589"/>
      <c r="EK355" s="589"/>
      <c r="EL355" s="589"/>
      <c r="EM355" s="589"/>
      <c r="EN355" s="589"/>
      <c r="EO355" s="589"/>
      <c r="EP355" s="589"/>
      <c r="EQ355" s="589"/>
      <c r="ER355" s="589"/>
      <c r="ES355" s="589"/>
      <c r="ET355" s="589"/>
      <c r="EU355" s="589"/>
      <c r="EV355" s="589"/>
      <c r="EW355" s="589"/>
      <c r="EX355" s="589"/>
      <c r="EY355" s="589"/>
      <c r="EZ355" s="589"/>
      <c r="FA355" s="589"/>
      <c r="FB355" s="589"/>
      <c r="FC355" s="589"/>
      <c r="FD355" s="589"/>
      <c r="FE355" s="589"/>
      <c r="FF355" s="589"/>
      <c r="FG355" s="589"/>
      <c r="FH355" s="589"/>
      <c r="FI355" s="589"/>
      <c r="FJ355" s="589"/>
      <c r="FK355" s="589"/>
      <c r="FL355" s="589"/>
      <c r="FM355" s="589"/>
      <c r="FN355" s="589"/>
      <c r="FO355" s="589"/>
      <c r="FP355" s="589"/>
      <c r="FQ355" s="589"/>
      <c r="FR355" s="589"/>
      <c r="FS355" s="589"/>
      <c r="FT355" s="589"/>
      <c r="FU355" s="589"/>
      <c r="FV355" s="589"/>
      <c r="FW355" s="589"/>
      <c r="FX355" s="589"/>
      <c r="FY355" s="589"/>
      <c r="FZ355" s="589"/>
      <c r="GA355" s="589"/>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0.25">
      <c r="A356" s="618"/>
      <c r="B356" s="793"/>
      <c r="C356" s="793"/>
      <c r="D356" s="793"/>
      <c r="E356" s="857"/>
      <c r="F356" s="793"/>
      <c r="G356" s="793"/>
      <c r="H356" s="857"/>
      <c r="I356" s="793"/>
      <c r="J356" s="793"/>
      <c r="K356" s="857"/>
      <c r="L356" s="793"/>
      <c r="M356" s="793"/>
      <c r="N356" s="857"/>
      <c r="O356" s="793"/>
      <c r="P356" s="793"/>
      <c r="Q356" s="857"/>
      <c r="R356" s="793"/>
      <c r="S356" s="793"/>
      <c r="T356" s="857"/>
      <c r="U356" s="793"/>
      <c r="V356" s="793"/>
      <c r="W356" s="857"/>
      <c r="X356" s="793"/>
      <c r="Y356" s="793"/>
      <c r="Z356" s="857"/>
      <c r="AA356" s="793"/>
      <c r="AB356" s="793"/>
      <c r="AC356" s="857"/>
      <c r="AD356" s="793"/>
      <c r="AE356" s="793"/>
      <c r="AF356" s="857"/>
      <c r="AG356" s="793"/>
      <c r="AH356" s="793"/>
      <c r="AI356" s="857"/>
      <c r="AJ356" s="793"/>
      <c r="AK356" s="793"/>
      <c r="AL356" s="857"/>
      <c r="AM356" s="793"/>
      <c r="AN356" s="793"/>
      <c r="AO356" s="857"/>
      <c r="AP356" s="589"/>
      <c r="AQ356" s="589"/>
      <c r="AR356" s="589"/>
      <c r="AS356" s="589"/>
      <c r="AT356" s="589"/>
      <c r="AU356" s="589"/>
      <c r="AV356" s="589"/>
      <c r="AW356" s="589"/>
      <c r="AX356" s="589"/>
      <c r="AY356" s="589"/>
      <c r="AZ356" s="589"/>
      <c r="BA356" s="589"/>
      <c r="BB356" s="589"/>
      <c r="BC356" s="589"/>
      <c r="BD356" s="589"/>
      <c r="BE356" s="589"/>
      <c r="BF356" s="589"/>
      <c r="BG356" s="589"/>
      <c r="BH356" s="589"/>
      <c r="BI356" s="589"/>
      <c r="BJ356" s="589"/>
      <c r="BK356" s="589"/>
      <c r="BL356" s="589"/>
      <c r="BM356" s="589"/>
      <c r="BN356" s="589"/>
      <c r="BO356" s="589"/>
      <c r="BP356" s="589"/>
      <c r="BQ356" s="589"/>
      <c r="BR356" s="589"/>
      <c r="BS356" s="589"/>
      <c r="BT356" s="589"/>
      <c r="BU356" s="589"/>
      <c r="BV356" s="589"/>
      <c r="BW356" s="589"/>
      <c r="BX356" s="589"/>
      <c r="BY356" s="589"/>
      <c r="BZ356" s="589"/>
      <c r="CA356" s="589"/>
      <c r="CB356" s="589"/>
      <c r="CC356" s="589"/>
      <c r="CD356" s="589"/>
      <c r="CE356" s="589"/>
      <c r="CF356" s="589"/>
      <c r="CG356" s="589"/>
      <c r="CH356" s="589"/>
      <c r="CI356" s="589"/>
      <c r="CJ356" s="589"/>
      <c r="CK356" s="589"/>
      <c r="CL356" s="589"/>
      <c r="CM356" s="589"/>
      <c r="CN356" s="589"/>
      <c r="CO356" s="589"/>
      <c r="CP356" s="589"/>
      <c r="CQ356" s="589"/>
      <c r="CR356" s="589"/>
      <c r="CS356" s="589"/>
      <c r="CT356" s="589"/>
      <c r="CU356" s="589"/>
      <c r="CV356" s="589"/>
      <c r="CW356" s="589"/>
      <c r="CX356" s="589"/>
      <c r="CY356" s="589"/>
      <c r="CZ356" s="589"/>
      <c r="DA356" s="589"/>
      <c r="DB356" s="589"/>
      <c r="DC356" s="589"/>
      <c r="DD356" s="589"/>
      <c r="DE356" s="589"/>
      <c r="DF356" s="589"/>
      <c r="DG356" s="589"/>
      <c r="DH356" s="589"/>
      <c r="DI356" s="589"/>
      <c r="DJ356" s="589"/>
      <c r="DK356" s="589"/>
      <c r="DL356" s="589"/>
      <c r="DM356" s="589"/>
      <c r="DN356" s="589"/>
      <c r="DO356" s="589"/>
      <c r="DP356" s="589"/>
      <c r="DQ356" s="589"/>
      <c r="DR356" s="589"/>
      <c r="DS356" s="589"/>
      <c r="DT356" s="589"/>
      <c r="DU356" s="589"/>
      <c r="DV356" s="589"/>
      <c r="DW356" s="589"/>
      <c r="DX356" s="589"/>
      <c r="DY356" s="589"/>
      <c r="DZ356" s="589"/>
      <c r="EA356" s="589"/>
      <c r="EB356" s="589"/>
      <c r="EC356" s="589"/>
      <c r="ED356" s="589"/>
      <c r="EE356" s="589"/>
      <c r="EF356" s="589"/>
      <c r="EG356" s="589"/>
      <c r="EH356" s="589"/>
      <c r="EI356" s="589"/>
      <c r="EJ356" s="589"/>
      <c r="EK356" s="589"/>
      <c r="EL356" s="589"/>
      <c r="EM356" s="589"/>
      <c r="EN356" s="589"/>
      <c r="EO356" s="589"/>
      <c r="EP356" s="589"/>
      <c r="EQ356" s="589"/>
      <c r="ER356" s="589"/>
      <c r="ES356" s="589"/>
      <c r="ET356" s="589"/>
      <c r="EU356" s="589"/>
      <c r="EV356" s="589"/>
      <c r="EW356" s="589"/>
      <c r="EX356" s="589"/>
      <c r="EY356" s="589"/>
      <c r="EZ356" s="589"/>
      <c r="FA356" s="589"/>
      <c r="FB356" s="589"/>
      <c r="FC356" s="589"/>
      <c r="FD356" s="589"/>
      <c r="FE356" s="589"/>
      <c r="FF356" s="589"/>
      <c r="FG356" s="589"/>
      <c r="FH356" s="589"/>
      <c r="FI356" s="589"/>
      <c r="FJ356" s="589"/>
      <c r="FK356" s="589"/>
      <c r="FL356" s="589"/>
      <c r="FM356" s="589"/>
      <c r="FN356" s="589"/>
      <c r="FO356" s="589"/>
      <c r="FP356" s="589"/>
      <c r="FQ356" s="589"/>
      <c r="FR356" s="589"/>
      <c r="FS356" s="589"/>
      <c r="FT356" s="589"/>
      <c r="FU356" s="589"/>
      <c r="FV356" s="589"/>
      <c r="FW356" s="589"/>
      <c r="FX356" s="589"/>
      <c r="FY356" s="589"/>
      <c r="FZ356" s="589"/>
      <c r="GA356" s="589"/>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0.25">
      <c r="A357" s="618"/>
      <c r="B357" s="793"/>
      <c r="C357" s="793"/>
      <c r="D357" s="793"/>
      <c r="E357" s="857"/>
      <c r="F357" s="793"/>
      <c r="G357" s="793"/>
      <c r="H357" s="857"/>
      <c r="I357" s="793"/>
      <c r="J357" s="793"/>
      <c r="K357" s="857"/>
      <c r="L357" s="793"/>
      <c r="M357" s="793"/>
      <c r="N357" s="857"/>
      <c r="O357" s="793"/>
      <c r="P357" s="793"/>
      <c r="Q357" s="857"/>
      <c r="R357" s="793"/>
      <c r="S357" s="793"/>
      <c r="T357" s="857"/>
      <c r="U357" s="793"/>
      <c r="V357" s="793"/>
      <c r="W357" s="857"/>
      <c r="X357" s="793"/>
      <c r="Y357" s="793"/>
      <c r="Z357" s="857"/>
      <c r="AA357" s="793"/>
      <c r="AB357" s="793"/>
      <c r="AC357" s="857"/>
      <c r="AD357" s="793"/>
      <c r="AE357" s="793"/>
      <c r="AF357" s="857"/>
      <c r="AG357" s="793"/>
      <c r="AH357" s="793"/>
      <c r="AI357" s="857"/>
      <c r="AJ357" s="793"/>
      <c r="AK357" s="793"/>
      <c r="AL357" s="857"/>
      <c r="AM357" s="793"/>
      <c r="AN357" s="793"/>
      <c r="AO357" s="857"/>
      <c r="AP357" s="589"/>
      <c r="AQ357" s="589"/>
      <c r="AR357" s="589"/>
      <c r="AS357" s="589"/>
      <c r="AT357" s="589"/>
      <c r="AU357" s="589"/>
      <c r="AV357" s="589"/>
      <c r="AW357" s="589"/>
      <c r="AX357" s="589"/>
      <c r="AY357" s="589"/>
      <c r="AZ357" s="589"/>
      <c r="BA357" s="589"/>
      <c r="BB357" s="589"/>
      <c r="BC357" s="589"/>
      <c r="BD357" s="589"/>
      <c r="BE357" s="589"/>
      <c r="BF357" s="589"/>
      <c r="BG357" s="589"/>
      <c r="BH357" s="589"/>
      <c r="BI357" s="589"/>
      <c r="BJ357" s="589"/>
      <c r="BK357" s="589"/>
      <c r="BL357" s="589"/>
      <c r="BM357" s="589"/>
      <c r="BN357" s="589"/>
      <c r="BO357" s="589"/>
      <c r="BP357" s="589"/>
      <c r="BQ357" s="589"/>
      <c r="BR357" s="589"/>
      <c r="BS357" s="589"/>
      <c r="BT357" s="589"/>
      <c r="BU357" s="589"/>
      <c r="BV357" s="589"/>
      <c r="BW357" s="589"/>
      <c r="BX357" s="589"/>
      <c r="BY357" s="589"/>
      <c r="BZ357" s="589"/>
      <c r="CA357" s="589"/>
      <c r="CB357" s="589"/>
      <c r="CC357" s="589"/>
      <c r="CD357" s="589"/>
      <c r="CE357" s="589"/>
      <c r="CF357" s="589"/>
      <c r="CG357" s="589"/>
      <c r="CH357" s="589"/>
      <c r="CI357" s="589"/>
      <c r="CJ357" s="589"/>
      <c r="CK357" s="589"/>
      <c r="CL357" s="589"/>
      <c r="CM357" s="589"/>
      <c r="CN357" s="589"/>
      <c r="CO357" s="589"/>
      <c r="CP357" s="589"/>
      <c r="CQ357" s="589"/>
      <c r="CR357" s="589"/>
      <c r="CS357" s="589"/>
      <c r="CT357" s="589"/>
      <c r="CU357" s="589"/>
      <c r="CV357" s="589"/>
      <c r="CW357" s="589"/>
      <c r="CX357" s="589"/>
      <c r="CY357" s="589"/>
      <c r="CZ357" s="589"/>
      <c r="DA357" s="589"/>
      <c r="DB357" s="589"/>
      <c r="DC357" s="589"/>
      <c r="DD357" s="589"/>
      <c r="DE357" s="589"/>
      <c r="DF357" s="589"/>
      <c r="DG357" s="589"/>
      <c r="DH357" s="589"/>
      <c r="DI357" s="589"/>
      <c r="DJ357" s="589"/>
      <c r="DK357" s="589"/>
      <c r="DL357" s="589"/>
      <c r="DM357" s="589"/>
      <c r="DN357" s="589"/>
      <c r="DO357" s="589"/>
      <c r="DP357" s="589"/>
      <c r="DQ357" s="589"/>
      <c r="DR357" s="589"/>
      <c r="DS357" s="589"/>
      <c r="DT357" s="589"/>
      <c r="DU357" s="589"/>
      <c r="DV357" s="589"/>
      <c r="DW357" s="589"/>
      <c r="DX357" s="589"/>
      <c r="DY357" s="589"/>
      <c r="DZ357" s="589"/>
      <c r="EA357" s="589"/>
      <c r="EB357" s="589"/>
      <c r="EC357" s="589"/>
      <c r="ED357" s="589"/>
      <c r="EE357" s="589"/>
      <c r="EF357" s="589"/>
      <c r="EG357" s="589"/>
      <c r="EH357" s="589"/>
      <c r="EI357" s="589"/>
      <c r="EJ357" s="589"/>
      <c r="EK357" s="589"/>
      <c r="EL357" s="589"/>
      <c r="EM357" s="589"/>
      <c r="EN357" s="589"/>
      <c r="EO357" s="589"/>
      <c r="EP357" s="589"/>
      <c r="EQ357" s="589"/>
      <c r="ER357" s="589"/>
      <c r="ES357" s="589"/>
      <c r="ET357" s="589"/>
      <c r="EU357" s="589"/>
      <c r="EV357" s="589"/>
      <c r="EW357" s="589"/>
      <c r="EX357" s="589"/>
      <c r="EY357" s="589"/>
      <c r="EZ357" s="589"/>
      <c r="FA357" s="589"/>
      <c r="FB357" s="589"/>
      <c r="FC357" s="589"/>
      <c r="FD357" s="589"/>
      <c r="FE357" s="589"/>
      <c r="FF357" s="589"/>
      <c r="FG357" s="589"/>
      <c r="FH357" s="589"/>
      <c r="FI357" s="589"/>
      <c r="FJ357" s="589"/>
      <c r="FK357" s="589"/>
      <c r="FL357" s="589"/>
      <c r="FM357" s="589"/>
      <c r="FN357" s="589"/>
      <c r="FO357" s="589"/>
      <c r="FP357" s="589"/>
      <c r="FQ357" s="589"/>
      <c r="FR357" s="589"/>
      <c r="FS357" s="589"/>
      <c r="FT357" s="589"/>
      <c r="FU357" s="589"/>
      <c r="FV357" s="589"/>
      <c r="FW357" s="589"/>
      <c r="FX357" s="589"/>
      <c r="FY357" s="589"/>
      <c r="FZ357" s="589"/>
      <c r="GA357" s="589"/>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35.25">
      <c r="A358" s="618"/>
      <c r="B358" s="784" t="str">
        <f>+B293</f>
        <v xml:space="preserve">Budget 2022  </v>
      </c>
      <c r="C358" s="785" t="s">
        <v>191</v>
      </c>
      <c r="D358" s="785"/>
      <c r="E358" s="785"/>
      <c r="F358" s="785"/>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785"/>
      <c r="AJ358" s="785"/>
      <c r="AK358" s="785"/>
      <c r="AL358" s="785"/>
      <c r="AM358" s="785"/>
      <c r="AN358" s="785"/>
      <c r="AO358" s="785"/>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Bot="1">
      <c r="A359" s="618"/>
      <c r="B359" s="786"/>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Top="1">
      <c r="A360" s="618"/>
      <c r="B360" s="700" t="s">
        <v>1932</v>
      </c>
      <c r="C360" s="1271">
        <v>2022</v>
      </c>
      <c r="D360" s="1272"/>
      <c r="E360" s="1273"/>
      <c r="F360" s="1024" t="s">
        <v>1933</v>
      </c>
      <c r="G360" s="1025"/>
      <c r="H360" s="1026"/>
      <c r="I360" s="1024" t="s">
        <v>1934</v>
      </c>
      <c r="J360" s="1025"/>
      <c r="K360" s="1026"/>
      <c r="L360" s="1024" t="s">
        <v>1935</v>
      </c>
      <c r="M360" s="1025"/>
      <c r="N360" s="1026"/>
      <c r="O360" s="1024" t="s">
        <v>1936</v>
      </c>
      <c r="P360" s="1025"/>
      <c r="Q360" s="1026"/>
      <c r="R360" s="1024" t="s">
        <v>1937</v>
      </c>
      <c r="S360" s="1025"/>
      <c r="T360" s="1026"/>
      <c r="U360" s="1024" t="s">
        <v>1916</v>
      </c>
      <c r="V360" s="1025"/>
      <c r="W360" s="1026"/>
      <c r="X360" s="1024" t="s">
        <v>1938</v>
      </c>
      <c r="Y360" s="1025"/>
      <c r="Z360" s="1026"/>
      <c r="AA360" s="1024" t="s">
        <v>1939</v>
      </c>
      <c r="AB360" s="1025"/>
      <c r="AC360" s="1026"/>
      <c r="AD360" s="1024" t="s">
        <v>3</v>
      </c>
      <c r="AE360" s="1025"/>
      <c r="AF360" s="1026"/>
      <c r="AG360" s="1024" t="s">
        <v>1940</v>
      </c>
      <c r="AH360" s="1025"/>
      <c r="AI360" s="1026"/>
      <c r="AJ360" s="1024" t="s">
        <v>1941</v>
      </c>
      <c r="AK360" s="1025"/>
      <c r="AL360" s="1026"/>
      <c r="AM360" s="1024" t="s">
        <v>1942</v>
      </c>
      <c r="AN360" s="1025"/>
      <c r="AO360" s="1026"/>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Bot="1">
      <c r="A361" s="618"/>
      <c r="B361" s="710"/>
      <c r="C361" s="787" t="s">
        <v>157</v>
      </c>
      <c r="D361" s="745" t="s">
        <v>176</v>
      </c>
      <c r="E361" s="788" t="s">
        <v>85</v>
      </c>
      <c r="F361" s="787" t="s">
        <v>157</v>
      </c>
      <c r="G361" s="745" t="s">
        <v>176</v>
      </c>
      <c r="H361" s="788" t="s">
        <v>85</v>
      </c>
      <c r="I361" s="787" t="s">
        <v>157</v>
      </c>
      <c r="J361" s="745" t="s">
        <v>176</v>
      </c>
      <c r="K361" s="788" t="s">
        <v>85</v>
      </c>
      <c r="L361" s="787" t="s">
        <v>157</v>
      </c>
      <c r="M361" s="745" t="s">
        <v>176</v>
      </c>
      <c r="N361" s="788" t="s">
        <v>85</v>
      </c>
      <c r="O361" s="787" t="s">
        <v>157</v>
      </c>
      <c r="P361" s="745" t="s">
        <v>176</v>
      </c>
      <c r="Q361" s="788" t="s">
        <v>85</v>
      </c>
      <c r="R361" s="787" t="s">
        <v>157</v>
      </c>
      <c r="S361" s="745" t="s">
        <v>176</v>
      </c>
      <c r="T361" s="788" t="s">
        <v>85</v>
      </c>
      <c r="U361" s="787" t="s">
        <v>157</v>
      </c>
      <c r="V361" s="745" t="s">
        <v>176</v>
      </c>
      <c r="W361" s="788" t="s">
        <v>85</v>
      </c>
      <c r="X361" s="787" t="s">
        <v>157</v>
      </c>
      <c r="Y361" s="745" t="s">
        <v>176</v>
      </c>
      <c r="Z361" s="788" t="s">
        <v>85</v>
      </c>
      <c r="AA361" s="787" t="s">
        <v>157</v>
      </c>
      <c r="AB361" s="745" t="s">
        <v>176</v>
      </c>
      <c r="AC361" s="788" t="s">
        <v>85</v>
      </c>
      <c r="AD361" s="787" t="s">
        <v>157</v>
      </c>
      <c r="AE361" s="745" t="s">
        <v>176</v>
      </c>
      <c r="AF361" s="788" t="s">
        <v>85</v>
      </c>
      <c r="AG361" s="787" t="s">
        <v>157</v>
      </c>
      <c r="AH361" s="745" t="s">
        <v>176</v>
      </c>
      <c r="AI361" s="788" t="s">
        <v>85</v>
      </c>
      <c r="AJ361" s="787" t="s">
        <v>157</v>
      </c>
      <c r="AK361" s="745" t="s">
        <v>176</v>
      </c>
      <c r="AL361" s="788" t="s">
        <v>85</v>
      </c>
      <c r="AM361" s="787" t="s">
        <v>157</v>
      </c>
      <c r="AN361" s="745" t="s">
        <v>176</v>
      </c>
      <c r="AO361" s="788" t="s">
        <v>85</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1" thickTop="1">
      <c r="A362" s="618" t="str">
        <f>+$C$358&amp;B362</f>
        <v>BoutiqueBoutique</v>
      </c>
      <c r="B362" s="734" t="s">
        <v>191</v>
      </c>
      <c r="C362" s="735">
        <f>+SUM(F362,I362,L362,O362,R362,U362,X362,AA362,AD362,AG362,AJ362,AM362)</f>
        <v>0</v>
      </c>
      <c r="D362" s="850">
        <f t="shared" ref="D362" si="1094">IF(C362&lt;=0,0,E362/C362)</f>
        <v>0</v>
      </c>
      <c r="E362" s="737">
        <f>+SUM(H362,K362,N362,Q362,T362,W362,Z362,AC362,AF362,AI362,AL362,AO362)</f>
        <v>0</v>
      </c>
      <c r="F362" s="735">
        <v>0</v>
      </c>
      <c r="G362" s="850">
        <f t="shared" ref="G362" si="1095">IF(F362&lt;=0,0,H362/F362)</f>
        <v>0</v>
      </c>
      <c r="H362" s="737">
        <v>0</v>
      </c>
      <c r="I362" s="735">
        <v>0</v>
      </c>
      <c r="J362" s="850">
        <f t="shared" ref="J362" si="1096">IF(I362&lt;=0,0,K362/I362)</f>
        <v>0</v>
      </c>
      <c r="K362" s="737">
        <v>0</v>
      </c>
      <c r="L362" s="735">
        <v>0</v>
      </c>
      <c r="M362" s="850">
        <f t="shared" ref="M362" si="1097">IF(L362&lt;=0,0,N362/L362)</f>
        <v>0</v>
      </c>
      <c r="N362" s="737">
        <v>0</v>
      </c>
      <c r="O362" s="735">
        <v>0</v>
      </c>
      <c r="P362" s="850">
        <f t="shared" ref="P362" si="1098">IF(O362&lt;=0,0,Q362/O362)</f>
        <v>0</v>
      </c>
      <c r="Q362" s="737">
        <v>0</v>
      </c>
      <c r="R362" s="735">
        <v>0</v>
      </c>
      <c r="S362" s="850">
        <f t="shared" ref="S362" si="1099">IF(R362&lt;=0,0,T362/R362)</f>
        <v>0</v>
      </c>
      <c r="T362" s="737">
        <v>0</v>
      </c>
      <c r="U362" s="735">
        <v>0</v>
      </c>
      <c r="V362" s="850">
        <f t="shared" ref="V362" si="1100">IF(U362&lt;=0,0,W362/U362)</f>
        <v>0</v>
      </c>
      <c r="W362" s="737">
        <v>0</v>
      </c>
      <c r="X362" s="735">
        <v>0</v>
      </c>
      <c r="Y362" s="850">
        <f t="shared" ref="Y362" si="1101">IF(X362&lt;=0,0,Z362/X362)</f>
        <v>0</v>
      </c>
      <c r="Z362" s="737">
        <v>0</v>
      </c>
      <c r="AA362" s="735">
        <v>0</v>
      </c>
      <c r="AB362" s="850">
        <f t="shared" ref="AB362" si="1102">IF(AA362&lt;=0,0,AC362/AA362)</f>
        <v>0</v>
      </c>
      <c r="AC362" s="737">
        <v>0</v>
      </c>
      <c r="AD362" s="735">
        <v>0</v>
      </c>
      <c r="AE362" s="850">
        <f t="shared" ref="AE362" si="1103">IF(AD362&lt;=0,0,AF362/AD362)</f>
        <v>0</v>
      </c>
      <c r="AF362" s="737">
        <v>0</v>
      </c>
      <c r="AG362" s="735">
        <v>0</v>
      </c>
      <c r="AH362" s="850">
        <f t="shared" ref="AH362" si="1104">IF(AG362&lt;=0,0,AI362/AG362)</f>
        <v>0</v>
      </c>
      <c r="AI362" s="737">
        <v>0</v>
      </c>
      <c r="AJ362" s="735">
        <v>0</v>
      </c>
      <c r="AK362" s="850">
        <f t="shared" ref="AK362" si="1105">IF(AJ362&lt;=0,0,AL362/AJ362)</f>
        <v>0</v>
      </c>
      <c r="AL362" s="737">
        <v>0</v>
      </c>
      <c r="AM362" s="735">
        <v>0</v>
      </c>
      <c r="AN362" s="850">
        <f t="shared" ref="AN362" si="1106">IF(AM362&lt;=0,0,AO362/AM362)</f>
        <v>0</v>
      </c>
      <c r="AO362" s="737">
        <v>0</v>
      </c>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1" thickBot="1">
      <c r="A363" s="618" t="str">
        <f t="shared" ref="A363:A401" si="1107">+$C$358&amp;B363</f>
        <v>Boutique</v>
      </c>
      <c r="B363" s="851"/>
      <c r="C363" s="852"/>
      <c r="D363" s="853"/>
      <c r="E363" s="854"/>
      <c r="F363" s="852"/>
      <c r="G363" s="853"/>
      <c r="H363" s="854"/>
      <c r="I363" s="852"/>
      <c r="J363" s="853"/>
      <c r="K363" s="854"/>
      <c r="L363" s="852"/>
      <c r="M363" s="853"/>
      <c r="N363" s="854"/>
      <c r="O363" s="852"/>
      <c r="P363" s="853"/>
      <c r="Q363" s="854"/>
      <c r="R363" s="852"/>
      <c r="S363" s="853"/>
      <c r="T363" s="854"/>
      <c r="U363" s="852"/>
      <c r="V363" s="853"/>
      <c r="W363" s="854"/>
      <c r="X363" s="852"/>
      <c r="Y363" s="853"/>
      <c r="Z363" s="854"/>
      <c r="AA363" s="852"/>
      <c r="AB363" s="853"/>
      <c r="AC363" s="854"/>
      <c r="AD363" s="852"/>
      <c r="AE363" s="853"/>
      <c r="AF363" s="854"/>
      <c r="AG363" s="852"/>
      <c r="AH363" s="853"/>
      <c r="AI363" s="854"/>
      <c r="AJ363" s="852"/>
      <c r="AK363" s="853"/>
      <c r="AL363" s="854"/>
      <c r="AM363" s="852"/>
      <c r="AN363" s="853"/>
      <c r="AO363" s="854"/>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1" thickTop="1">
      <c r="A364" s="618" t="str">
        <f t="shared" si="1107"/>
        <v>BoutiqueTotal Dépt. Boutique</v>
      </c>
      <c r="B364" s="741" t="s">
        <v>192</v>
      </c>
      <c r="C364" s="855">
        <f>+C362</f>
        <v>0</v>
      </c>
      <c r="D364" s="856">
        <f>IF(C364&lt;=0,0,E364/C364)</f>
        <v>0</v>
      </c>
      <c r="E364" s="776">
        <f>+E362</f>
        <v>0</v>
      </c>
      <c r="F364" s="855">
        <f>+F362</f>
        <v>0</v>
      </c>
      <c r="G364" s="856">
        <f>IF(F364&lt;=0,0,H364/F364)</f>
        <v>0</v>
      </c>
      <c r="H364" s="776">
        <f>+H362</f>
        <v>0</v>
      </c>
      <c r="I364" s="855">
        <f t="shared" ref="I364" si="1108">+I362</f>
        <v>0</v>
      </c>
      <c r="J364" s="856">
        <f t="shared" ref="J364" si="1109">IF(I364&lt;=0,0,K364/I364)</f>
        <v>0</v>
      </c>
      <c r="K364" s="776">
        <f t="shared" ref="K364:L364" si="1110">+K362</f>
        <v>0</v>
      </c>
      <c r="L364" s="855">
        <f t="shared" si="1110"/>
        <v>0</v>
      </c>
      <c r="M364" s="856">
        <f t="shared" ref="M364" si="1111">IF(L364&lt;=0,0,N364/L364)</f>
        <v>0</v>
      </c>
      <c r="N364" s="776">
        <f t="shared" ref="N364:O364" si="1112">+N362</f>
        <v>0</v>
      </c>
      <c r="O364" s="855">
        <f t="shared" si="1112"/>
        <v>0</v>
      </c>
      <c r="P364" s="856">
        <f t="shared" ref="P364" si="1113">IF(O364&lt;=0,0,Q364/O364)</f>
        <v>0</v>
      </c>
      <c r="Q364" s="776">
        <f t="shared" ref="Q364:R364" si="1114">+Q362</f>
        <v>0</v>
      </c>
      <c r="R364" s="855">
        <f t="shared" si="1114"/>
        <v>0</v>
      </c>
      <c r="S364" s="856">
        <f t="shared" ref="S364" si="1115">IF(R364&lt;=0,0,T364/R364)</f>
        <v>0</v>
      </c>
      <c r="T364" s="776">
        <f t="shared" ref="T364:U364" si="1116">+T362</f>
        <v>0</v>
      </c>
      <c r="U364" s="855">
        <f t="shared" si="1116"/>
        <v>0</v>
      </c>
      <c r="V364" s="856">
        <f t="shared" ref="V364" si="1117">IF(U364&lt;=0,0,W364/U364)</f>
        <v>0</v>
      </c>
      <c r="W364" s="776">
        <f t="shared" ref="W364:X364" si="1118">+W362</f>
        <v>0</v>
      </c>
      <c r="X364" s="855">
        <f t="shared" si="1118"/>
        <v>0</v>
      </c>
      <c r="Y364" s="856">
        <f t="shared" ref="Y364" si="1119">IF(X364&lt;=0,0,Z364/X364)</f>
        <v>0</v>
      </c>
      <c r="Z364" s="776">
        <f t="shared" ref="Z364:AA364" si="1120">+Z362</f>
        <v>0</v>
      </c>
      <c r="AA364" s="855">
        <f t="shared" si="1120"/>
        <v>0</v>
      </c>
      <c r="AB364" s="856">
        <f t="shared" ref="AB364" si="1121">IF(AA364&lt;=0,0,AC364/AA364)</f>
        <v>0</v>
      </c>
      <c r="AC364" s="776">
        <f t="shared" ref="AC364:AD364" si="1122">+AC362</f>
        <v>0</v>
      </c>
      <c r="AD364" s="855">
        <f t="shared" si="1122"/>
        <v>0</v>
      </c>
      <c r="AE364" s="856">
        <f t="shared" ref="AE364" si="1123">IF(AD364&lt;=0,0,AF364/AD364)</f>
        <v>0</v>
      </c>
      <c r="AF364" s="776">
        <f t="shared" ref="AF364:AG364" si="1124">+AF362</f>
        <v>0</v>
      </c>
      <c r="AG364" s="855">
        <f t="shared" si="1124"/>
        <v>0</v>
      </c>
      <c r="AH364" s="856">
        <f t="shared" ref="AH364" si="1125">IF(AG364&lt;=0,0,AI364/AG364)</f>
        <v>0</v>
      </c>
      <c r="AI364" s="776">
        <f t="shared" ref="AI364:AJ364" si="1126">+AI362</f>
        <v>0</v>
      </c>
      <c r="AJ364" s="855">
        <f t="shared" si="1126"/>
        <v>0</v>
      </c>
      <c r="AK364" s="856">
        <f t="shared" ref="AK364" si="1127">IF(AJ364&lt;=0,0,AL364/AJ364)</f>
        <v>0</v>
      </c>
      <c r="AL364" s="776">
        <f t="shared" ref="AL364:AM364" si="1128">+AL362</f>
        <v>0</v>
      </c>
      <c r="AM364" s="855">
        <f t="shared" si="1128"/>
        <v>0</v>
      </c>
      <c r="AN364" s="856">
        <f t="shared" ref="AN364" si="1129">IF(AM364&lt;=0,0,AO364/AM364)</f>
        <v>0</v>
      </c>
      <c r="AO364" s="776">
        <f t="shared" ref="AO364" si="1130">+AO362</f>
        <v>0</v>
      </c>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107"/>
        <v>Boutique</v>
      </c>
      <c r="B365" s="744"/>
      <c r="C365" s="710"/>
      <c r="D365" s="732"/>
      <c r="E365" s="720"/>
      <c r="F365" s="710"/>
      <c r="G365" s="732"/>
      <c r="H365" s="720"/>
      <c r="I365" s="710"/>
      <c r="J365" s="732"/>
      <c r="K365" s="720"/>
      <c r="L365" s="710"/>
      <c r="M365" s="732"/>
      <c r="N365" s="720"/>
      <c r="O365" s="710"/>
      <c r="P365" s="732"/>
      <c r="Q365" s="720"/>
      <c r="R365" s="710"/>
      <c r="S365" s="732"/>
      <c r="T365" s="720"/>
      <c r="U365" s="710"/>
      <c r="V365" s="732"/>
      <c r="W365" s="720"/>
      <c r="X365" s="710"/>
      <c r="Y365" s="732"/>
      <c r="Z365" s="720"/>
      <c r="AA365" s="710"/>
      <c r="AB365" s="732"/>
      <c r="AC365" s="720"/>
      <c r="AD365" s="710"/>
      <c r="AE365" s="732"/>
      <c r="AF365" s="720"/>
      <c r="AG365" s="710"/>
      <c r="AH365" s="732"/>
      <c r="AI365" s="720"/>
      <c r="AJ365" s="710"/>
      <c r="AK365" s="732"/>
      <c r="AL365" s="720"/>
      <c r="AM365" s="710"/>
      <c r="AN365" s="732"/>
      <c r="AO365" s="720"/>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107"/>
        <v>BoutiqueDEPENSES</v>
      </c>
      <c r="B366" s="744" t="s">
        <v>102</v>
      </c>
      <c r="C366" s="710"/>
      <c r="D366" s="732"/>
      <c r="E366" s="720"/>
      <c r="F366" s="710"/>
      <c r="G366" s="732"/>
      <c r="H366" s="720"/>
      <c r="I366" s="710"/>
      <c r="J366" s="732"/>
      <c r="K366" s="720"/>
      <c r="L366" s="710"/>
      <c r="M366" s="732"/>
      <c r="N366" s="720"/>
      <c r="O366" s="710"/>
      <c r="P366" s="732"/>
      <c r="Q366" s="720"/>
      <c r="R366" s="710"/>
      <c r="S366" s="732"/>
      <c r="T366" s="720"/>
      <c r="U366" s="710"/>
      <c r="V366" s="732"/>
      <c r="W366" s="720"/>
      <c r="X366" s="710"/>
      <c r="Y366" s="732"/>
      <c r="Z366" s="720"/>
      <c r="AA366" s="710"/>
      <c r="AB366" s="732"/>
      <c r="AC366" s="720"/>
      <c r="AD366" s="710"/>
      <c r="AE366" s="732"/>
      <c r="AF366" s="720"/>
      <c r="AG366" s="710"/>
      <c r="AH366" s="732"/>
      <c r="AI366" s="720"/>
      <c r="AJ366" s="710"/>
      <c r="AK366" s="732"/>
      <c r="AL366" s="720"/>
      <c r="AM366" s="710"/>
      <c r="AN366" s="732"/>
      <c r="AO366" s="720"/>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107"/>
        <v>BoutiqueSalaires cadres</v>
      </c>
      <c r="B367" s="757" t="s">
        <v>112</v>
      </c>
      <c r="C367" s="710"/>
      <c r="D367" s="732"/>
      <c r="E367" s="733">
        <f t="shared" ref="E367:E378" si="1131">+SUM(H367,K367,N367,Q367,T367,W367,Z367,AC367,AF367,AI367,AL367,AO367)</f>
        <v>0</v>
      </c>
      <c r="F367" s="710"/>
      <c r="G367" s="732"/>
      <c r="H367" s="748">
        <v>0</v>
      </c>
      <c r="I367" s="710"/>
      <c r="J367" s="732"/>
      <c r="K367" s="748">
        <v>0</v>
      </c>
      <c r="L367" s="710"/>
      <c r="M367" s="732"/>
      <c r="N367" s="748">
        <v>0</v>
      </c>
      <c r="O367" s="710"/>
      <c r="P367" s="732"/>
      <c r="Q367" s="748">
        <v>0</v>
      </c>
      <c r="R367" s="710"/>
      <c r="S367" s="732"/>
      <c r="T367" s="748">
        <v>0</v>
      </c>
      <c r="U367" s="710"/>
      <c r="V367" s="732"/>
      <c r="W367" s="748">
        <v>0</v>
      </c>
      <c r="X367" s="710"/>
      <c r="Y367" s="732"/>
      <c r="Z367" s="748">
        <v>0</v>
      </c>
      <c r="AA367" s="710"/>
      <c r="AB367" s="732"/>
      <c r="AC367" s="748">
        <v>0</v>
      </c>
      <c r="AD367" s="710"/>
      <c r="AE367" s="732"/>
      <c r="AF367" s="748">
        <v>0</v>
      </c>
      <c r="AG367" s="710"/>
      <c r="AH367" s="732"/>
      <c r="AI367" s="748">
        <v>0</v>
      </c>
      <c r="AJ367" s="710"/>
      <c r="AK367" s="732"/>
      <c r="AL367" s="748">
        <v>0</v>
      </c>
      <c r="AM367" s="710"/>
      <c r="AN367" s="732"/>
      <c r="AO367" s="748">
        <v>0</v>
      </c>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107"/>
        <v>BoutiqueSalaires commis</v>
      </c>
      <c r="B368" s="758" t="s">
        <v>113</v>
      </c>
      <c r="C368" s="710"/>
      <c r="D368" s="732"/>
      <c r="E368" s="733">
        <f t="shared" si="1131"/>
        <v>0</v>
      </c>
      <c r="F368" s="710"/>
      <c r="G368" s="732"/>
      <c r="H368" s="748">
        <v>0</v>
      </c>
      <c r="I368" s="710"/>
      <c r="J368" s="732"/>
      <c r="K368" s="748">
        <v>0</v>
      </c>
      <c r="L368" s="710"/>
      <c r="M368" s="732"/>
      <c r="N368" s="748">
        <v>0</v>
      </c>
      <c r="O368" s="710"/>
      <c r="P368" s="732"/>
      <c r="Q368" s="748">
        <v>0</v>
      </c>
      <c r="R368" s="710"/>
      <c r="S368" s="732"/>
      <c r="T368" s="748">
        <v>0</v>
      </c>
      <c r="U368" s="710"/>
      <c r="V368" s="732"/>
      <c r="W368" s="748">
        <v>0</v>
      </c>
      <c r="X368" s="710"/>
      <c r="Y368" s="732"/>
      <c r="Z368" s="748">
        <v>0</v>
      </c>
      <c r="AA368" s="710"/>
      <c r="AB368" s="732"/>
      <c r="AC368" s="748">
        <v>0</v>
      </c>
      <c r="AD368" s="710"/>
      <c r="AE368" s="732"/>
      <c r="AF368" s="748">
        <v>0</v>
      </c>
      <c r="AG368" s="710"/>
      <c r="AH368" s="732"/>
      <c r="AI368" s="748">
        <v>0</v>
      </c>
      <c r="AJ368" s="710"/>
      <c r="AK368" s="732"/>
      <c r="AL368" s="748">
        <v>0</v>
      </c>
      <c r="AM368" s="710"/>
      <c r="AN368" s="732"/>
      <c r="AO368" s="748">
        <v>0</v>
      </c>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107"/>
        <v>BoutiqueSalaires autres</v>
      </c>
      <c r="B369" s="757" t="s">
        <v>114</v>
      </c>
      <c r="C369" s="701"/>
      <c r="D369" s="759"/>
      <c r="E369" s="760">
        <f t="shared" si="1131"/>
        <v>0</v>
      </c>
      <c r="F369" s="701"/>
      <c r="G369" s="759"/>
      <c r="H369" s="761">
        <v>0</v>
      </c>
      <c r="I369" s="701"/>
      <c r="J369" s="759"/>
      <c r="K369" s="761">
        <v>0</v>
      </c>
      <c r="L369" s="701"/>
      <c r="M369" s="759"/>
      <c r="N369" s="761">
        <v>0</v>
      </c>
      <c r="O369" s="701"/>
      <c r="P369" s="759"/>
      <c r="Q369" s="761">
        <v>0</v>
      </c>
      <c r="R369" s="701"/>
      <c r="S369" s="759"/>
      <c r="T369" s="761">
        <v>0</v>
      </c>
      <c r="U369" s="701"/>
      <c r="V369" s="759"/>
      <c r="W369" s="761">
        <v>0</v>
      </c>
      <c r="X369" s="701"/>
      <c r="Y369" s="759"/>
      <c r="Z369" s="761">
        <v>0</v>
      </c>
      <c r="AA369" s="701"/>
      <c r="AB369" s="759"/>
      <c r="AC369" s="761">
        <v>0</v>
      </c>
      <c r="AD369" s="701"/>
      <c r="AE369" s="759"/>
      <c r="AF369" s="761">
        <v>0</v>
      </c>
      <c r="AG369" s="701"/>
      <c r="AH369" s="759"/>
      <c r="AI369" s="761">
        <v>0</v>
      </c>
      <c r="AJ369" s="701"/>
      <c r="AK369" s="759"/>
      <c r="AL369" s="761">
        <v>0</v>
      </c>
      <c r="AM369" s="701"/>
      <c r="AN369" s="759"/>
      <c r="AO369" s="761">
        <v>0</v>
      </c>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107"/>
        <v>BoutiqueSalaires spécialistes</v>
      </c>
      <c r="B370" s="757" t="s">
        <v>115</v>
      </c>
      <c r="C370" s="710"/>
      <c r="D370" s="732"/>
      <c r="E370" s="733">
        <f t="shared" si="1131"/>
        <v>0</v>
      </c>
      <c r="F370" s="710"/>
      <c r="G370" s="732"/>
      <c r="H370" s="748">
        <v>0</v>
      </c>
      <c r="I370" s="710"/>
      <c r="J370" s="732"/>
      <c r="K370" s="748">
        <v>0</v>
      </c>
      <c r="L370" s="710"/>
      <c r="M370" s="732"/>
      <c r="N370" s="748">
        <v>0</v>
      </c>
      <c r="O370" s="710"/>
      <c r="P370" s="732"/>
      <c r="Q370" s="748">
        <v>0</v>
      </c>
      <c r="R370" s="710"/>
      <c r="S370" s="732"/>
      <c r="T370" s="748">
        <v>0</v>
      </c>
      <c r="U370" s="710"/>
      <c r="V370" s="732"/>
      <c r="W370" s="748">
        <v>0</v>
      </c>
      <c r="X370" s="710"/>
      <c r="Y370" s="732"/>
      <c r="Z370" s="748">
        <v>0</v>
      </c>
      <c r="AA370" s="710"/>
      <c r="AB370" s="732"/>
      <c r="AC370" s="748">
        <v>0</v>
      </c>
      <c r="AD370" s="710"/>
      <c r="AE370" s="732"/>
      <c r="AF370" s="748">
        <v>0</v>
      </c>
      <c r="AG370" s="710"/>
      <c r="AH370" s="732"/>
      <c r="AI370" s="748">
        <v>0</v>
      </c>
      <c r="AJ370" s="710"/>
      <c r="AK370" s="732"/>
      <c r="AL370" s="748">
        <v>0</v>
      </c>
      <c r="AM370" s="710"/>
      <c r="AN370" s="732"/>
      <c r="AO370" s="748">
        <v>0</v>
      </c>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107"/>
        <v>Boutique[...]</v>
      </c>
      <c r="B371" s="710" t="s">
        <v>42</v>
      </c>
      <c r="C371" s="710"/>
      <c r="D371" s="732"/>
      <c r="E371" s="733">
        <f t="shared" si="1131"/>
        <v>0</v>
      </c>
      <c r="F371" s="710"/>
      <c r="G371" s="732"/>
      <c r="H371" s="748">
        <v>0</v>
      </c>
      <c r="I371" s="710"/>
      <c r="J371" s="732"/>
      <c r="K371" s="748">
        <v>0</v>
      </c>
      <c r="L371" s="710"/>
      <c r="M371" s="732"/>
      <c r="N371" s="748">
        <v>0</v>
      </c>
      <c r="O371" s="710"/>
      <c r="P371" s="732"/>
      <c r="Q371" s="748">
        <v>0</v>
      </c>
      <c r="R371" s="710"/>
      <c r="S371" s="732"/>
      <c r="T371" s="748">
        <v>0</v>
      </c>
      <c r="U371" s="710"/>
      <c r="V371" s="732"/>
      <c r="W371" s="748">
        <v>0</v>
      </c>
      <c r="X371" s="710"/>
      <c r="Y371" s="732"/>
      <c r="Z371" s="748">
        <v>0</v>
      </c>
      <c r="AA371" s="710"/>
      <c r="AB371" s="732"/>
      <c r="AC371" s="748">
        <v>0</v>
      </c>
      <c r="AD371" s="710"/>
      <c r="AE371" s="732"/>
      <c r="AF371" s="748">
        <v>0</v>
      </c>
      <c r="AG371" s="710"/>
      <c r="AH371" s="732"/>
      <c r="AI371" s="748">
        <v>0</v>
      </c>
      <c r="AJ371" s="710"/>
      <c r="AK371" s="732"/>
      <c r="AL371" s="748">
        <v>0</v>
      </c>
      <c r="AM371" s="710"/>
      <c r="AN371" s="732"/>
      <c r="AO371" s="748">
        <v>0</v>
      </c>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107"/>
        <v>Boutique[...]</v>
      </c>
      <c r="B372" s="710" t="s">
        <v>42</v>
      </c>
      <c r="C372" s="710"/>
      <c r="D372" s="732"/>
      <c r="E372" s="733">
        <f t="shared" si="1131"/>
        <v>0</v>
      </c>
      <c r="F372" s="710"/>
      <c r="G372" s="732"/>
      <c r="H372" s="748">
        <v>0</v>
      </c>
      <c r="I372" s="710"/>
      <c r="J372" s="732"/>
      <c r="K372" s="748">
        <v>0</v>
      </c>
      <c r="L372" s="710"/>
      <c r="M372" s="732"/>
      <c r="N372" s="748">
        <v>0</v>
      </c>
      <c r="O372" s="710"/>
      <c r="P372" s="732"/>
      <c r="Q372" s="748">
        <v>0</v>
      </c>
      <c r="R372" s="710"/>
      <c r="S372" s="732"/>
      <c r="T372" s="748">
        <v>0</v>
      </c>
      <c r="U372" s="710"/>
      <c r="V372" s="732"/>
      <c r="W372" s="748">
        <v>0</v>
      </c>
      <c r="X372" s="710"/>
      <c r="Y372" s="732"/>
      <c r="Z372" s="748">
        <v>0</v>
      </c>
      <c r="AA372" s="710"/>
      <c r="AB372" s="732"/>
      <c r="AC372" s="748">
        <v>0</v>
      </c>
      <c r="AD372" s="710"/>
      <c r="AE372" s="732"/>
      <c r="AF372" s="748">
        <v>0</v>
      </c>
      <c r="AG372" s="710"/>
      <c r="AH372" s="732"/>
      <c r="AI372" s="748">
        <v>0</v>
      </c>
      <c r="AJ372" s="710"/>
      <c r="AK372" s="732"/>
      <c r="AL372" s="748">
        <v>0</v>
      </c>
      <c r="AM372" s="710"/>
      <c r="AN372" s="732"/>
      <c r="AO372" s="748">
        <v>0</v>
      </c>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107"/>
        <v>Boutique[...]</v>
      </c>
      <c r="B373" s="710" t="s">
        <v>42</v>
      </c>
      <c r="C373" s="710"/>
      <c r="D373" s="732"/>
      <c r="E373" s="733">
        <f t="shared" si="1131"/>
        <v>0</v>
      </c>
      <c r="F373" s="710"/>
      <c r="G373" s="732"/>
      <c r="H373" s="748">
        <v>0</v>
      </c>
      <c r="I373" s="710"/>
      <c r="J373" s="732"/>
      <c r="K373" s="748">
        <v>0</v>
      </c>
      <c r="L373" s="710"/>
      <c r="M373" s="732"/>
      <c r="N373" s="748">
        <v>0</v>
      </c>
      <c r="O373" s="710"/>
      <c r="P373" s="732"/>
      <c r="Q373" s="748">
        <v>0</v>
      </c>
      <c r="R373" s="710"/>
      <c r="S373" s="732"/>
      <c r="T373" s="748">
        <v>0</v>
      </c>
      <c r="U373" s="710"/>
      <c r="V373" s="732"/>
      <c r="W373" s="748">
        <v>0</v>
      </c>
      <c r="X373" s="710"/>
      <c r="Y373" s="732"/>
      <c r="Z373" s="748">
        <v>0</v>
      </c>
      <c r="AA373" s="710"/>
      <c r="AB373" s="732"/>
      <c r="AC373" s="748">
        <v>0</v>
      </c>
      <c r="AD373" s="710"/>
      <c r="AE373" s="732"/>
      <c r="AF373" s="748">
        <v>0</v>
      </c>
      <c r="AG373" s="710"/>
      <c r="AH373" s="732"/>
      <c r="AI373" s="748">
        <v>0</v>
      </c>
      <c r="AJ373" s="710"/>
      <c r="AK373" s="732"/>
      <c r="AL373" s="748">
        <v>0</v>
      </c>
      <c r="AM373" s="710"/>
      <c r="AN373" s="732"/>
      <c r="AO373" s="748">
        <v>0</v>
      </c>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107"/>
        <v>BoutiqueSalaires en absences</v>
      </c>
      <c r="B374" s="758" t="s">
        <v>116</v>
      </c>
      <c r="C374" s="710"/>
      <c r="D374" s="732"/>
      <c r="E374" s="733">
        <f t="shared" si="1131"/>
        <v>0</v>
      </c>
      <c r="F374" s="710"/>
      <c r="G374" s="732"/>
      <c r="H374" s="748">
        <v>0</v>
      </c>
      <c r="I374" s="710"/>
      <c r="J374" s="732"/>
      <c r="K374" s="748">
        <v>0</v>
      </c>
      <c r="L374" s="710"/>
      <c r="M374" s="732"/>
      <c r="N374" s="748">
        <v>0</v>
      </c>
      <c r="O374" s="710"/>
      <c r="P374" s="732"/>
      <c r="Q374" s="748">
        <v>0</v>
      </c>
      <c r="R374" s="710"/>
      <c r="S374" s="732"/>
      <c r="T374" s="748">
        <v>0</v>
      </c>
      <c r="U374" s="710"/>
      <c r="V374" s="732"/>
      <c r="W374" s="748">
        <v>0</v>
      </c>
      <c r="X374" s="710"/>
      <c r="Y374" s="732"/>
      <c r="Z374" s="748">
        <v>0</v>
      </c>
      <c r="AA374" s="710"/>
      <c r="AB374" s="732"/>
      <c r="AC374" s="748">
        <v>0</v>
      </c>
      <c r="AD374" s="710"/>
      <c r="AE374" s="732"/>
      <c r="AF374" s="748">
        <v>0</v>
      </c>
      <c r="AG374" s="710"/>
      <c r="AH374" s="732"/>
      <c r="AI374" s="748">
        <v>0</v>
      </c>
      <c r="AJ374" s="710"/>
      <c r="AK374" s="732"/>
      <c r="AL374" s="748">
        <v>0</v>
      </c>
      <c r="AM374" s="710"/>
      <c r="AN374" s="732"/>
      <c r="AO374" s="748">
        <v>0</v>
      </c>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107"/>
        <v>BoutiqueDéduction à la source</v>
      </c>
      <c r="B375" s="757" t="s">
        <v>117</v>
      </c>
      <c r="C375" s="701"/>
      <c r="D375" s="759"/>
      <c r="E375" s="760">
        <f t="shared" si="1131"/>
        <v>0</v>
      </c>
      <c r="F375" s="701"/>
      <c r="G375" s="759"/>
      <c r="H375" s="761">
        <v>0</v>
      </c>
      <c r="I375" s="701"/>
      <c r="J375" s="759"/>
      <c r="K375" s="761">
        <v>0</v>
      </c>
      <c r="L375" s="701"/>
      <c r="M375" s="759"/>
      <c r="N375" s="761">
        <v>0</v>
      </c>
      <c r="O375" s="701"/>
      <c r="P375" s="759"/>
      <c r="Q375" s="761">
        <v>0</v>
      </c>
      <c r="R375" s="701"/>
      <c r="S375" s="759"/>
      <c r="T375" s="761">
        <v>0</v>
      </c>
      <c r="U375" s="701"/>
      <c r="V375" s="759"/>
      <c r="W375" s="761">
        <v>0</v>
      </c>
      <c r="X375" s="701"/>
      <c r="Y375" s="759"/>
      <c r="Z375" s="761">
        <v>0</v>
      </c>
      <c r="AA375" s="701"/>
      <c r="AB375" s="759"/>
      <c r="AC375" s="761">
        <v>0</v>
      </c>
      <c r="AD375" s="701"/>
      <c r="AE375" s="759"/>
      <c r="AF375" s="761">
        <v>0</v>
      </c>
      <c r="AG375" s="701"/>
      <c r="AH375" s="759"/>
      <c r="AI375" s="761">
        <v>0</v>
      </c>
      <c r="AJ375" s="701"/>
      <c r="AK375" s="759"/>
      <c r="AL375" s="761">
        <v>0</v>
      </c>
      <c r="AM375" s="701"/>
      <c r="AN375" s="759"/>
      <c r="AO375" s="761">
        <v>0</v>
      </c>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107"/>
        <v>BoutiqueBénéfices marginaux</v>
      </c>
      <c r="B376" s="762" t="s">
        <v>118</v>
      </c>
      <c r="C376" s="710"/>
      <c r="D376" s="732"/>
      <c r="E376" s="733">
        <f t="shared" si="1131"/>
        <v>0</v>
      </c>
      <c r="F376" s="710"/>
      <c r="G376" s="732"/>
      <c r="H376" s="748">
        <v>0</v>
      </c>
      <c r="I376" s="710"/>
      <c r="J376" s="732"/>
      <c r="K376" s="748">
        <v>0</v>
      </c>
      <c r="L376" s="710"/>
      <c r="M376" s="732"/>
      <c r="N376" s="748">
        <v>0</v>
      </c>
      <c r="O376" s="710"/>
      <c r="P376" s="732"/>
      <c r="Q376" s="748">
        <v>0</v>
      </c>
      <c r="R376" s="710"/>
      <c r="S376" s="732"/>
      <c r="T376" s="748">
        <v>0</v>
      </c>
      <c r="U376" s="710"/>
      <c r="V376" s="732"/>
      <c r="W376" s="748">
        <v>0</v>
      </c>
      <c r="X376" s="710"/>
      <c r="Y376" s="732"/>
      <c r="Z376" s="748">
        <v>0</v>
      </c>
      <c r="AA376" s="710"/>
      <c r="AB376" s="732"/>
      <c r="AC376" s="748">
        <v>0</v>
      </c>
      <c r="AD376" s="710"/>
      <c r="AE376" s="732"/>
      <c r="AF376" s="748">
        <v>0</v>
      </c>
      <c r="AG376" s="710"/>
      <c r="AH376" s="732"/>
      <c r="AI376" s="748">
        <v>0</v>
      </c>
      <c r="AJ376" s="710"/>
      <c r="AK376" s="732"/>
      <c r="AL376" s="748">
        <v>0</v>
      </c>
      <c r="AM376" s="710"/>
      <c r="AN376" s="732"/>
      <c r="AO376" s="748">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107"/>
        <v>BoutiqueCsst</v>
      </c>
      <c r="B377" s="757" t="s">
        <v>119</v>
      </c>
      <c r="C377" s="710"/>
      <c r="D377" s="732"/>
      <c r="E377" s="733">
        <f t="shared" si="1131"/>
        <v>0</v>
      </c>
      <c r="F377" s="710"/>
      <c r="G377" s="732"/>
      <c r="H377" s="748">
        <v>0</v>
      </c>
      <c r="I377" s="710"/>
      <c r="J377" s="732"/>
      <c r="K377" s="748">
        <v>0</v>
      </c>
      <c r="L377" s="710"/>
      <c r="M377" s="732"/>
      <c r="N377" s="748">
        <v>0</v>
      </c>
      <c r="O377" s="710"/>
      <c r="P377" s="732"/>
      <c r="Q377" s="748">
        <v>0</v>
      </c>
      <c r="R377" s="710"/>
      <c r="S377" s="732"/>
      <c r="T377" s="748">
        <v>0</v>
      </c>
      <c r="U377" s="710"/>
      <c r="V377" s="732"/>
      <c r="W377" s="748">
        <v>0</v>
      </c>
      <c r="X377" s="710"/>
      <c r="Y377" s="732"/>
      <c r="Z377" s="748">
        <v>0</v>
      </c>
      <c r="AA377" s="710"/>
      <c r="AB377" s="732"/>
      <c r="AC377" s="748">
        <v>0</v>
      </c>
      <c r="AD377" s="710"/>
      <c r="AE377" s="732"/>
      <c r="AF377" s="748">
        <v>0</v>
      </c>
      <c r="AG377" s="710"/>
      <c r="AH377" s="732"/>
      <c r="AI377" s="748">
        <v>0</v>
      </c>
      <c r="AJ377" s="710"/>
      <c r="AK377" s="732"/>
      <c r="AL377" s="748">
        <v>0</v>
      </c>
      <c r="AM377" s="710"/>
      <c r="AN377" s="732"/>
      <c r="AO377" s="748">
        <v>0</v>
      </c>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107"/>
        <v>Boutique[...]</v>
      </c>
      <c r="B378" s="710" t="s">
        <v>42</v>
      </c>
      <c r="C378" s="705"/>
      <c r="D378" s="763"/>
      <c r="E378" s="751">
        <f t="shared" si="1131"/>
        <v>0</v>
      </c>
      <c r="F378" s="705"/>
      <c r="G378" s="763"/>
      <c r="H378" s="751">
        <v>0</v>
      </c>
      <c r="I378" s="705"/>
      <c r="J378" s="763"/>
      <c r="K378" s="751">
        <v>0</v>
      </c>
      <c r="L378" s="705"/>
      <c r="M378" s="763"/>
      <c r="N378" s="751">
        <v>0</v>
      </c>
      <c r="O378" s="705"/>
      <c r="P378" s="763"/>
      <c r="Q378" s="751">
        <v>0</v>
      </c>
      <c r="R378" s="705"/>
      <c r="S378" s="763"/>
      <c r="T378" s="751">
        <v>0</v>
      </c>
      <c r="U378" s="705"/>
      <c r="V378" s="763"/>
      <c r="W378" s="751">
        <v>0</v>
      </c>
      <c r="X378" s="705"/>
      <c r="Y378" s="763"/>
      <c r="Z378" s="751">
        <v>0</v>
      </c>
      <c r="AA378" s="705"/>
      <c r="AB378" s="763"/>
      <c r="AC378" s="751">
        <v>0</v>
      </c>
      <c r="AD378" s="705"/>
      <c r="AE378" s="763"/>
      <c r="AF378" s="751">
        <v>0</v>
      </c>
      <c r="AG378" s="705"/>
      <c r="AH378" s="763"/>
      <c r="AI378" s="751">
        <v>0</v>
      </c>
      <c r="AJ378" s="705"/>
      <c r="AK378" s="763"/>
      <c r="AL378" s="751">
        <v>0</v>
      </c>
      <c r="AM378" s="705"/>
      <c r="AN378" s="763"/>
      <c r="AO378" s="751">
        <v>0</v>
      </c>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107"/>
        <v>BoutiqueTOTAL PERSONNEL</v>
      </c>
      <c r="B379" s="753" t="s">
        <v>120</v>
      </c>
      <c r="C379" s="754" t="s">
        <v>111</v>
      </c>
      <c r="D379" s="755">
        <f>IFERROR(E379/E$362,0)</f>
        <v>0</v>
      </c>
      <c r="E379" s="756">
        <f>+SUM(E367:E378)</f>
        <v>0</v>
      </c>
      <c r="F379" s="754" t="s">
        <v>111</v>
      </c>
      <c r="G379" s="755">
        <f>IFERROR(H379/H$362,0)</f>
        <v>0</v>
      </c>
      <c r="H379" s="756">
        <v>0</v>
      </c>
      <c r="I379" s="754" t="s">
        <v>111</v>
      </c>
      <c r="J379" s="755">
        <f t="shared" ref="J379" si="1132">IFERROR(K379/K$362,0)</f>
        <v>0</v>
      </c>
      <c r="K379" s="756">
        <v>0</v>
      </c>
      <c r="L379" s="754" t="s">
        <v>111</v>
      </c>
      <c r="M379" s="755">
        <f t="shared" ref="M379" si="1133">IFERROR(N379/N$362,0)</f>
        <v>0</v>
      </c>
      <c r="N379" s="756">
        <v>0</v>
      </c>
      <c r="O379" s="754" t="s">
        <v>111</v>
      </c>
      <c r="P379" s="755">
        <f t="shared" ref="P379" si="1134">IFERROR(Q379/Q$362,0)</f>
        <v>0</v>
      </c>
      <c r="Q379" s="756">
        <v>0</v>
      </c>
      <c r="R379" s="754" t="s">
        <v>111</v>
      </c>
      <c r="S379" s="755">
        <f t="shared" ref="S379" si="1135">IFERROR(T379/T$362,0)</f>
        <v>0</v>
      </c>
      <c r="T379" s="756">
        <v>0</v>
      </c>
      <c r="U379" s="754" t="s">
        <v>111</v>
      </c>
      <c r="V379" s="755">
        <f t="shared" ref="V379" si="1136">IFERROR(W379/W$362,0)</f>
        <v>0</v>
      </c>
      <c r="W379" s="756">
        <v>0</v>
      </c>
      <c r="X379" s="754" t="s">
        <v>111</v>
      </c>
      <c r="Y379" s="755">
        <f t="shared" ref="Y379" si="1137">IFERROR(Z379/Z$362,0)</f>
        <v>0</v>
      </c>
      <c r="Z379" s="756">
        <v>0</v>
      </c>
      <c r="AA379" s="754" t="s">
        <v>111</v>
      </c>
      <c r="AB379" s="755">
        <f t="shared" ref="AB379" si="1138">IFERROR(AC379/AC$362,0)</f>
        <v>0</v>
      </c>
      <c r="AC379" s="756">
        <v>0</v>
      </c>
      <c r="AD379" s="754" t="s">
        <v>111</v>
      </c>
      <c r="AE379" s="755">
        <f t="shared" ref="AE379" si="1139">IFERROR(AF379/AF$362,0)</f>
        <v>0</v>
      </c>
      <c r="AF379" s="756">
        <v>0</v>
      </c>
      <c r="AG379" s="754" t="s">
        <v>111</v>
      </c>
      <c r="AH379" s="755">
        <f t="shared" ref="AH379" si="1140">IFERROR(AI379/AI$362,0)</f>
        <v>0</v>
      </c>
      <c r="AI379" s="756">
        <v>0</v>
      </c>
      <c r="AJ379" s="754" t="s">
        <v>111</v>
      </c>
      <c r="AK379" s="755">
        <f t="shared" ref="AK379" si="1141">IFERROR(AL379/AL$362,0)</f>
        <v>0</v>
      </c>
      <c r="AL379" s="756">
        <v>0</v>
      </c>
      <c r="AM379" s="754" t="s">
        <v>111</v>
      </c>
      <c r="AN379" s="755">
        <f t="shared" ref="AN379" si="1142">IFERROR(AO379/AO$362,0)</f>
        <v>0</v>
      </c>
      <c r="AO379" s="756">
        <v>0</v>
      </c>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107"/>
        <v>BoutiquePublicité 2</v>
      </c>
      <c r="B380" s="840" t="s">
        <v>121</v>
      </c>
      <c r="C380" s="710"/>
      <c r="D380" s="732"/>
      <c r="E380" s="733">
        <f t="shared" ref="E380:E396" si="1143">+SUM(H380,K380,N380,Q380,T380,W380,Z380,AC380,AF380,AI380,AL380,AO380)</f>
        <v>0</v>
      </c>
      <c r="F380" s="710"/>
      <c r="G380" s="732"/>
      <c r="H380" s="748">
        <v>0</v>
      </c>
      <c r="I380" s="710"/>
      <c r="J380" s="732"/>
      <c r="K380" s="748">
        <v>0</v>
      </c>
      <c r="L380" s="710"/>
      <c r="M380" s="732"/>
      <c r="N380" s="748">
        <v>0</v>
      </c>
      <c r="O380" s="710"/>
      <c r="P380" s="732"/>
      <c r="Q380" s="748">
        <v>0</v>
      </c>
      <c r="R380" s="710"/>
      <c r="S380" s="732"/>
      <c r="T380" s="748">
        <v>0</v>
      </c>
      <c r="U380" s="710"/>
      <c r="V380" s="732"/>
      <c r="W380" s="748">
        <v>0</v>
      </c>
      <c r="X380" s="710"/>
      <c r="Y380" s="732"/>
      <c r="Z380" s="748">
        <v>0</v>
      </c>
      <c r="AA380" s="710"/>
      <c r="AB380" s="732"/>
      <c r="AC380" s="748">
        <v>0</v>
      </c>
      <c r="AD380" s="710"/>
      <c r="AE380" s="732"/>
      <c r="AF380" s="748">
        <v>0</v>
      </c>
      <c r="AG380" s="710"/>
      <c r="AH380" s="732"/>
      <c r="AI380" s="748">
        <v>0</v>
      </c>
      <c r="AJ380" s="710"/>
      <c r="AK380" s="732"/>
      <c r="AL380" s="748">
        <v>0</v>
      </c>
      <c r="AM380" s="710"/>
      <c r="AN380" s="732"/>
      <c r="AO380" s="748">
        <v>0</v>
      </c>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107"/>
        <v>BoutiqueService gratuit 2</v>
      </c>
      <c r="B381" s="757" t="s">
        <v>122</v>
      </c>
      <c r="C381" s="710"/>
      <c r="D381" s="732"/>
      <c r="E381" s="733">
        <f t="shared" si="1143"/>
        <v>0</v>
      </c>
      <c r="F381" s="710"/>
      <c r="G381" s="732"/>
      <c r="H381" s="748">
        <v>0</v>
      </c>
      <c r="I381" s="710"/>
      <c r="J381" s="732"/>
      <c r="K381" s="748">
        <v>0</v>
      </c>
      <c r="L381" s="710"/>
      <c r="M381" s="732"/>
      <c r="N381" s="748">
        <v>0</v>
      </c>
      <c r="O381" s="710"/>
      <c r="P381" s="732"/>
      <c r="Q381" s="748">
        <v>0</v>
      </c>
      <c r="R381" s="710"/>
      <c r="S381" s="732"/>
      <c r="T381" s="748">
        <v>0</v>
      </c>
      <c r="U381" s="710"/>
      <c r="V381" s="732"/>
      <c r="W381" s="748">
        <v>0</v>
      </c>
      <c r="X381" s="710"/>
      <c r="Y381" s="732"/>
      <c r="Z381" s="748">
        <v>0</v>
      </c>
      <c r="AA381" s="710"/>
      <c r="AB381" s="732"/>
      <c r="AC381" s="748">
        <v>0</v>
      </c>
      <c r="AD381" s="710"/>
      <c r="AE381" s="732"/>
      <c r="AF381" s="748">
        <v>0</v>
      </c>
      <c r="AG381" s="710"/>
      <c r="AH381" s="732"/>
      <c r="AI381" s="748">
        <v>0</v>
      </c>
      <c r="AJ381" s="710"/>
      <c r="AK381" s="732"/>
      <c r="AL381" s="748">
        <v>0</v>
      </c>
      <c r="AM381" s="710"/>
      <c r="AN381" s="732"/>
      <c r="AO381" s="748">
        <v>0</v>
      </c>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107"/>
        <v>BoutiqueFrais véhicules de cie</v>
      </c>
      <c r="B382" s="758" t="s">
        <v>123</v>
      </c>
      <c r="C382" s="705"/>
      <c r="D382" s="763"/>
      <c r="E382" s="751">
        <f t="shared" si="1143"/>
        <v>0</v>
      </c>
      <c r="F382" s="705"/>
      <c r="G382" s="763"/>
      <c r="H382" s="752">
        <v>0</v>
      </c>
      <c r="I382" s="705"/>
      <c r="J382" s="763"/>
      <c r="K382" s="752">
        <v>0</v>
      </c>
      <c r="L382" s="705"/>
      <c r="M382" s="763"/>
      <c r="N382" s="752">
        <v>0</v>
      </c>
      <c r="O382" s="705"/>
      <c r="P382" s="763"/>
      <c r="Q382" s="752">
        <v>0</v>
      </c>
      <c r="R382" s="705"/>
      <c r="S382" s="763"/>
      <c r="T382" s="752">
        <v>0</v>
      </c>
      <c r="U382" s="705"/>
      <c r="V382" s="763"/>
      <c r="W382" s="752">
        <v>0</v>
      </c>
      <c r="X382" s="705"/>
      <c r="Y382" s="763"/>
      <c r="Z382" s="752">
        <v>0</v>
      </c>
      <c r="AA382" s="705"/>
      <c r="AB382" s="763"/>
      <c r="AC382" s="752">
        <v>0</v>
      </c>
      <c r="AD382" s="705"/>
      <c r="AE382" s="763"/>
      <c r="AF382" s="752">
        <v>0</v>
      </c>
      <c r="AG382" s="705"/>
      <c r="AH382" s="763"/>
      <c r="AI382" s="752">
        <v>0</v>
      </c>
      <c r="AJ382" s="705"/>
      <c r="AK382" s="763"/>
      <c r="AL382" s="752">
        <v>0</v>
      </c>
      <c r="AM382" s="705"/>
      <c r="AN382" s="763"/>
      <c r="AO382" s="752">
        <v>0</v>
      </c>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 r="A383" s="618" t="str">
        <f t="shared" si="1107"/>
        <v>BoutiqueInformatique</v>
      </c>
      <c r="B383" s="757" t="s">
        <v>124</v>
      </c>
      <c r="C383" s="710"/>
      <c r="D383" s="732"/>
      <c r="E383" s="733">
        <f t="shared" si="1143"/>
        <v>0</v>
      </c>
      <c r="F383" s="710"/>
      <c r="G383" s="732"/>
      <c r="H383" s="748">
        <v>0</v>
      </c>
      <c r="I383" s="710"/>
      <c r="J383" s="732"/>
      <c r="K383" s="748">
        <v>0</v>
      </c>
      <c r="L383" s="710"/>
      <c r="M383" s="732"/>
      <c r="N383" s="748">
        <v>0</v>
      </c>
      <c r="O383" s="710"/>
      <c r="P383" s="732"/>
      <c r="Q383" s="748">
        <v>0</v>
      </c>
      <c r="R383" s="710"/>
      <c r="S383" s="732"/>
      <c r="T383" s="748">
        <v>0</v>
      </c>
      <c r="U383" s="710"/>
      <c r="V383" s="732"/>
      <c r="W383" s="748">
        <v>0</v>
      </c>
      <c r="X383" s="710"/>
      <c r="Y383" s="732"/>
      <c r="Z383" s="748">
        <v>0</v>
      </c>
      <c r="AA383" s="710"/>
      <c r="AB383" s="732"/>
      <c r="AC383" s="748">
        <v>0</v>
      </c>
      <c r="AD383" s="710"/>
      <c r="AE383" s="732"/>
      <c r="AF383" s="748">
        <v>0</v>
      </c>
      <c r="AG383" s="710"/>
      <c r="AH383" s="732"/>
      <c r="AI383" s="748">
        <v>0</v>
      </c>
      <c r="AJ383" s="710"/>
      <c r="AK383" s="732"/>
      <c r="AL383" s="748">
        <v>0</v>
      </c>
      <c r="AM383" s="710"/>
      <c r="AN383" s="732"/>
      <c r="AO383" s="748">
        <v>0</v>
      </c>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 r="A384" s="618" t="str">
        <f t="shared" si="1107"/>
        <v>BoutiqueFrais de déplacement</v>
      </c>
      <c r="B384" s="757" t="s">
        <v>125</v>
      </c>
      <c r="C384" s="710"/>
      <c r="D384" s="732"/>
      <c r="E384" s="733">
        <f t="shared" si="1143"/>
        <v>0</v>
      </c>
      <c r="F384" s="710"/>
      <c r="G384" s="732"/>
      <c r="H384" s="748">
        <v>0</v>
      </c>
      <c r="I384" s="710"/>
      <c r="J384" s="732"/>
      <c r="K384" s="748">
        <v>0</v>
      </c>
      <c r="L384" s="710"/>
      <c r="M384" s="732"/>
      <c r="N384" s="748">
        <v>0</v>
      </c>
      <c r="O384" s="710"/>
      <c r="P384" s="732"/>
      <c r="Q384" s="748">
        <v>0</v>
      </c>
      <c r="R384" s="710"/>
      <c r="S384" s="732"/>
      <c r="T384" s="748">
        <v>0</v>
      </c>
      <c r="U384" s="710"/>
      <c r="V384" s="732"/>
      <c r="W384" s="748">
        <v>0</v>
      </c>
      <c r="X384" s="710"/>
      <c r="Y384" s="732"/>
      <c r="Z384" s="748">
        <v>0</v>
      </c>
      <c r="AA384" s="710"/>
      <c r="AB384" s="732"/>
      <c r="AC384" s="748">
        <v>0</v>
      </c>
      <c r="AD384" s="710"/>
      <c r="AE384" s="732"/>
      <c r="AF384" s="748">
        <v>0</v>
      </c>
      <c r="AG384" s="710"/>
      <c r="AH384" s="732"/>
      <c r="AI384" s="748">
        <v>0</v>
      </c>
      <c r="AJ384" s="710"/>
      <c r="AK384" s="732"/>
      <c r="AL384" s="748">
        <v>0</v>
      </c>
      <c r="AM384" s="710"/>
      <c r="AN384" s="732"/>
      <c r="AO384" s="748">
        <v>0</v>
      </c>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 r="A385" s="618" t="str">
        <f t="shared" si="1107"/>
        <v>BoutiqueServices extérieurs</v>
      </c>
      <c r="B385" s="757" t="s">
        <v>126</v>
      </c>
      <c r="C385" s="705"/>
      <c r="D385" s="763"/>
      <c r="E385" s="751">
        <f t="shared" si="1143"/>
        <v>0</v>
      </c>
      <c r="F385" s="705"/>
      <c r="G385" s="763"/>
      <c r="H385" s="752">
        <v>0</v>
      </c>
      <c r="I385" s="705"/>
      <c r="J385" s="763"/>
      <c r="K385" s="752">
        <v>0</v>
      </c>
      <c r="L385" s="705"/>
      <c r="M385" s="763"/>
      <c r="N385" s="752">
        <v>0</v>
      </c>
      <c r="O385" s="705"/>
      <c r="P385" s="763"/>
      <c r="Q385" s="752">
        <v>0</v>
      </c>
      <c r="R385" s="705"/>
      <c r="S385" s="763"/>
      <c r="T385" s="752">
        <v>0</v>
      </c>
      <c r="U385" s="705"/>
      <c r="V385" s="763"/>
      <c r="W385" s="752">
        <v>0</v>
      </c>
      <c r="X385" s="705"/>
      <c r="Y385" s="763"/>
      <c r="Z385" s="752">
        <v>0</v>
      </c>
      <c r="AA385" s="705"/>
      <c r="AB385" s="763"/>
      <c r="AC385" s="752">
        <v>0</v>
      </c>
      <c r="AD385" s="705"/>
      <c r="AE385" s="763"/>
      <c r="AF385" s="752">
        <v>0</v>
      </c>
      <c r="AG385" s="705"/>
      <c r="AH385" s="763"/>
      <c r="AI385" s="752">
        <v>0</v>
      </c>
      <c r="AJ385" s="705"/>
      <c r="AK385" s="763"/>
      <c r="AL385" s="752">
        <v>0</v>
      </c>
      <c r="AM385" s="705"/>
      <c r="AN385" s="763"/>
      <c r="AO385" s="752">
        <v>0</v>
      </c>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107"/>
        <v>BoutiqueFournitures autres</v>
      </c>
      <c r="B386" s="841" t="s">
        <v>127</v>
      </c>
      <c r="C386" s="710"/>
      <c r="D386" s="732"/>
      <c r="E386" s="733">
        <f t="shared" si="1143"/>
        <v>0</v>
      </c>
      <c r="F386" s="710"/>
      <c r="G386" s="732"/>
      <c r="H386" s="748">
        <v>0</v>
      </c>
      <c r="I386" s="710"/>
      <c r="J386" s="732"/>
      <c r="K386" s="748">
        <v>0</v>
      </c>
      <c r="L386" s="710"/>
      <c r="M386" s="732"/>
      <c r="N386" s="748">
        <v>0</v>
      </c>
      <c r="O386" s="710"/>
      <c r="P386" s="732"/>
      <c r="Q386" s="748">
        <v>0</v>
      </c>
      <c r="R386" s="710"/>
      <c r="S386" s="732"/>
      <c r="T386" s="748">
        <v>0</v>
      </c>
      <c r="U386" s="710"/>
      <c r="V386" s="732"/>
      <c r="W386" s="748">
        <v>0</v>
      </c>
      <c r="X386" s="710"/>
      <c r="Y386" s="732"/>
      <c r="Z386" s="748">
        <v>0</v>
      </c>
      <c r="AA386" s="710"/>
      <c r="AB386" s="732"/>
      <c r="AC386" s="748">
        <v>0</v>
      </c>
      <c r="AD386" s="710"/>
      <c r="AE386" s="732"/>
      <c r="AF386" s="748">
        <v>0</v>
      </c>
      <c r="AG386" s="710"/>
      <c r="AH386" s="732"/>
      <c r="AI386" s="748">
        <v>0</v>
      </c>
      <c r="AJ386" s="710"/>
      <c r="AK386" s="732"/>
      <c r="AL386" s="748">
        <v>0</v>
      </c>
      <c r="AM386" s="710"/>
      <c r="AN386" s="732"/>
      <c r="AO386" s="748">
        <v>0</v>
      </c>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107"/>
        <v>BoutiqueUniformes</v>
      </c>
      <c r="B387" s="757" t="s">
        <v>128</v>
      </c>
      <c r="C387" s="710"/>
      <c r="D387" s="732"/>
      <c r="E387" s="733">
        <f t="shared" si="1143"/>
        <v>0</v>
      </c>
      <c r="F387" s="710"/>
      <c r="G387" s="732"/>
      <c r="H387" s="748">
        <v>0</v>
      </c>
      <c r="I387" s="710"/>
      <c r="J387" s="732"/>
      <c r="K387" s="748">
        <v>0</v>
      </c>
      <c r="L387" s="710"/>
      <c r="M387" s="732"/>
      <c r="N387" s="748">
        <v>0</v>
      </c>
      <c r="O387" s="710"/>
      <c r="P387" s="732"/>
      <c r="Q387" s="748">
        <v>0</v>
      </c>
      <c r="R387" s="710"/>
      <c r="S387" s="732"/>
      <c r="T387" s="748">
        <v>0</v>
      </c>
      <c r="U387" s="710"/>
      <c r="V387" s="732"/>
      <c r="W387" s="748">
        <v>0</v>
      </c>
      <c r="X387" s="710"/>
      <c r="Y387" s="732"/>
      <c r="Z387" s="748">
        <v>0</v>
      </c>
      <c r="AA387" s="710"/>
      <c r="AB387" s="732"/>
      <c r="AC387" s="748">
        <v>0</v>
      </c>
      <c r="AD387" s="710"/>
      <c r="AE387" s="732"/>
      <c r="AF387" s="748">
        <v>0</v>
      </c>
      <c r="AG387" s="710"/>
      <c r="AH387" s="732"/>
      <c r="AI387" s="748">
        <v>0</v>
      </c>
      <c r="AJ387" s="710"/>
      <c r="AK387" s="732"/>
      <c r="AL387" s="748">
        <v>0</v>
      </c>
      <c r="AM387" s="710"/>
      <c r="AN387" s="732"/>
      <c r="AO387" s="748">
        <v>0</v>
      </c>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107"/>
        <v>BoutiquePapeterie</v>
      </c>
      <c r="B388" s="757" t="s">
        <v>129</v>
      </c>
      <c r="C388" s="710"/>
      <c r="D388" s="732"/>
      <c r="E388" s="733">
        <f t="shared" si="1143"/>
        <v>0</v>
      </c>
      <c r="F388" s="710"/>
      <c r="G388" s="732"/>
      <c r="H388" s="748">
        <v>0</v>
      </c>
      <c r="I388" s="710"/>
      <c r="J388" s="732"/>
      <c r="K388" s="748">
        <v>0</v>
      </c>
      <c r="L388" s="710"/>
      <c r="M388" s="732"/>
      <c r="N388" s="748">
        <v>0</v>
      </c>
      <c r="O388" s="710"/>
      <c r="P388" s="732"/>
      <c r="Q388" s="748">
        <v>0</v>
      </c>
      <c r="R388" s="710"/>
      <c r="S388" s="732"/>
      <c r="T388" s="748">
        <v>0</v>
      </c>
      <c r="U388" s="710"/>
      <c r="V388" s="732"/>
      <c r="W388" s="748">
        <v>0</v>
      </c>
      <c r="X388" s="710"/>
      <c r="Y388" s="732"/>
      <c r="Z388" s="748">
        <v>0</v>
      </c>
      <c r="AA388" s="710"/>
      <c r="AB388" s="732"/>
      <c r="AC388" s="748">
        <v>0</v>
      </c>
      <c r="AD388" s="710"/>
      <c r="AE388" s="732"/>
      <c r="AF388" s="748">
        <v>0</v>
      </c>
      <c r="AG388" s="710"/>
      <c r="AH388" s="732"/>
      <c r="AI388" s="748">
        <v>0</v>
      </c>
      <c r="AJ388" s="710"/>
      <c r="AK388" s="732"/>
      <c r="AL388" s="748">
        <v>0</v>
      </c>
      <c r="AM388" s="710"/>
      <c r="AN388" s="732"/>
      <c r="AO388" s="748">
        <v>0</v>
      </c>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107"/>
        <v>BoutiqueTéléphone</v>
      </c>
      <c r="B389" s="757" t="s">
        <v>130</v>
      </c>
      <c r="C389" s="710"/>
      <c r="D389" s="732"/>
      <c r="E389" s="733">
        <f t="shared" si="1143"/>
        <v>0</v>
      </c>
      <c r="F389" s="710"/>
      <c r="G389" s="732"/>
      <c r="H389" s="748">
        <v>0</v>
      </c>
      <c r="I389" s="710"/>
      <c r="J389" s="732"/>
      <c r="K389" s="748">
        <v>0</v>
      </c>
      <c r="L389" s="710"/>
      <c r="M389" s="732"/>
      <c r="N389" s="748">
        <v>0</v>
      </c>
      <c r="O389" s="710"/>
      <c r="P389" s="732"/>
      <c r="Q389" s="748">
        <v>0</v>
      </c>
      <c r="R389" s="710"/>
      <c r="S389" s="732"/>
      <c r="T389" s="748">
        <v>0</v>
      </c>
      <c r="U389" s="710"/>
      <c r="V389" s="732"/>
      <c r="W389" s="748">
        <v>0</v>
      </c>
      <c r="X389" s="710"/>
      <c r="Y389" s="732"/>
      <c r="Z389" s="748">
        <v>0</v>
      </c>
      <c r="AA389" s="710"/>
      <c r="AB389" s="732"/>
      <c r="AC389" s="748">
        <v>0</v>
      </c>
      <c r="AD389" s="710"/>
      <c r="AE389" s="732"/>
      <c r="AF389" s="748">
        <v>0</v>
      </c>
      <c r="AG389" s="710"/>
      <c r="AH389" s="732"/>
      <c r="AI389" s="748">
        <v>0</v>
      </c>
      <c r="AJ389" s="710"/>
      <c r="AK389" s="732"/>
      <c r="AL389" s="748">
        <v>0</v>
      </c>
      <c r="AM389" s="710"/>
      <c r="AN389" s="732"/>
      <c r="AO389" s="748">
        <v>0</v>
      </c>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107"/>
        <v>BoutiqueFrais postaux</v>
      </c>
      <c r="B390" s="757" t="s">
        <v>131</v>
      </c>
      <c r="C390" s="710"/>
      <c r="D390" s="732"/>
      <c r="E390" s="733">
        <f t="shared" si="1143"/>
        <v>0</v>
      </c>
      <c r="F390" s="710"/>
      <c r="G390" s="732"/>
      <c r="H390" s="748">
        <v>0</v>
      </c>
      <c r="I390" s="710"/>
      <c r="J390" s="732"/>
      <c r="K390" s="748">
        <v>0</v>
      </c>
      <c r="L390" s="710"/>
      <c r="M390" s="732"/>
      <c r="N390" s="748">
        <v>0</v>
      </c>
      <c r="O390" s="710"/>
      <c r="P390" s="732"/>
      <c r="Q390" s="748">
        <v>0</v>
      </c>
      <c r="R390" s="710"/>
      <c r="S390" s="732"/>
      <c r="T390" s="748">
        <v>0</v>
      </c>
      <c r="U390" s="710"/>
      <c r="V390" s="732"/>
      <c r="W390" s="748">
        <v>0</v>
      </c>
      <c r="X390" s="710"/>
      <c r="Y390" s="732"/>
      <c r="Z390" s="748">
        <v>0</v>
      </c>
      <c r="AA390" s="710"/>
      <c r="AB390" s="732"/>
      <c r="AC390" s="748">
        <v>0</v>
      </c>
      <c r="AD390" s="710"/>
      <c r="AE390" s="732"/>
      <c r="AF390" s="748">
        <v>0</v>
      </c>
      <c r="AG390" s="710"/>
      <c r="AH390" s="732"/>
      <c r="AI390" s="748">
        <v>0</v>
      </c>
      <c r="AJ390" s="710"/>
      <c r="AK390" s="732"/>
      <c r="AL390" s="748">
        <v>0</v>
      </c>
      <c r="AM390" s="710"/>
      <c r="AN390" s="732"/>
      <c r="AO390" s="748">
        <v>0</v>
      </c>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ustomHeight="1">
      <c r="A391" s="618" t="str">
        <f t="shared" si="1107"/>
        <v>BoutiqueDivers</v>
      </c>
      <c r="B391" s="757" t="s">
        <v>132</v>
      </c>
      <c r="C391" s="710"/>
      <c r="D391" s="732"/>
      <c r="E391" s="733">
        <f t="shared" si="1143"/>
        <v>0</v>
      </c>
      <c r="F391" s="710"/>
      <c r="G391" s="732"/>
      <c r="H391" s="748">
        <v>0</v>
      </c>
      <c r="I391" s="710"/>
      <c r="J391" s="732"/>
      <c r="K391" s="748">
        <v>0</v>
      </c>
      <c r="L391" s="710"/>
      <c r="M391" s="732"/>
      <c r="N391" s="748">
        <v>0</v>
      </c>
      <c r="O391" s="710"/>
      <c r="P391" s="732"/>
      <c r="Q391" s="748">
        <v>0</v>
      </c>
      <c r="R391" s="710"/>
      <c r="S391" s="732"/>
      <c r="T391" s="748">
        <v>0</v>
      </c>
      <c r="U391" s="710"/>
      <c r="V391" s="732"/>
      <c r="W391" s="748">
        <v>0</v>
      </c>
      <c r="X391" s="710"/>
      <c r="Y391" s="732"/>
      <c r="Z391" s="748">
        <v>0</v>
      </c>
      <c r="AA391" s="710"/>
      <c r="AB391" s="732"/>
      <c r="AC391" s="748">
        <v>0</v>
      </c>
      <c r="AD391" s="710"/>
      <c r="AE391" s="732"/>
      <c r="AF391" s="748">
        <v>0</v>
      </c>
      <c r="AG391" s="710"/>
      <c r="AH391" s="732"/>
      <c r="AI391" s="748">
        <v>0</v>
      </c>
      <c r="AJ391" s="710"/>
      <c r="AK391" s="732"/>
      <c r="AL391" s="748">
        <v>0</v>
      </c>
      <c r="AM391" s="710"/>
      <c r="AN391" s="732"/>
      <c r="AO391" s="748">
        <v>0</v>
      </c>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ustomHeight="1">
      <c r="A392" s="618" t="str">
        <f t="shared" si="1107"/>
        <v>BoutiqueFormation</v>
      </c>
      <c r="B392" s="757" t="s">
        <v>133</v>
      </c>
      <c r="C392" s="710"/>
      <c r="D392" s="732"/>
      <c r="E392" s="733">
        <f t="shared" si="1143"/>
        <v>0</v>
      </c>
      <c r="F392" s="710"/>
      <c r="G392" s="732"/>
      <c r="H392" s="748">
        <v>0</v>
      </c>
      <c r="I392" s="710"/>
      <c r="J392" s="732"/>
      <c r="K392" s="748">
        <v>0</v>
      </c>
      <c r="L392" s="710"/>
      <c r="M392" s="732"/>
      <c r="N392" s="748">
        <v>0</v>
      </c>
      <c r="O392" s="710"/>
      <c r="P392" s="732"/>
      <c r="Q392" s="748">
        <v>0</v>
      </c>
      <c r="R392" s="710"/>
      <c r="S392" s="732"/>
      <c r="T392" s="748">
        <v>0</v>
      </c>
      <c r="U392" s="710"/>
      <c r="V392" s="732"/>
      <c r="W392" s="748">
        <v>0</v>
      </c>
      <c r="X392" s="710"/>
      <c r="Y392" s="732"/>
      <c r="Z392" s="748">
        <v>0</v>
      </c>
      <c r="AA392" s="710"/>
      <c r="AB392" s="732"/>
      <c r="AC392" s="748">
        <v>0</v>
      </c>
      <c r="AD392" s="710"/>
      <c r="AE392" s="732"/>
      <c r="AF392" s="748">
        <v>0</v>
      </c>
      <c r="AG392" s="710"/>
      <c r="AH392" s="732"/>
      <c r="AI392" s="748">
        <v>0</v>
      </c>
      <c r="AJ392" s="710"/>
      <c r="AK392" s="732"/>
      <c r="AL392" s="748">
        <v>0</v>
      </c>
      <c r="AM392" s="710"/>
      <c r="AN392" s="732"/>
      <c r="AO392" s="748">
        <v>0</v>
      </c>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ustomHeight="1">
      <c r="A393" s="618" t="str">
        <f t="shared" si="1107"/>
        <v>BoutiqueFrais bancaires</v>
      </c>
      <c r="B393" s="757" t="s">
        <v>134</v>
      </c>
      <c r="C393" s="710"/>
      <c r="D393" s="732"/>
      <c r="E393" s="733">
        <f t="shared" si="1143"/>
        <v>0</v>
      </c>
      <c r="F393" s="710"/>
      <c r="G393" s="732"/>
      <c r="H393" s="748">
        <v>0</v>
      </c>
      <c r="I393" s="710"/>
      <c r="J393" s="732"/>
      <c r="K393" s="748">
        <v>0</v>
      </c>
      <c r="L393" s="710"/>
      <c r="M393" s="732"/>
      <c r="N393" s="748">
        <v>0</v>
      </c>
      <c r="O393" s="710"/>
      <c r="P393" s="732"/>
      <c r="Q393" s="748">
        <v>0</v>
      </c>
      <c r="R393" s="710"/>
      <c r="S393" s="732"/>
      <c r="T393" s="748">
        <v>0</v>
      </c>
      <c r="U393" s="710"/>
      <c r="V393" s="732"/>
      <c r="W393" s="748">
        <v>0</v>
      </c>
      <c r="X393" s="710"/>
      <c r="Y393" s="732"/>
      <c r="Z393" s="748">
        <v>0</v>
      </c>
      <c r="AA393" s="710"/>
      <c r="AB393" s="732"/>
      <c r="AC393" s="748">
        <v>0</v>
      </c>
      <c r="AD393" s="710"/>
      <c r="AE393" s="732"/>
      <c r="AF393" s="748">
        <v>0</v>
      </c>
      <c r="AG393" s="710"/>
      <c r="AH393" s="732"/>
      <c r="AI393" s="748">
        <v>0</v>
      </c>
      <c r="AJ393" s="710"/>
      <c r="AK393" s="732"/>
      <c r="AL393" s="748">
        <v>0</v>
      </c>
      <c r="AM393" s="710"/>
      <c r="AN393" s="732"/>
      <c r="AO393" s="748">
        <v>0</v>
      </c>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107"/>
        <v>Boutique[...]</v>
      </c>
      <c r="B394" s="757" t="s">
        <v>42</v>
      </c>
      <c r="C394" s="710"/>
      <c r="D394" s="732"/>
      <c r="E394" s="733">
        <f t="shared" si="1143"/>
        <v>0</v>
      </c>
      <c r="F394" s="710"/>
      <c r="G394" s="732"/>
      <c r="H394" s="733"/>
      <c r="I394" s="710"/>
      <c r="J394" s="732"/>
      <c r="K394" s="733"/>
      <c r="L394" s="710"/>
      <c r="M394" s="732"/>
      <c r="N394" s="733"/>
      <c r="O394" s="710"/>
      <c r="P394" s="732"/>
      <c r="Q394" s="733"/>
      <c r="R394" s="710"/>
      <c r="S394" s="732"/>
      <c r="T394" s="733"/>
      <c r="U394" s="710"/>
      <c r="V394" s="732"/>
      <c r="W394" s="733"/>
      <c r="X394" s="710"/>
      <c r="Y394" s="732"/>
      <c r="Z394" s="733"/>
      <c r="AA394" s="710"/>
      <c r="AB394" s="732"/>
      <c r="AC394" s="733"/>
      <c r="AD394" s="710"/>
      <c r="AE394" s="732"/>
      <c r="AF394" s="733"/>
      <c r="AG394" s="710"/>
      <c r="AH394" s="732"/>
      <c r="AI394" s="733"/>
      <c r="AJ394" s="710"/>
      <c r="AK394" s="732"/>
      <c r="AL394" s="733"/>
      <c r="AM394" s="710"/>
      <c r="AN394" s="732"/>
      <c r="AO394" s="733"/>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107"/>
        <v>Boutique[...]</v>
      </c>
      <c r="B395" s="757" t="s">
        <v>42</v>
      </c>
      <c r="C395" s="710"/>
      <c r="D395" s="732"/>
      <c r="E395" s="733">
        <f t="shared" si="1143"/>
        <v>0</v>
      </c>
      <c r="F395" s="710"/>
      <c r="G395" s="732"/>
      <c r="H395" s="733"/>
      <c r="I395" s="710"/>
      <c r="J395" s="732"/>
      <c r="K395" s="733"/>
      <c r="L395" s="710"/>
      <c r="M395" s="732"/>
      <c r="N395" s="733"/>
      <c r="O395" s="710"/>
      <c r="P395" s="732"/>
      <c r="Q395" s="733"/>
      <c r="R395" s="710"/>
      <c r="S395" s="732"/>
      <c r="T395" s="733"/>
      <c r="U395" s="710"/>
      <c r="V395" s="732"/>
      <c r="W395" s="733"/>
      <c r="X395" s="710"/>
      <c r="Y395" s="732"/>
      <c r="Z395" s="733"/>
      <c r="AA395" s="710"/>
      <c r="AB395" s="732"/>
      <c r="AC395" s="733"/>
      <c r="AD395" s="710"/>
      <c r="AE395" s="732"/>
      <c r="AF395" s="733"/>
      <c r="AG395" s="710"/>
      <c r="AH395" s="732"/>
      <c r="AI395" s="733"/>
      <c r="AJ395" s="710"/>
      <c r="AK395" s="732"/>
      <c r="AL395" s="733"/>
      <c r="AM395" s="710"/>
      <c r="AN395" s="732"/>
      <c r="AO395" s="733"/>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107"/>
        <v>Boutique[...]</v>
      </c>
      <c r="B396" s="757" t="s">
        <v>42</v>
      </c>
      <c r="C396" s="705"/>
      <c r="D396" s="763"/>
      <c r="E396" s="733">
        <f t="shared" si="1143"/>
        <v>0</v>
      </c>
      <c r="F396" s="705"/>
      <c r="G396" s="763"/>
      <c r="H396" s="733"/>
      <c r="I396" s="705"/>
      <c r="J396" s="763"/>
      <c r="K396" s="733"/>
      <c r="L396" s="705"/>
      <c r="M396" s="763"/>
      <c r="N396" s="733"/>
      <c r="O396" s="705"/>
      <c r="P396" s="763"/>
      <c r="Q396" s="733"/>
      <c r="R396" s="705"/>
      <c r="S396" s="763"/>
      <c r="T396" s="733"/>
      <c r="U396" s="705"/>
      <c r="V396" s="763"/>
      <c r="W396" s="733"/>
      <c r="X396" s="705"/>
      <c r="Y396" s="763"/>
      <c r="Z396" s="733"/>
      <c r="AA396" s="705"/>
      <c r="AB396" s="763"/>
      <c r="AC396" s="733"/>
      <c r="AD396" s="705"/>
      <c r="AE396" s="763"/>
      <c r="AF396" s="733"/>
      <c r="AG396" s="705"/>
      <c r="AH396" s="763"/>
      <c r="AI396" s="733"/>
      <c r="AJ396" s="705"/>
      <c r="AK396" s="763"/>
      <c r="AL396" s="733"/>
      <c r="AM396" s="705"/>
      <c r="AN396" s="763"/>
      <c r="AO396" s="733"/>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0.25">
      <c r="A397" s="618" t="str">
        <f t="shared" si="1107"/>
        <v>BoutiqueTOTAL SEMI-FIXES</v>
      </c>
      <c r="B397" s="753" t="s">
        <v>135</v>
      </c>
      <c r="C397" s="754" t="s">
        <v>111</v>
      </c>
      <c r="D397" s="755">
        <f>IFERROR(E397/E$362,0)</f>
        <v>0</v>
      </c>
      <c r="E397" s="756">
        <f>+SUM(E380:E396)</f>
        <v>0</v>
      </c>
      <c r="F397" s="754" t="s">
        <v>111</v>
      </c>
      <c r="G397" s="755">
        <f>IFERROR(H397/H$362,0)</f>
        <v>0</v>
      </c>
      <c r="H397" s="756">
        <f>+SUM(H380:H396)</f>
        <v>0</v>
      </c>
      <c r="I397" s="754" t="s">
        <v>111</v>
      </c>
      <c r="J397" s="755">
        <f t="shared" ref="J397" si="1144">IFERROR(K397/K$362,0)</f>
        <v>0</v>
      </c>
      <c r="K397" s="756">
        <f t="shared" ref="K397" si="1145">+SUM(K380:K396)</f>
        <v>0</v>
      </c>
      <c r="L397" s="754" t="s">
        <v>111</v>
      </c>
      <c r="M397" s="755">
        <f t="shared" ref="M397" si="1146">IFERROR(N397/N$362,0)</f>
        <v>0</v>
      </c>
      <c r="N397" s="756">
        <f t="shared" ref="N397" si="1147">+SUM(N380:N396)</f>
        <v>0</v>
      </c>
      <c r="O397" s="754" t="s">
        <v>111</v>
      </c>
      <c r="P397" s="755">
        <f t="shared" ref="P397" si="1148">IFERROR(Q397/Q$362,0)</f>
        <v>0</v>
      </c>
      <c r="Q397" s="756">
        <f t="shared" ref="Q397" si="1149">+SUM(Q380:Q396)</f>
        <v>0</v>
      </c>
      <c r="R397" s="754" t="s">
        <v>111</v>
      </c>
      <c r="S397" s="755">
        <f t="shared" ref="S397" si="1150">IFERROR(T397/T$362,0)</f>
        <v>0</v>
      </c>
      <c r="T397" s="756">
        <f t="shared" ref="T397" si="1151">+SUM(T380:T396)</f>
        <v>0</v>
      </c>
      <c r="U397" s="754" t="s">
        <v>111</v>
      </c>
      <c r="V397" s="755">
        <f t="shared" ref="V397" si="1152">IFERROR(W397/W$362,0)</f>
        <v>0</v>
      </c>
      <c r="W397" s="756">
        <f t="shared" ref="W397" si="1153">+SUM(W380:W396)</f>
        <v>0</v>
      </c>
      <c r="X397" s="754" t="s">
        <v>111</v>
      </c>
      <c r="Y397" s="755">
        <f t="shared" ref="Y397" si="1154">IFERROR(Z397/Z$362,0)</f>
        <v>0</v>
      </c>
      <c r="Z397" s="756">
        <f t="shared" ref="Z397" si="1155">+SUM(Z380:Z396)</f>
        <v>0</v>
      </c>
      <c r="AA397" s="754" t="s">
        <v>111</v>
      </c>
      <c r="AB397" s="755">
        <f t="shared" ref="AB397" si="1156">IFERROR(AC397/AC$362,0)</f>
        <v>0</v>
      </c>
      <c r="AC397" s="756">
        <f t="shared" ref="AC397" si="1157">+SUM(AC380:AC396)</f>
        <v>0</v>
      </c>
      <c r="AD397" s="754" t="s">
        <v>111</v>
      </c>
      <c r="AE397" s="755">
        <f t="shared" ref="AE397" si="1158">IFERROR(AF397/AF$362,0)</f>
        <v>0</v>
      </c>
      <c r="AF397" s="756">
        <f t="shared" ref="AF397" si="1159">+SUM(AF380:AF396)</f>
        <v>0</v>
      </c>
      <c r="AG397" s="754" t="s">
        <v>111</v>
      </c>
      <c r="AH397" s="755">
        <f t="shared" ref="AH397" si="1160">IFERROR(AI397/AI$362,0)</f>
        <v>0</v>
      </c>
      <c r="AI397" s="756">
        <f t="shared" ref="AI397" si="1161">+SUM(AI380:AI396)</f>
        <v>0</v>
      </c>
      <c r="AJ397" s="754" t="s">
        <v>111</v>
      </c>
      <c r="AK397" s="755">
        <f t="shared" ref="AK397" si="1162">IFERROR(AL397/AL$362,0)</f>
        <v>0</v>
      </c>
      <c r="AL397" s="756">
        <f t="shared" ref="AL397" si="1163">+SUM(AL380:AL396)</f>
        <v>0</v>
      </c>
      <c r="AM397" s="754" t="s">
        <v>111</v>
      </c>
      <c r="AN397" s="755">
        <f t="shared" ref="AN397" si="1164">IFERROR(AO397/AO$362,0)</f>
        <v>0</v>
      </c>
      <c r="AO397" s="756">
        <f t="shared" ref="AO397" si="1165">+SUM(AO380:AO396)</f>
        <v>0</v>
      </c>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0.25">
      <c r="A398" s="618" t="str">
        <f t="shared" si="1107"/>
        <v>Boutique</v>
      </c>
      <c r="B398" s="710"/>
      <c r="C398" s="710"/>
      <c r="D398" s="732"/>
      <c r="E398" s="720"/>
      <c r="F398" s="710"/>
      <c r="G398" s="732"/>
      <c r="H398" s="720"/>
      <c r="I398" s="710"/>
      <c r="J398" s="732"/>
      <c r="K398" s="720"/>
      <c r="L398" s="710"/>
      <c r="M398" s="732"/>
      <c r="N398" s="720"/>
      <c r="O398" s="710"/>
      <c r="P398" s="732"/>
      <c r="Q398" s="720"/>
      <c r="R398" s="710"/>
      <c r="S398" s="732"/>
      <c r="T398" s="720"/>
      <c r="U398" s="710"/>
      <c r="V398" s="732"/>
      <c r="W398" s="720"/>
      <c r="X398" s="710"/>
      <c r="Y398" s="732"/>
      <c r="Z398" s="720"/>
      <c r="AA398" s="710"/>
      <c r="AB398" s="732"/>
      <c r="AC398" s="720"/>
      <c r="AD398" s="710"/>
      <c r="AE398" s="732"/>
      <c r="AF398" s="720"/>
      <c r="AG398" s="710"/>
      <c r="AH398" s="732"/>
      <c r="AI398" s="720"/>
      <c r="AJ398" s="710"/>
      <c r="AK398" s="732"/>
      <c r="AL398" s="720"/>
      <c r="AM398" s="710"/>
      <c r="AN398" s="732"/>
      <c r="AO398" s="720"/>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0.25">
      <c r="A399" s="618" t="str">
        <f t="shared" si="1107"/>
        <v>BoutiqueTOTAL DES DÉPENSES</v>
      </c>
      <c r="B399" s="753" t="s">
        <v>136</v>
      </c>
      <c r="C399" s="754" t="s">
        <v>111</v>
      </c>
      <c r="D399" s="755">
        <f>IFERROR(E399/E$362,0)</f>
        <v>0</v>
      </c>
      <c r="E399" s="756">
        <f>E379+E397</f>
        <v>0</v>
      </c>
      <c r="F399" s="754" t="s">
        <v>111</v>
      </c>
      <c r="G399" s="755">
        <f>IFERROR(H399/H$362,0)</f>
        <v>0</v>
      </c>
      <c r="H399" s="756">
        <f>H379+H397</f>
        <v>0</v>
      </c>
      <c r="I399" s="754" t="s">
        <v>111</v>
      </c>
      <c r="J399" s="755">
        <f t="shared" ref="J399" si="1166">IFERROR(K399/K$362,0)</f>
        <v>0</v>
      </c>
      <c r="K399" s="756">
        <f t="shared" ref="K399" si="1167">K379+K397</f>
        <v>0</v>
      </c>
      <c r="L399" s="754" t="s">
        <v>111</v>
      </c>
      <c r="M399" s="755">
        <f t="shared" ref="M399" si="1168">IFERROR(N399/N$362,0)</f>
        <v>0</v>
      </c>
      <c r="N399" s="756">
        <f t="shared" ref="N399" si="1169">N379+N397</f>
        <v>0</v>
      </c>
      <c r="O399" s="754" t="s">
        <v>111</v>
      </c>
      <c r="P399" s="755">
        <f t="shared" ref="P399" si="1170">IFERROR(Q399/Q$362,0)</f>
        <v>0</v>
      </c>
      <c r="Q399" s="756">
        <f t="shared" ref="Q399" si="1171">Q379+Q397</f>
        <v>0</v>
      </c>
      <c r="R399" s="754" t="s">
        <v>111</v>
      </c>
      <c r="S399" s="755">
        <f t="shared" ref="S399" si="1172">IFERROR(T399/T$362,0)</f>
        <v>0</v>
      </c>
      <c r="T399" s="756">
        <f t="shared" ref="T399" si="1173">T379+T397</f>
        <v>0</v>
      </c>
      <c r="U399" s="754" t="s">
        <v>111</v>
      </c>
      <c r="V399" s="755">
        <f t="shared" ref="V399" si="1174">IFERROR(W399/W$362,0)</f>
        <v>0</v>
      </c>
      <c r="W399" s="756">
        <f t="shared" ref="W399" si="1175">W379+W397</f>
        <v>0</v>
      </c>
      <c r="X399" s="754" t="s">
        <v>111</v>
      </c>
      <c r="Y399" s="755">
        <f t="shared" ref="Y399" si="1176">IFERROR(Z399/Z$362,0)</f>
        <v>0</v>
      </c>
      <c r="Z399" s="756">
        <f t="shared" ref="Z399" si="1177">Z379+Z397</f>
        <v>0</v>
      </c>
      <c r="AA399" s="754" t="s">
        <v>111</v>
      </c>
      <c r="AB399" s="755">
        <f t="shared" ref="AB399" si="1178">IFERROR(AC399/AC$362,0)</f>
        <v>0</v>
      </c>
      <c r="AC399" s="756">
        <f t="shared" ref="AC399" si="1179">AC379+AC397</f>
        <v>0</v>
      </c>
      <c r="AD399" s="754" t="s">
        <v>111</v>
      </c>
      <c r="AE399" s="755">
        <f t="shared" ref="AE399" si="1180">IFERROR(AF399/AF$362,0)</f>
        <v>0</v>
      </c>
      <c r="AF399" s="756">
        <f t="shared" ref="AF399" si="1181">AF379+AF397</f>
        <v>0</v>
      </c>
      <c r="AG399" s="754" t="s">
        <v>111</v>
      </c>
      <c r="AH399" s="755">
        <f t="shared" ref="AH399" si="1182">IFERROR(AI399/AI$362,0)</f>
        <v>0</v>
      </c>
      <c r="AI399" s="756">
        <f t="shared" ref="AI399" si="1183">AI379+AI397</f>
        <v>0</v>
      </c>
      <c r="AJ399" s="754" t="s">
        <v>111</v>
      </c>
      <c r="AK399" s="755">
        <f t="shared" ref="AK399" si="1184">IFERROR(AL399/AL$362,0)</f>
        <v>0</v>
      </c>
      <c r="AL399" s="756">
        <f t="shared" ref="AL399" si="1185">AL379+AL397</f>
        <v>0</v>
      </c>
      <c r="AM399" s="754" t="s">
        <v>111</v>
      </c>
      <c r="AN399" s="755">
        <f t="shared" ref="AN399" si="1186">IFERROR(AO399/AO$362,0)</f>
        <v>0</v>
      </c>
      <c r="AO399" s="756">
        <f t="shared" ref="AO399" si="1187">AO379+AO397</f>
        <v>0</v>
      </c>
      <c r="AP399" s="594"/>
      <c r="AQ399" s="594"/>
      <c r="AR399" s="594"/>
      <c r="AS399" s="594"/>
      <c r="AT399" s="594"/>
      <c r="AU399" s="594"/>
      <c r="AV399" s="594"/>
      <c r="AW399" s="594"/>
      <c r="AX399" s="594"/>
      <c r="AY399" s="594"/>
      <c r="AZ399" s="594"/>
      <c r="BA399" s="594"/>
      <c r="BB399" s="594"/>
      <c r="BC399" s="594"/>
      <c r="BD399" s="594"/>
      <c r="BE399" s="594"/>
      <c r="BF399" s="594"/>
      <c r="BG399" s="594"/>
      <c r="BH399" s="594"/>
      <c r="BI399" s="594"/>
      <c r="BJ399" s="594"/>
      <c r="BK399" s="594"/>
      <c r="BL399" s="594"/>
      <c r="BM399" s="594"/>
      <c r="BN399" s="594"/>
      <c r="BO399" s="594"/>
      <c r="BP399" s="594"/>
      <c r="BQ399" s="594"/>
      <c r="BR399" s="594"/>
      <c r="BS399" s="594"/>
      <c r="BT399" s="594"/>
      <c r="BU399" s="594"/>
      <c r="BV399" s="594"/>
      <c r="BW399" s="594"/>
      <c r="BX399" s="594"/>
      <c r="BY399" s="594"/>
      <c r="BZ399" s="594"/>
      <c r="CA399" s="594"/>
      <c r="CB399" s="594"/>
      <c r="CC399" s="594"/>
      <c r="CD399" s="594"/>
      <c r="CE399" s="594"/>
      <c r="CF399" s="594"/>
      <c r="CG399" s="594"/>
      <c r="CH399" s="594"/>
      <c r="CI399" s="594"/>
      <c r="CJ399" s="594"/>
      <c r="CK399" s="594"/>
      <c r="CL399" s="594"/>
      <c r="CM399" s="594"/>
      <c r="CN399" s="594"/>
      <c r="CO399" s="594"/>
      <c r="CP399" s="594"/>
      <c r="CQ399" s="594"/>
      <c r="CR399" s="594"/>
      <c r="CS399" s="594"/>
      <c r="CT399" s="594"/>
      <c r="CU399" s="594"/>
      <c r="CV399" s="594"/>
      <c r="CW399" s="594"/>
      <c r="CX399" s="594"/>
      <c r="CY399" s="594"/>
      <c r="CZ399" s="594"/>
      <c r="DA399" s="594"/>
      <c r="DB399" s="594"/>
      <c r="DC399" s="594"/>
      <c r="DD399" s="594"/>
      <c r="DE399" s="594"/>
      <c r="DF399" s="594"/>
      <c r="DG399" s="594"/>
      <c r="DH399" s="594"/>
      <c r="DI399" s="594"/>
      <c r="DJ399" s="594"/>
      <c r="DK399" s="594"/>
      <c r="DL399" s="594"/>
      <c r="DM399" s="594"/>
      <c r="DN399" s="594"/>
      <c r="DO399" s="594"/>
      <c r="DP399" s="594"/>
      <c r="DQ399" s="594"/>
      <c r="DR399" s="594"/>
      <c r="DS399" s="594"/>
      <c r="DT399" s="594"/>
      <c r="DU399" s="594"/>
      <c r="DV399" s="594"/>
      <c r="DW399" s="594"/>
      <c r="DX399" s="594"/>
      <c r="DY399" s="594"/>
      <c r="DZ399" s="594"/>
      <c r="EA399" s="594"/>
      <c r="EB399" s="594"/>
      <c r="EC399" s="594"/>
      <c r="ED399" s="594"/>
      <c r="EE399" s="594"/>
      <c r="EF399" s="594"/>
      <c r="EG399" s="594"/>
      <c r="EH399" s="594"/>
      <c r="EI399" s="594"/>
      <c r="EJ399" s="594"/>
      <c r="EK399" s="594"/>
      <c r="EL399" s="594"/>
      <c r="EM399" s="594"/>
      <c r="EN399" s="594"/>
      <c r="EO399" s="594"/>
      <c r="EP399" s="594"/>
      <c r="EQ399" s="594"/>
      <c r="ER399" s="594"/>
      <c r="ES399" s="594"/>
      <c r="ET399" s="594"/>
      <c r="EU399" s="594"/>
      <c r="EV399" s="594"/>
      <c r="EW399" s="594"/>
      <c r="EX399" s="594"/>
      <c r="EY399" s="594"/>
      <c r="EZ399" s="594"/>
      <c r="FA399" s="594"/>
      <c r="FB399" s="594"/>
      <c r="FC399" s="594"/>
      <c r="FD399" s="594"/>
      <c r="FE399" s="594"/>
      <c r="FF399" s="594"/>
      <c r="FG399" s="594"/>
      <c r="FH399" s="594"/>
      <c r="FI399" s="594"/>
      <c r="FJ399" s="594"/>
      <c r="FK399" s="594"/>
      <c r="FL399" s="594"/>
      <c r="FM399" s="594"/>
      <c r="FN399" s="594"/>
      <c r="FO399" s="594"/>
      <c r="FP399" s="594"/>
      <c r="FQ399" s="594"/>
      <c r="FR399" s="594"/>
      <c r="FS399" s="594"/>
      <c r="FT399" s="594"/>
      <c r="FU399" s="594"/>
      <c r="FV399" s="594"/>
      <c r="FW399" s="594"/>
      <c r="FX399" s="594"/>
      <c r="FY399" s="594"/>
      <c r="FZ399" s="594"/>
      <c r="GA399" s="594"/>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1" thickBot="1">
      <c r="A400" s="618" t="str">
        <f t="shared" si="1107"/>
        <v>Boutique</v>
      </c>
      <c r="B400" s="710"/>
      <c r="C400" s="710"/>
      <c r="D400" s="732"/>
      <c r="E400" s="733"/>
      <c r="F400" s="710"/>
      <c r="G400" s="732"/>
      <c r="H400" s="733"/>
      <c r="I400" s="710"/>
      <c r="J400" s="732"/>
      <c r="K400" s="733"/>
      <c r="L400" s="710"/>
      <c r="M400" s="732"/>
      <c r="N400" s="733"/>
      <c r="O400" s="710"/>
      <c r="P400" s="732"/>
      <c r="Q400" s="733"/>
      <c r="R400" s="710"/>
      <c r="S400" s="732"/>
      <c r="T400" s="733"/>
      <c r="U400" s="710"/>
      <c r="V400" s="732"/>
      <c r="W400" s="733"/>
      <c r="X400" s="710"/>
      <c r="Y400" s="732"/>
      <c r="Z400" s="733"/>
      <c r="AA400" s="710"/>
      <c r="AB400" s="732"/>
      <c r="AC400" s="733"/>
      <c r="AD400" s="710"/>
      <c r="AE400" s="732"/>
      <c r="AF400" s="733"/>
      <c r="AG400" s="710"/>
      <c r="AH400" s="732"/>
      <c r="AI400" s="733"/>
      <c r="AJ400" s="710"/>
      <c r="AK400" s="732"/>
      <c r="AL400" s="733"/>
      <c r="AM400" s="710"/>
      <c r="AN400" s="732"/>
      <c r="AO400" s="733"/>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21.75" thickTop="1" thickBot="1">
      <c r="A401" s="618" t="str">
        <f t="shared" si="1107"/>
        <v>BoutiquePROFIT DÉPARTEMENTAL</v>
      </c>
      <c r="B401" s="858" t="s">
        <v>143</v>
      </c>
      <c r="C401" s="859"/>
      <c r="D401" s="860"/>
      <c r="E401" s="861">
        <f>E364-E399</f>
        <v>0</v>
      </c>
      <c r="F401" s="859"/>
      <c r="G401" s="860"/>
      <c r="H401" s="861">
        <f>H364-H399</f>
        <v>0</v>
      </c>
      <c r="I401" s="859"/>
      <c r="J401" s="860"/>
      <c r="K401" s="861">
        <f t="shared" ref="K401" si="1188">K364-K399</f>
        <v>0</v>
      </c>
      <c r="L401" s="859"/>
      <c r="M401" s="860"/>
      <c r="N401" s="861">
        <f t="shared" ref="N401" si="1189">N364-N399</f>
        <v>0</v>
      </c>
      <c r="O401" s="859"/>
      <c r="P401" s="860"/>
      <c r="Q401" s="861">
        <f t="shared" ref="Q401" si="1190">Q364-Q399</f>
        <v>0</v>
      </c>
      <c r="R401" s="859"/>
      <c r="S401" s="860"/>
      <c r="T401" s="861">
        <f t="shared" ref="T401" si="1191">T364-T399</f>
        <v>0</v>
      </c>
      <c r="U401" s="859"/>
      <c r="V401" s="860"/>
      <c r="W401" s="861">
        <f t="shared" ref="W401" si="1192">W364-W399</f>
        <v>0</v>
      </c>
      <c r="X401" s="859"/>
      <c r="Y401" s="860"/>
      <c r="Z401" s="861">
        <f t="shared" ref="Z401" si="1193">Z364-Z399</f>
        <v>0</v>
      </c>
      <c r="AA401" s="859"/>
      <c r="AB401" s="860"/>
      <c r="AC401" s="861">
        <f t="shared" ref="AC401" si="1194">AC364-AC399</f>
        <v>0</v>
      </c>
      <c r="AD401" s="859"/>
      <c r="AE401" s="860"/>
      <c r="AF401" s="861">
        <f t="shared" ref="AF401" si="1195">AF364-AF399</f>
        <v>0</v>
      </c>
      <c r="AG401" s="859"/>
      <c r="AH401" s="860"/>
      <c r="AI401" s="861">
        <f t="shared" ref="AI401" si="1196">AI364-AI399</f>
        <v>0</v>
      </c>
      <c r="AJ401" s="859"/>
      <c r="AK401" s="860"/>
      <c r="AL401" s="861">
        <f t="shared" ref="AL401" si="1197">AL364-AL399</f>
        <v>0</v>
      </c>
      <c r="AM401" s="859"/>
      <c r="AN401" s="860"/>
      <c r="AO401" s="861">
        <f t="shared" ref="AO401" si="1198">AO364-AO399</f>
        <v>0</v>
      </c>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Top="1">
      <c r="A402" s="617"/>
      <c r="B402" s="793"/>
      <c r="C402" s="793"/>
      <c r="D402" s="793"/>
      <c r="E402" s="857"/>
      <c r="F402" s="793"/>
      <c r="G402" s="793"/>
      <c r="H402" s="857"/>
      <c r="I402" s="793"/>
      <c r="J402" s="793"/>
      <c r="K402" s="857"/>
      <c r="L402" s="793"/>
      <c r="M402" s="793"/>
      <c r="N402" s="857"/>
      <c r="O402" s="793"/>
      <c r="P402" s="793"/>
      <c r="Q402" s="857"/>
      <c r="R402" s="793"/>
      <c r="S402" s="793"/>
      <c r="T402" s="857"/>
      <c r="U402" s="793"/>
      <c r="V402" s="793"/>
      <c r="W402" s="857"/>
      <c r="X402" s="793"/>
      <c r="Y402" s="793"/>
      <c r="Z402" s="857"/>
      <c r="AA402" s="793"/>
      <c r="AB402" s="793"/>
      <c r="AC402" s="857"/>
      <c r="AD402" s="793"/>
      <c r="AE402" s="793"/>
      <c r="AF402" s="857"/>
      <c r="AG402" s="793"/>
      <c r="AH402" s="793"/>
      <c r="AI402" s="857"/>
      <c r="AJ402" s="793"/>
      <c r="AK402" s="793"/>
      <c r="AL402" s="857"/>
      <c r="AM402" s="793"/>
      <c r="AN402" s="793"/>
      <c r="AO402" s="857"/>
      <c r="AP402" s="589"/>
      <c r="AQ402" s="589"/>
      <c r="AR402" s="589"/>
      <c r="AS402" s="589"/>
      <c r="AT402" s="589"/>
      <c r="AU402" s="589"/>
      <c r="AV402" s="589"/>
      <c r="AW402" s="589"/>
      <c r="AX402" s="589"/>
      <c r="AY402" s="589"/>
      <c r="AZ402" s="589"/>
      <c r="BA402" s="589"/>
      <c r="BB402" s="589"/>
      <c r="BC402" s="589"/>
      <c r="BD402" s="589"/>
      <c r="BE402" s="589"/>
      <c r="BF402" s="589"/>
      <c r="BG402" s="589"/>
      <c r="BH402" s="589"/>
      <c r="BI402" s="589"/>
      <c r="BJ402" s="589"/>
      <c r="BK402" s="589"/>
      <c r="BL402" s="589"/>
      <c r="BM402" s="589"/>
      <c r="BN402" s="589"/>
      <c r="BO402" s="589"/>
      <c r="BP402" s="589"/>
      <c r="BQ402" s="589"/>
      <c r="BR402" s="589"/>
      <c r="BS402" s="589"/>
      <c r="BT402" s="589"/>
      <c r="BU402" s="589"/>
      <c r="BV402" s="589"/>
      <c r="BW402" s="589"/>
      <c r="BX402" s="589"/>
      <c r="BY402" s="589"/>
      <c r="BZ402" s="589"/>
      <c r="CA402" s="589"/>
      <c r="CB402" s="589"/>
      <c r="CC402" s="589"/>
      <c r="CD402" s="589"/>
      <c r="CE402" s="589"/>
      <c r="CF402" s="589"/>
      <c r="CG402" s="589"/>
      <c r="CH402" s="589"/>
      <c r="CI402" s="589"/>
      <c r="CJ402" s="589"/>
      <c r="CK402" s="589"/>
      <c r="CL402" s="589"/>
      <c r="CM402" s="589"/>
      <c r="CN402" s="589"/>
      <c r="CO402" s="589"/>
      <c r="CP402" s="589"/>
      <c r="CQ402" s="589"/>
      <c r="CR402" s="589"/>
      <c r="CS402" s="589"/>
      <c r="CT402" s="589"/>
      <c r="CU402" s="589"/>
      <c r="CV402" s="589"/>
      <c r="CW402" s="589"/>
      <c r="CX402" s="589"/>
      <c r="CY402" s="589"/>
      <c r="CZ402" s="589"/>
      <c r="DA402" s="589"/>
      <c r="DB402" s="589"/>
      <c r="DC402" s="589"/>
      <c r="DD402" s="589"/>
      <c r="DE402" s="589"/>
      <c r="DF402" s="589"/>
      <c r="DG402" s="589"/>
      <c r="DH402" s="589"/>
      <c r="DI402" s="589"/>
      <c r="DJ402" s="589"/>
      <c r="DK402" s="589"/>
      <c r="DL402" s="589"/>
      <c r="DM402" s="589"/>
      <c r="DN402" s="589"/>
      <c r="DO402" s="589"/>
      <c r="DP402" s="589"/>
      <c r="DQ402" s="589"/>
      <c r="DR402" s="589"/>
      <c r="DS402" s="589"/>
      <c r="DT402" s="589"/>
      <c r="DU402" s="589"/>
      <c r="DV402" s="589"/>
      <c r="DW402" s="589"/>
      <c r="DX402" s="589"/>
      <c r="DY402" s="589"/>
      <c r="DZ402" s="589"/>
      <c r="EA402" s="589"/>
      <c r="EB402" s="589"/>
      <c r="EC402" s="589"/>
      <c r="ED402" s="589"/>
      <c r="EE402" s="589"/>
      <c r="EF402" s="589"/>
      <c r="EG402" s="589"/>
      <c r="EH402" s="589"/>
      <c r="EI402" s="589"/>
      <c r="EJ402" s="589"/>
      <c r="EK402" s="589"/>
      <c r="EL402" s="589"/>
      <c r="EM402" s="589"/>
      <c r="EN402" s="589"/>
      <c r="EO402" s="589"/>
      <c r="EP402" s="589"/>
      <c r="EQ402" s="589"/>
      <c r="ER402" s="589"/>
      <c r="ES402" s="589"/>
      <c r="ET402" s="589"/>
      <c r="EU402" s="589"/>
      <c r="EV402" s="589"/>
      <c r="EW402" s="589"/>
      <c r="EX402" s="589"/>
      <c r="EY402" s="589"/>
      <c r="EZ402" s="589"/>
      <c r="FA402" s="589"/>
      <c r="FB402" s="589"/>
      <c r="FC402" s="589"/>
      <c r="FD402" s="589"/>
      <c r="FE402" s="589"/>
      <c r="FF402" s="589"/>
      <c r="FG402" s="589"/>
      <c r="FH402" s="589"/>
      <c r="FI402" s="589"/>
      <c r="FJ402" s="589"/>
      <c r="FK402" s="589"/>
      <c r="FL402" s="589"/>
      <c r="FM402" s="589"/>
      <c r="FN402" s="589"/>
      <c r="FO402" s="589"/>
      <c r="FP402" s="589"/>
      <c r="FQ402" s="589"/>
      <c r="FR402" s="589"/>
      <c r="FS402" s="589"/>
      <c r="FT402" s="589"/>
      <c r="FU402" s="589"/>
      <c r="FV402" s="589"/>
      <c r="FW402" s="589"/>
      <c r="FX402" s="589"/>
      <c r="FY402" s="589"/>
      <c r="FZ402" s="589"/>
      <c r="GA402" s="589"/>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0.25">
      <c r="A403" s="617"/>
      <c r="B403" s="732"/>
      <c r="C403" s="732"/>
      <c r="D403" s="732"/>
      <c r="E403" s="747">
        <f>+E408-SUM(F408:AO408)</f>
        <v>0</v>
      </c>
      <c r="F403" s="732"/>
      <c r="G403" s="732"/>
      <c r="H403" s="747">
        <f>+H408-H405</f>
        <v>0</v>
      </c>
      <c r="I403" s="732"/>
      <c r="J403" s="732"/>
      <c r="K403" s="747">
        <f t="shared" ref="K403" si="1199">+K408-K405</f>
        <v>0</v>
      </c>
      <c r="L403" s="732"/>
      <c r="M403" s="732"/>
      <c r="N403" s="747">
        <f t="shared" ref="N403" si="1200">+N408-N405</f>
        <v>0</v>
      </c>
      <c r="O403" s="732"/>
      <c r="P403" s="732"/>
      <c r="Q403" s="747">
        <f t="shared" ref="Q403" si="1201">+Q408-Q405</f>
        <v>0</v>
      </c>
      <c r="R403" s="732"/>
      <c r="S403" s="732"/>
      <c r="T403" s="747">
        <f t="shared" ref="T403" si="1202">+T408-T405</f>
        <v>0</v>
      </c>
      <c r="U403" s="732"/>
      <c r="V403" s="732"/>
      <c r="W403" s="747">
        <f t="shared" ref="W403" si="1203">+W408-W405</f>
        <v>0</v>
      </c>
      <c r="X403" s="732"/>
      <c r="Y403" s="732"/>
      <c r="Z403" s="747">
        <f t="shared" ref="Z403" si="1204">+Z408-Z405</f>
        <v>0</v>
      </c>
      <c r="AA403" s="732"/>
      <c r="AB403" s="732"/>
      <c r="AC403" s="747">
        <f t="shared" ref="AC403" si="1205">+AC408-AC405</f>
        <v>0</v>
      </c>
      <c r="AD403" s="732"/>
      <c r="AE403" s="732"/>
      <c r="AF403" s="747">
        <f t="shared" ref="AF403" si="1206">+AF408-AF405</f>
        <v>0</v>
      </c>
      <c r="AG403" s="732"/>
      <c r="AH403" s="732"/>
      <c r="AI403" s="747">
        <f t="shared" ref="AI403" si="1207">+AI408-AI405</f>
        <v>0</v>
      </c>
      <c r="AJ403" s="732"/>
      <c r="AK403" s="732"/>
      <c r="AL403" s="747">
        <f t="shared" ref="AL403" si="1208">+AL408-AL405</f>
        <v>0</v>
      </c>
      <c r="AM403" s="732"/>
      <c r="AN403" s="732"/>
      <c r="AO403" s="747">
        <f t="shared" ref="AO403" si="1209">+AO408-AO405</f>
        <v>0</v>
      </c>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35.25">
      <c r="A404" s="617"/>
      <c r="B404" s="784" t="str">
        <f>B4</f>
        <v xml:space="preserve">Budget 2022  </v>
      </c>
      <c r="C404" s="785" t="s">
        <v>193</v>
      </c>
      <c r="D404" s="785"/>
      <c r="E404" s="785"/>
      <c r="F404" s="785"/>
      <c r="G404" s="785"/>
      <c r="H404" s="1196"/>
      <c r="I404" s="785"/>
      <c r="J404" s="785"/>
      <c r="K404" s="785"/>
      <c r="L404" s="785"/>
      <c r="M404" s="785"/>
      <c r="N404" s="785"/>
      <c r="O404" s="785"/>
      <c r="P404" s="785"/>
      <c r="Q404" s="785"/>
      <c r="R404" s="785"/>
      <c r="S404" s="785"/>
      <c r="T404" s="785"/>
      <c r="U404" s="785"/>
      <c r="V404" s="785"/>
      <c r="W404" s="785"/>
      <c r="X404" s="785"/>
      <c r="Y404" s="785"/>
      <c r="Z404" s="785"/>
      <c r="AA404" s="785"/>
      <c r="AB404" s="785"/>
      <c r="AC404" s="785"/>
      <c r="AD404" s="785"/>
      <c r="AE404" s="785"/>
      <c r="AF404" s="785"/>
      <c r="AG404" s="785"/>
      <c r="AH404" s="785"/>
      <c r="AI404" s="785"/>
      <c r="AJ404" s="785"/>
      <c r="AK404" s="785"/>
      <c r="AL404" s="785"/>
      <c r="AM404" s="785"/>
      <c r="AN404" s="785"/>
      <c r="AO404" s="785"/>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1" thickBot="1">
      <c r="A405" s="617"/>
      <c r="B405" s="862"/>
      <c r="C405" s="1197"/>
      <c r="D405" s="1197"/>
      <c r="E405" s="1197"/>
      <c r="F405" s="863"/>
      <c r="G405" s="863"/>
      <c r="H405" s="1198">
        <f>+F362+F316+G252+G196+H96+H8</f>
        <v>3013237.8887348697</v>
      </c>
      <c r="I405" s="863"/>
      <c r="J405" s="863"/>
      <c r="K405" s="1198">
        <f t="shared" ref="K405" si="1210">+I362+I316+J252+J196+K96+K8</f>
        <v>3063809.1271078121</v>
      </c>
      <c r="L405" s="863"/>
      <c r="M405" s="863"/>
      <c r="N405" s="1198">
        <f t="shared" ref="N405" si="1211">+L362+L316+M252+M196+N96+N8</f>
        <v>5036825.4105494414</v>
      </c>
      <c r="O405" s="863"/>
      <c r="P405" s="863"/>
      <c r="Q405" s="1198">
        <f t="shared" ref="Q405" si="1212">+O362+O316+P252+P196+Q96+Q8</f>
        <v>5458038.9390158504</v>
      </c>
      <c r="R405" s="863"/>
      <c r="S405" s="863"/>
      <c r="T405" s="1198">
        <f t="shared" ref="T405" si="1213">+R362+R316+S252+S196+T96+T8</f>
        <v>6023595.7978889085</v>
      </c>
      <c r="U405" s="863"/>
      <c r="V405" s="863"/>
      <c r="W405" s="1198">
        <f t="shared" ref="W405" si="1214">+U362+U316+V252+V196+W96+W8</f>
        <v>5215482.7763500381</v>
      </c>
      <c r="X405" s="863"/>
      <c r="Y405" s="863"/>
      <c r="Z405" s="1198">
        <f t="shared" ref="Z405" si="1215">+X362+X316+Y252+Y196+Z96+Z8</f>
        <v>5494518.5913875327</v>
      </c>
      <c r="AA405" s="863"/>
      <c r="AB405" s="863"/>
      <c r="AC405" s="1198">
        <f t="shared" ref="AC405" si="1216">+AA362+AA316+AB252+AB196+AC96+AC8</f>
        <v>5291083.2460958883</v>
      </c>
      <c r="AD405" s="863"/>
      <c r="AE405" s="863"/>
      <c r="AF405" s="1198">
        <f t="shared" ref="AF405" si="1217">+AD362+AD316+AE252+AE196+AF96+AF8</f>
        <v>4625273.705059493</v>
      </c>
      <c r="AG405" s="863"/>
      <c r="AH405" s="863"/>
      <c r="AI405" s="1198">
        <f t="shared" ref="AI405" si="1218">+AG362+AG316+AH252+AH196+AI96+AI8</f>
        <v>5228481.0007511191</v>
      </c>
      <c r="AJ405" s="863"/>
      <c r="AK405" s="863"/>
      <c r="AL405" s="1198">
        <f t="shared" ref="AL405" si="1219">+AJ362+AJ316+AK252+AK196+AL96+AL8</f>
        <v>4883911.9567251373</v>
      </c>
      <c r="AM405" s="863"/>
      <c r="AN405" s="863"/>
      <c r="AO405" s="1198">
        <f t="shared" ref="AO405" si="1220">+AM362+AM316+AN252+AN196+AO96+AO8</f>
        <v>3157527.0824868092</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1" thickTop="1">
      <c r="A406" s="617"/>
      <c r="B406" s="864" t="s">
        <v>1932</v>
      </c>
      <c r="C406" s="1271">
        <v>2022</v>
      </c>
      <c r="D406" s="1272"/>
      <c r="E406" s="1273"/>
      <c r="F406" s="1024" t="s">
        <v>1933</v>
      </c>
      <c r="G406" s="1025"/>
      <c r="H406" s="1026"/>
      <c r="I406" s="1024" t="s">
        <v>1934</v>
      </c>
      <c r="J406" s="1025"/>
      <c r="K406" s="1026"/>
      <c r="L406" s="1024" t="s">
        <v>1935</v>
      </c>
      <c r="M406" s="1025"/>
      <c r="N406" s="1026"/>
      <c r="O406" s="1024" t="s">
        <v>1936</v>
      </c>
      <c r="P406" s="1025"/>
      <c r="Q406" s="1026"/>
      <c r="R406" s="1024" t="s">
        <v>1937</v>
      </c>
      <c r="S406" s="1025"/>
      <c r="T406" s="1026"/>
      <c r="U406" s="1024" t="s">
        <v>1916</v>
      </c>
      <c r="V406" s="1025"/>
      <c r="W406" s="1026"/>
      <c r="X406" s="1024" t="s">
        <v>1938</v>
      </c>
      <c r="Y406" s="1025"/>
      <c r="Z406" s="1026"/>
      <c r="AA406" s="1024" t="s">
        <v>1939</v>
      </c>
      <c r="AB406" s="1025"/>
      <c r="AC406" s="1026"/>
      <c r="AD406" s="1024" t="s">
        <v>3</v>
      </c>
      <c r="AE406" s="1025"/>
      <c r="AF406" s="1026"/>
      <c r="AG406" s="1024" t="s">
        <v>1940</v>
      </c>
      <c r="AH406" s="1025"/>
      <c r="AI406" s="1026"/>
      <c r="AJ406" s="1024" t="s">
        <v>1941</v>
      </c>
      <c r="AK406" s="1025"/>
      <c r="AL406" s="1026"/>
      <c r="AM406" s="1024" t="s">
        <v>1942</v>
      </c>
      <c r="AN406" s="1025"/>
      <c r="AO406" s="1026"/>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c r="B407" s="865"/>
      <c r="C407" s="866" t="s">
        <v>199</v>
      </c>
      <c r="D407" s="867" t="s">
        <v>200</v>
      </c>
      <c r="E407" s="868" t="s">
        <v>201</v>
      </c>
      <c r="F407" s="866" t="s">
        <v>199</v>
      </c>
      <c r="G407" s="867" t="s">
        <v>200</v>
      </c>
      <c r="H407" s="868" t="s">
        <v>201</v>
      </c>
      <c r="I407" s="866" t="s">
        <v>199</v>
      </c>
      <c r="J407" s="867" t="s">
        <v>200</v>
      </c>
      <c r="K407" s="868" t="s">
        <v>201</v>
      </c>
      <c r="L407" s="866" t="s">
        <v>199</v>
      </c>
      <c r="M407" s="867" t="s">
        <v>200</v>
      </c>
      <c r="N407" s="868" t="s">
        <v>201</v>
      </c>
      <c r="O407" s="866" t="s">
        <v>199</v>
      </c>
      <c r="P407" s="867" t="s">
        <v>200</v>
      </c>
      <c r="Q407" s="868" t="s">
        <v>201</v>
      </c>
      <c r="R407" s="866" t="s">
        <v>199</v>
      </c>
      <c r="S407" s="867" t="s">
        <v>200</v>
      </c>
      <c r="T407" s="868" t="s">
        <v>201</v>
      </c>
      <c r="U407" s="866" t="s">
        <v>199</v>
      </c>
      <c r="V407" s="867" t="s">
        <v>200</v>
      </c>
      <c r="W407" s="868" t="s">
        <v>201</v>
      </c>
      <c r="X407" s="866" t="s">
        <v>199</v>
      </c>
      <c r="Y407" s="867" t="s">
        <v>200</v>
      </c>
      <c r="Z407" s="868" t="s">
        <v>201</v>
      </c>
      <c r="AA407" s="866" t="s">
        <v>199</v>
      </c>
      <c r="AB407" s="867" t="s">
        <v>200</v>
      </c>
      <c r="AC407" s="868" t="s">
        <v>201</v>
      </c>
      <c r="AD407" s="866" t="s">
        <v>199</v>
      </c>
      <c r="AE407" s="867" t="s">
        <v>200</v>
      </c>
      <c r="AF407" s="868" t="s">
        <v>201</v>
      </c>
      <c r="AG407" s="866" t="s">
        <v>199</v>
      </c>
      <c r="AH407" s="867" t="s">
        <v>200</v>
      </c>
      <c r="AI407" s="868" t="s">
        <v>201</v>
      </c>
      <c r="AJ407" s="866" t="s">
        <v>199</v>
      </c>
      <c r="AK407" s="867" t="s">
        <v>200</v>
      </c>
      <c r="AL407" s="868" t="s">
        <v>201</v>
      </c>
      <c r="AM407" s="866" t="s">
        <v>199</v>
      </c>
      <c r="AN407" s="867" t="s">
        <v>200</v>
      </c>
      <c r="AO407" s="868" t="s">
        <v>201</v>
      </c>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B408</f>
        <v>Ventes nettes</v>
      </c>
      <c r="B408" s="869" t="s">
        <v>88</v>
      </c>
      <c r="C408" s="870"/>
      <c r="D408" s="871"/>
      <c r="E408" s="872">
        <f>+SUM(H408,K408,N408,Q408,T408,W408,Z408,AC408,AF408,AI408,AL408,AO408)</f>
        <v>56491785.522152901</v>
      </c>
      <c r="F408" s="870"/>
      <c r="G408" s="871"/>
      <c r="H408" s="872">
        <f>+F362+F316+G252+G196+H96+H8</f>
        <v>3013237.8887348697</v>
      </c>
      <c r="I408" s="870"/>
      <c r="J408" s="871"/>
      <c r="K408" s="872">
        <f t="shared" ref="K408" si="1221">+I362+I316+J252+J196+K96+K8</f>
        <v>3063809.1271078121</v>
      </c>
      <c r="L408" s="870"/>
      <c r="M408" s="871"/>
      <c r="N408" s="872">
        <f t="shared" ref="N408" si="1222">+L362+L316+M252+M196+N96+N8</f>
        <v>5036825.4105494414</v>
      </c>
      <c r="O408" s="870"/>
      <c r="P408" s="871"/>
      <c r="Q408" s="872">
        <f t="shared" ref="Q408" si="1223">+O362+O316+P252+P196+Q96+Q8</f>
        <v>5458038.9390158504</v>
      </c>
      <c r="R408" s="870"/>
      <c r="S408" s="871"/>
      <c r="T408" s="872">
        <f t="shared" ref="T408" si="1224">+R362+R316+S252+S196+T96+T8</f>
        <v>6023595.7978889085</v>
      </c>
      <c r="U408" s="870"/>
      <c r="V408" s="871"/>
      <c r="W408" s="872">
        <f t="shared" ref="W408" si="1225">+U362+U316+V252+V196+W96+W8</f>
        <v>5215482.7763500381</v>
      </c>
      <c r="X408" s="870"/>
      <c r="Y408" s="871"/>
      <c r="Z408" s="872">
        <f t="shared" ref="Z408" si="1226">+X362+X316+Y252+Y196+Z96+Z8</f>
        <v>5494518.5913875327</v>
      </c>
      <c r="AA408" s="870"/>
      <c r="AB408" s="871"/>
      <c r="AC408" s="872">
        <f t="shared" ref="AC408" si="1227">+AA362+AA316+AB252+AB196+AC96+AC8</f>
        <v>5291083.2460958883</v>
      </c>
      <c r="AD408" s="870"/>
      <c r="AE408" s="871"/>
      <c r="AF408" s="872">
        <f t="shared" ref="AF408" si="1228">+AD362+AD316+AE252+AE196+AF96+AF8</f>
        <v>4625273.705059493</v>
      </c>
      <c r="AG408" s="870"/>
      <c r="AH408" s="871"/>
      <c r="AI408" s="872">
        <f t="shared" ref="AI408" si="1229">+AG362+AG316+AH252+AH196+AI96+AI8</f>
        <v>5228481.0007511191</v>
      </c>
      <c r="AJ408" s="870"/>
      <c r="AK408" s="871"/>
      <c r="AL408" s="872">
        <f t="shared" ref="AL408" si="1230">+AJ362+AJ316+AK252+AK196+AL96+AL8</f>
        <v>4883911.9567251373</v>
      </c>
      <c r="AM408" s="870"/>
      <c r="AN408" s="871"/>
      <c r="AO408" s="872">
        <f t="shared" ref="AO408" si="1231">+AM362+AM316+AN252+AN196+AO96+AO8</f>
        <v>3157527.0824868092</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ref="A409:A473" si="1232">B409</f>
        <v>Profit brut</v>
      </c>
      <c r="B409" s="873" t="s">
        <v>205</v>
      </c>
      <c r="C409" s="874"/>
      <c r="D409" s="875"/>
      <c r="E409" s="876">
        <f>E30+E110+E196+E252+E316+E364</f>
        <v>7644877.7551749842</v>
      </c>
      <c r="F409" s="874"/>
      <c r="G409" s="875"/>
      <c r="H409" s="876">
        <f>H30+H110+H196+H252+H316+H364</f>
        <v>443419.94122287974</v>
      </c>
      <c r="I409" s="874"/>
      <c r="J409" s="875"/>
      <c r="K409" s="876">
        <f t="shared" ref="K409" si="1233">K30+K110+K196+K252+K316+K364</f>
        <v>443091.25151556043</v>
      </c>
      <c r="L409" s="874"/>
      <c r="M409" s="875"/>
      <c r="N409" s="876">
        <f t="shared" ref="N409" si="1234">N30+N110+N196+N252+N316+N364</f>
        <v>640681.83503232198</v>
      </c>
      <c r="O409" s="874"/>
      <c r="P409" s="875"/>
      <c r="Q409" s="876">
        <f t="shared" ref="Q409" si="1235">Q30+Q110+Q196+Q252+Q316+Q364</f>
        <v>748131.54660489713</v>
      </c>
      <c r="R409" s="874"/>
      <c r="S409" s="875"/>
      <c r="T409" s="876">
        <f t="shared" ref="T409" si="1236">T30+T110+T196+T252+T316+T364</f>
        <v>766209.10586005112</v>
      </c>
      <c r="U409" s="874"/>
      <c r="V409" s="875"/>
      <c r="W409" s="876">
        <f t="shared" ref="W409" si="1237">W30+W110+W196+W252+W316+W364</f>
        <v>694233.42505536077</v>
      </c>
      <c r="X409" s="874"/>
      <c r="Y409" s="875"/>
      <c r="Z409" s="876">
        <f t="shared" ref="Z409" si="1238">Z30+Z110+Z196+Z252+Z316+Z364</f>
        <v>679542.09706568439</v>
      </c>
      <c r="AA409" s="874"/>
      <c r="AB409" s="875"/>
      <c r="AC409" s="876">
        <f t="shared" ref="AC409" si="1239">AC30+AC110+AC196+AC252+AC316+AC364</f>
        <v>666529.57667616615</v>
      </c>
      <c r="AD409" s="874"/>
      <c r="AE409" s="875"/>
      <c r="AF409" s="876">
        <f t="shared" ref="AF409" si="1240">AF30+AF110+AF196+AF252+AF316+AF364</f>
        <v>591783.96469165315</v>
      </c>
      <c r="AG409" s="874"/>
      <c r="AH409" s="875"/>
      <c r="AI409" s="876">
        <f t="shared" ref="AI409" si="1241">AI30+AI110+AI196+AI252+AI316+AI364</f>
        <v>724484.02574821387</v>
      </c>
      <c r="AJ409" s="874"/>
      <c r="AK409" s="875"/>
      <c r="AL409" s="876">
        <f t="shared" ref="AL409" si="1242">AL30+AL110+AL196+AL252+AL316+AL364</f>
        <v>773093.32555774378</v>
      </c>
      <c r="AM409" s="874"/>
      <c r="AN409" s="875"/>
      <c r="AO409" s="876">
        <f t="shared" ref="AO409" si="1243">AO30+AO110+AO196+AO252+AO316+AO364</f>
        <v>473677.66014445201</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232"/>
        <v>DÉPENSES</v>
      </c>
      <c r="B410" s="877" t="s">
        <v>206</v>
      </c>
      <c r="C410" s="878"/>
      <c r="D410" s="1199"/>
      <c r="E410" s="879"/>
      <c r="F410" s="878"/>
      <c r="G410" s="1199"/>
      <c r="H410" s="879"/>
      <c r="I410" s="878"/>
      <c r="J410" s="1199"/>
      <c r="K410" s="879"/>
      <c r="L410" s="878"/>
      <c r="M410" s="1199"/>
      <c r="N410" s="879"/>
      <c r="O410" s="878"/>
      <c r="P410" s="1199"/>
      <c r="Q410" s="879"/>
      <c r="R410" s="878"/>
      <c r="S410" s="1199"/>
      <c r="T410" s="879"/>
      <c r="U410" s="878"/>
      <c r="V410" s="1199"/>
      <c r="W410" s="879"/>
      <c r="X410" s="878"/>
      <c r="Y410" s="1199"/>
      <c r="Z410" s="879"/>
      <c r="AA410" s="878"/>
      <c r="AB410" s="1199"/>
      <c r="AC410" s="879"/>
      <c r="AD410" s="878"/>
      <c r="AE410" s="1199"/>
      <c r="AF410" s="879"/>
      <c r="AG410" s="878"/>
      <c r="AH410" s="1199"/>
      <c r="AI410" s="879"/>
      <c r="AJ410" s="878"/>
      <c r="AK410" s="1199"/>
      <c r="AL410" s="879"/>
      <c r="AM410" s="878"/>
      <c r="AN410" s="1199"/>
      <c r="AO410" s="879"/>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232"/>
        <v>Comm. vendeurs</v>
      </c>
      <c r="B411" s="880" t="s">
        <v>103</v>
      </c>
      <c r="C411" s="881">
        <f>E411/(E99+E20+E18+E16)</f>
        <v>0.34609257887802841</v>
      </c>
      <c r="D411" s="1200">
        <f>IF(E411=0,0,E411/(C$16+C$99+C18+C20))</f>
        <v>578.36313325291746</v>
      </c>
      <c r="E411" s="879">
        <f t="shared" ref="E411:E420" si="1244">+SUM(H411,K411,N411,Q411,T411,W411,Z411,AC411,AF411,AI411,AL411,AO411)</f>
        <v>751872.07322879264</v>
      </c>
      <c r="F411" s="880"/>
      <c r="G411" s="1200">
        <f t="shared" ref="G411:G417" si="1245">IF(H411=0,0,H411/(F$16+F$99))</f>
        <v>690.03518112585482</v>
      </c>
      <c r="H411" s="879">
        <f t="shared" ref="H411:H420" si="1246">+SUMIF($B$4:$B$401,$B411,H$4:H$401)</f>
        <v>43144.883544682772</v>
      </c>
      <c r="I411" s="880"/>
      <c r="J411" s="1200">
        <f t="shared" ref="J411:J417" si="1247">IF(K411=0,0,K411/(I$16+I$99))</f>
        <v>679.41918632081831</v>
      </c>
      <c r="K411" s="879">
        <f t="shared" ref="K411:AO420" si="1248">+SUMIF($B$4:$B$401,$B411,K$4:K$401)</f>
        <v>43868.473216569088</v>
      </c>
      <c r="L411" s="880"/>
      <c r="M411" s="1200">
        <f t="shared" ref="M411:M417" si="1249">IF(N411=0,0,N411/(L$16+L$99))</f>
        <v>604.79628676207005</v>
      </c>
      <c r="N411" s="879">
        <f t="shared" si="1248"/>
        <v>67930.854758905232</v>
      </c>
      <c r="O411" s="880"/>
      <c r="P411" s="1200">
        <f t="shared" ref="P411:P417" si="1250">IF(Q411=0,0,Q411/(O$16+O$99))</f>
        <v>598.32002819221077</v>
      </c>
      <c r="Q411" s="879">
        <f t="shared" si="1248"/>
        <v>70834.561538141366</v>
      </c>
      <c r="R411" s="880"/>
      <c r="S411" s="1200">
        <f t="shared" ref="S411:S417" si="1251">IF(T411=0,0,T411/(R$16+R$99))</f>
        <v>592.20314527558082</v>
      </c>
      <c r="T411" s="879">
        <f t="shared" si="1248"/>
        <v>78257.70950617356</v>
      </c>
      <c r="U411" s="880"/>
      <c r="V411" s="1200">
        <f t="shared" ref="V411:V417" si="1252">IF(W411=0,0,W411/(U$16+U$99))</f>
        <v>596.91497446734923</v>
      </c>
      <c r="W411" s="879">
        <f t="shared" si="1248"/>
        <v>68407.517380264457</v>
      </c>
      <c r="X411" s="880"/>
      <c r="Y411" s="1200">
        <f t="shared" ref="Y411:Y417" si="1253">IF(Z411=0,0,Z411/(X$16+X$99))</f>
        <v>596.10741315198209</v>
      </c>
      <c r="Z411" s="879">
        <f t="shared" si="1248"/>
        <v>72864.282132539403</v>
      </c>
      <c r="AA411" s="880"/>
      <c r="AB411" s="1200">
        <f t="shared" ref="AB411:AB417" si="1254">IF(AC411=0,0,AC411/(AA$16+AA$99))</f>
        <v>606.91926758612487</v>
      </c>
      <c r="AC411" s="879">
        <f t="shared" si="1248"/>
        <v>70467.898916782142</v>
      </c>
      <c r="AD411" s="880"/>
      <c r="AE411" s="1200">
        <f t="shared" ref="AE411:AE417" si="1255">IF(AF411=0,0,AF411/(AD$16+AD$99))</f>
        <v>626.09573192565244</v>
      </c>
      <c r="AF411" s="879">
        <f t="shared" si="1248"/>
        <v>62766.613440309797</v>
      </c>
      <c r="AG411" s="880"/>
      <c r="AH411" s="1200">
        <f t="shared" ref="AH411:AH417" si="1256">IF(AI411=0,0,AI411/(AG$16+AG$99))</f>
        <v>607.49116390434085</v>
      </c>
      <c r="AI411" s="879">
        <f t="shared" si="1248"/>
        <v>67103.918799905194</v>
      </c>
      <c r="AJ411" s="880"/>
      <c r="AK411" s="1200">
        <f t="shared" ref="AK411:AK417" si="1257">IF(AL411=0,0,AL411/(AJ$16+AJ$99))</f>
        <v>628.31344977384799</v>
      </c>
      <c r="AL411" s="879">
        <f t="shared" si="1248"/>
        <v>61290.224156591386</v>
      </c>
      <c r="AM411" s="880"/>
      <c r="AN411" s="1200">
        <f t="shared" ref="AN411:AN417" si="1258">IF(AO411=0,0,AO411/(AM$16+AM$99))</f>
        <v>672.1869562443826</v>
      </c>
      <c r="AO411" s="879">
        <f t="shared" si="1248"/>
        <v>44935.135837928312</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232"/>
        <v>Comm. F&amp;I</v>
      </c>
      <c r="B412" s="869" t="s">
        <v>104</v>
      </c>
      <c r="C412" s="883">
        <f>E412/(E107+E27)</f>
        <v>0.3</v>
      </c>
      <c r="D412" s="884">
        <f t="shared" ref="D412:D417" si="1259">IF(E412=0,0,E412/(C$16+C$99))</f>
        <v>385.8538511806471</v>
      </c>
      <c r="E412" s="872">
        <f t="shared" si="1244"/>
        <v>469969.99073802819</v>
      </c>
      <c r="F412" s="869"/>
      <c r="G412" s="884">
        <f t="shared" si="1245"/>
        <v>400.27163667692997</v>
      </c>
      <c r="H412" s="872">
        <f t="shared" si="1246"/>
        <v>25027.235745413273</v>
      </c>
      <c r="I412" s="869"/>
      <c r="J412" s="884">
        <f t="shared" si="1247"/>
        <v>401.33073459927533</v>
      </c>
      <c r="K412" s="872">
        <f t="shared" si="1248"/>
        <v>25912.966451672961</v>
      </c>
      <c r="L412" s="869"/>
      <c r="M412" s="884">
        <f t="shared" si="1249"/>
        <v>391.50454883994286</v>
      </c>
      <c r="N412" s="872">
        <f t="shared" si="1248"/>
        <v>43973.878852797221</v>
      </c>
      <c r="O412" s="869"/>
      <c r="P412" s="884">
        <f t="shared" si="1250"/>
        <v>383.05868206470524</v>
      </c>
      <c r="Q412" s="872">
        <f t="shared" si="1248"/>
        <v>45349.967423645961</v>
      </c>
      <c r="R412" s="869"/>
      <c r="S412" s="884">
        <f t="shared" si="1251"/>
        <v>374.60457924226642</v>
      </c>
      <c r="T412" s="872">
        <f t="shared" si="1248"/>
        <v>49502.770419062275</v>
      </c>
      <c r="U412" s="869"/>
      <c r="V412" s="884">
        <f t="shared" si="1252"/>
        <v>394.78195325142599</v>
      </c>
      <c r="W412" s="872">
        <f t="shared" si="1248"/>
        <v>45242.713759292499</v>
      </c>
      <c r="X412" s="869"/>
      <c r="Y412" s="884">
        <f t="shared" si="1253"/>
        <v>382.36926211806554</v>
      </c>
      <c r="Z412" s="872">
        <f t="shared" si="1248"/>
        <v>46738.324635929748</v>
      </c>
      <c r="AA412" s="869"/>
      <c r="AB412" s="884">
        <f t="shared" si="1254"/>
        <v>379.65781686311249</v>
      </c>
      <c r="AC412" s="872">
        <f t="shared" si="1248"/>
        <v>44081.132517150676</v>
      </c>
      <c r="AD412" s="869"/>
      <c r="AE412" s="884">
        <f t="shared" si="1255"/>
        <v>376.67017100777247</v>
      </c>
      <c r="AF412" s="872">
        <f t="shared" si="1248"/>
        <v>37761.495267544349</v>
      </c>
      <c r="AG412" s="869"/>
      <c r="AH412" s="884">
        <f t="shared" si="1256"/>
        <v>381.94703167086197</v>
      </c>
      <c r="AI412" s="872">
        <f t="shared" si="1248"/>
        <v>42190.148798842798</v>
      </c>
      <c r="AJ412" s="869"/>
      <c r="AK412" s="884">
        <f t="shared" si="1257"/>
        <v>379.38097289120964</v>
      </c>
      <c r="AL412" s="872">
        <f t="shared" si="1248"/>
        <v>37007.555508508201</v>
      </c>
      <c r="AM412" s="869"/>
      <c r="AN412" s="884">
        <f t="shared" si="1258"/>
        <v>406.61393316106012</v>
      </c>
      <c r="AO412" s="872">
        <f t="shared" si="1248"/>
        <v>27181.801358168246</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232"/>
        <v>Frais de livraison</v>
      </c>
      <c r="B413" s="880" t="s">
        <v>105</v>
      </c>
      <c r="C413" s="880"/>
      <c r="D413" s="1200">
        <f t="shared" si="1259"/>
        <v>139.66430648945789</v>
      </c>
      <c r="E413" s="879">
        <f t="shared" si="1244"/>
        <v>170111.12530415971</v>
      </c>
      <c r="F413" s="880"/>
      <c r="G413" s="1200">
        <f t="shared" si="1245"/>
        <v>133.74939886524507</v>
      </c>
      <c r="H413" s="879">
        <f t="shared" si="1246"/>
        <v>8362.7652561092109</v>
      </c>
      <c r="I413" s="880"/>
      <c r="J413" s="1200">
        <f t="shared" si="1247"/>
        <v>133.31490312543232</v>
      </c>
      <c r="K413" s="879">
        <f t="shared" si="1248"/>
        <v>8607.824705094481</v>
      </c>
      <c r="L413" s="880"/>
      <c r="M413" s="1200">
        <f t="shared" si="1249"/>
        <v>137.34610341481047</v>
      </c>
      <c r="N413" s="879">
        <f t="shared" si="1248"/>
        <v>15426.74518179301</v>
      </c>
      <c r="O413" s="880"/>
      <c r="P413" s="1200">
        <f t="shared" si="1250"/>
        <v>140.81102677594785</v>
      </c>
      <c r="Q413" s="879">
        <f t="shared" si="1248"/>
        <v>16670.488821085397</v>
      </c>
      <c r="R413" s="880"/>
      <c r="S413" s="1200">
        <f t="shared" si="1251"/>
        <v>144.27932898180427</v>
      </c>
      <c r="T413" s="879">
        <f t="shared" si="1248"/>
        <v>19066.041619805063</v>
      </c>
      <c r="U413" s="880"/>
      <c r="V413" s="1200">
        <f t="shared" si="1252"/>
        <v>136.00154572624527</v>
      </c>
      <c r="W413" s="879">
        <f t="shared" si="1248"/>
        <v>15586.018949035179</v>
      </c>
      <c r="X413" s="880"/>
      <c r="Y413" s="1200">
        <f t="shared" si="1253"/>
        <v>141.09386184099409</v>
      </c>
      <c r="Z413" s="879">
        <f t="shared" si="1248"/>
        <v>17246.393400799036</v>
      </c>
      <c r="AA413" s="880"/>
      <c r="AB413" s="1200">
        <f t="shared" si="1254"/>
        <v>142.20623434891436</v>
      </c>
      <c r="AC413" s="879">
        <f t="shared" si="1248"/>
        <v>16511.215053843229</v>
      </c>
      <c r="AD413" s="880"/>
      <c r="AE413" s="1200">
        <f t="shared" si="1255"/>
        <v>143.43191836625221</v>
      </c>
      <c r="AF413" s="879">
        <f t="shared" si="1248"/>
        <v>14379.168098474882</v>
      </c>
      <c r="AG413" s="880"/>
      <c r="AH413" s="1200">
        <f t="shared" si="1256"/>
        <v>141.26708220774063</v>
      </c>
      <c r="AI413" s="879">
        <f t="shared" si="1248"/>
        <v>15604.465343401225</v>
      </c>
      <c r="AJ413" s="880"/>
      <c r="AK413" s="1200">
        <f t="shared" si="1257"/>
        <v>142.31980980199268</v>
      </c>
      <c r="AL413" s="879">
        <f t="shared" si="1248"/>
        <v>13882.900402382329</v>
      </c>
      <c r="AM413" s="880"/>
      <c r="AN413" s="1200">
        <f t="shared" si="1258"/>
        <v>131.1474668390909</v>
      </c>
      <c r="AO413" s="879">
        <f t="shared" si="1248"/>
        <v>8767.0984723366491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232"/>
        <v>Service gratuit 1</v>
      </c>
      <c r="B414" s="880" t="s">
        <v>106</v>
      </c>
      <c r="C414" s="880"/>
      <c r="D414" s="1200">
        <f t="shared" si="1259"/>
        <v>17.870615499367979</v>
      </c>
      <c r="E414" s="879">
        <f t="shared" si="1244"/>
        <v>21766.409678230197</v>
      </c>
      <c r="F414" s="880"/>
      <c r="G414" s="1200">
        <f t="shared" si="1245"/>
        <v>19.194952770972929</v>
      </c>
      <c r="H414" s="879">
        <f t="shared" si="1246"/>
        <v>1200.1764904190659</v>
      </c>
      <c r="I414" s="880"/>
      <c r="J414" s="1200">
        <f t="shared" si="1247"/>
        <v>19.292235592471631</v>
      </c>
      <c r="K414" s="879">
        <f t="shared" si="1248"/>
        <v>1245.6535485243921</v>
      </c>
      <c r="L414" s="880"/>
      <c r="M414" s="1200">
        <f t="shared" si="1249"/>
        <v>18.389657034748399</v>
      </c>
      <c r="N414" s="879">
        <f t="shared" si="1248"/>
        <v>2065.5304082331854</v>
      </c>
      <c r="O414" s="880"/>
      <c r="P414" s="1200">
        <f t="shared" si="1250"/>
        <v>17.61386687166539</v>
      </c>
      <c r="Q414" s="879">
        <f t="shared" si="1248"/>
        <v>2085.2896076626012</v>
      </c>
      <c r="R414" s="880"/>
      <c r="S414" s="1200">
        <f t="shared" si="1251"/>
        <v>16.837320191273808</v>
      </c>
      <c r="T414" s="879">
        <f t="shared" si="1248"/>
        <v>2224.9968155403326</v>
      </c>
      <c r="U414" s="880"/>
      <c r="V414" s="1200">
        <f t="shared" si="1252"/>
        <v>18.690701104059087</v>
      </c>
      <c r="W414" s="879">
        <f t="shared" si="1248"/>
        <v>2141.9875783250059</v>
      </c>
      <c r="X414" s="880"/>
      <c r="Y414" s="1200">
        <f t="shared" si="1253"/>
        <v>17.550540604857062</v>
      </c>
      <c r="Z414" s="879">
        <f t="shared" si="1248"/>
        <v>2145.263611886759</v>
      </c>
      <c r="AA414" s="880"/>
      <c r="AB414" s="1200">
        <f t="shared" si="1254"/>
        <v>17.301482383538922</v>
      </c>
      <c r="AC414" s="879">
        <f t="shared" si="1248"/>
        <v>2008.8324375707803</v>
      </c>
      <c r="AD414" s="880"/>
      <c r="AE414" s="1200">
        <f t="shared" si="1255"/>
        <v>17.027053917280842</v>
      </c>
      <c r="AF414" s="879">
        <f t="shared" si="1248"/>
        <v>1706.97619670116</v>
      </c>
      <c r="AG414" s="880"/>
      <c r="AH414" s="1200">
        <f t="shared" si="1256"/>
        <v>17.511756873570288</v>
      </c>
      <c r="AI414" s="879">
        <f t="shared" si="1248"/>
        <v>1934.3614872277908</v>
      </c>
      <c r="AJ414" s="880"/>
      <c r="AK414" s="1200">
        <f t="shared" si="1257"/>
        <v>17.276053042083909</v>
      </c>
      <c r="AL414" s="879">
        <f t="shared" si="1248"/>
        <v>1685.2307775229124</v>
      </c>
      <c r="AM414" s="880"/>
      <c r="AN414" s="1200">
        <f t="shared" si="1258"/>
        <v>19.777520712746515</v>
      </c>
      <c r="AO414" s="879">
        <f t="shared" si="1248"/>
        <v>1322.1107186162128</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232"/>
        <v>Entretien stock</v>
      </c>
      <c r="B415" s="869" t="s">
        <v>107</v>
      </c>
      <c r="C415" s="869"/>
      <c r="D415" s="884">
        <f t="shared" si="1259"/>
        <v>46.078956098517601</v>
      </c>
      <c r="E415" s="872">
        <f t="shared" si="1244"/>
        <v>56124.168527994436</v>
      </c>
      <c r="F415" s="869"/>
      <c r="G415" s="884">
        <f t="shared" si="1245"/>
        <v>49.675150941015531</v>
      </c>
      <c r="H415" s="872">
        <f t="shared" si="1246"/>
        <v>3105.9700447704454</v>
      </c>
      <c r="I415" s="869"/>
      <c r="J415" s="884">
        <f t="shared" si="1247"/>
        <v>49.939319282750176</v>
      </c>
      <c r="K415" s="872">
        <f t="shared" si="1248"/>
        <v>3224.4625034397418</v>
      </c>
      <c r="L415" s="869"/>
      <c r="M415" s="884">
        <f t="shared" si="1249"/>
        <v>47.488396527778633</v>
      </c>
      <c r="N415" s="872">
        <f t="shared" si="1248"/>
        <v>5333.9073633084754</v>
      </c>
      <c r="O415" s="869"/>
      <c r="P415" s="884">
        <f t="shared" si="1250"/>
        <v>45.38176353997585</v>
      </c>
      <c r="Q415" s="872">
        <f t="shared" si="1248"/>
        <v>5372.7055266635789</v>
      </c>
      <c r="R415" s="869"/>
      <c r="S415" s="884">
        <f t="shared" si="1251"/>
        <v>43.273076253995619</v>
      </c>
      <c r="T415" s="872">
        <f t="shared" si="1248"/>
        <v>5718.3955504792302</v>
      </c>
      <c r="U415" s="869"/>
      <c r="V415" s="884">
        <f t="shared" si="1252"/>
        <v>48.305871919155102</v>
      </c>
      <c r="W415" s="872">
        <f t="shared" si="1248"/>
        <v>5535.9388090860903</v>
      </c>
      <c r="X415" s="869"/>
      <c r="Y415" s="884">
        <f t="shared" si="1253"/>
        <v>45.209803119489621</v>
      </c>
      <c r="Z415" s="872">
        <f t="shared" si="1248"/>
        <v>5526.1514568938528</v>
      </c>
      <c r="AA415" s="869"/>
      <c r="AB415" s="884">
        <f t="shared" si="1254"/>
        <v>44.533493609676803</v>
      </c>
      <c r="AC415" s="872">
        <f t="shared" si="1248"/>
        <v>5170.674080885964</v>
      </c>
      <c r="AD415" s="869"/>
      <c r="AE415" s="884">
        <f t="shared" si="1255"/>
        <v>43.788292023833094</v>
      </c>
      <c r="AF415" s="872">
        <f t="shared" si="1248"/>
        <v>4389.8123857482296</v>
      </c>
      <c r="AG415" s="869"/>
      <c r="AH415" s="884">
        <f t="shared" si="1256"/>
        <v>45.104487156995205</v>
      </c>
      <c r="AI415" s="872">
        <f t="shared" si="1248"/>
        <v>4982.2746790947122</v>
      </c>
      <c r="AJ415" s="869"/>
      <c r="AK415" s="884">
        <f t="shared" si="1257"/>
        <v>44.464441058978878</v>
      </c>
      <c r="AL415" s="872">
        <f t="shared" si="1248"/>
        <v>4337.3821784067632</v>
      </c>
      <c r="AM415" s="869"/>
      <c r="AN415" s="884">
        <f t="shared" si="1258"/>
        <v>51.257095263304265</v>
      </c>
      <c r="AO415" s="872">
        <f t="shared" si="1248"/>
        <v>3426.4939492173567</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232"/>
        <v>Publicité 1</v>
      </c>
      <c r="B416" s="880" t="s">
        <v>108</v>
      </c>
      <c r="C416" s="880"/>
      <c r="D416" s="1200">
        <f t="shared" si="1259"/>
        <v>148.0886699507389</v>
      </c>
      <c r="E416" s="879">
        <f t="shared" si="1244"/>
        <v>180372</v>
      </c>
      <c r="F416" s="880"/>
      <c r="G416" s="1200">
        <f t="shared" si="1245"/>
        <v>139.16965975444671</v>
      </c>
      <c r="H416" s="879">
        <f t="shared" si="1246"/>
        <v>8701.6704760790744</v>
      </c>
      <c r="I416" s="880"/>
      <c r="J416" s="1200">
        <f t="shared" si="1247"/>
        <v>138.51448943229795</v>
      </c>
      <c r="K416" s="879">
        <f t="shared" si="1248"/>
        <v>8943.5495672008437</v>
      </c>
      <c r="L416" s="880"/>
      <c r="M416" s="1200">
        <f t="shared" si="1249"/>
        <v>144.59308250061235</v>
      </c>
      <c r="N416" s="879">
        <f t="shared" si="1248"/>
        <v>16240.727500292433</v>
      </c>
      <c r="O416" s="880"/>
      <c r="P416" s="1200">
        <f t="shared" si="1250"/>
        <v>149.81779415305652</v>
      </c>
      <c r="Q416" s="879">
        <f t="shared" si="1248"/>
        <v>17736.791782664637</v>
      </c>
      <c r="R416" s="880"/>
      <c r="S416" s="1200">
        <f t="shared" si="1251"/>
        <v>155.04760072031854</v>
      </c>
      <c r="T416" s="879">
        <f t="shared" si="1248"/>
        <v>20489.033524388815</v>
      </c>
      <c r="U416" s="880"/>
      <c r="V416" s="1200">
        <f t="shared" si="1252"/>
        <v>142.5656419223815</v>
      </c>
      <c r="W416" s="879">
        <f t="shared" si="1248"/>
        <v>16338.276043981754</v>
      </c>
      <c r="X416" s="880"/>
      <c r="Y416" s="1200">
        <f t="shared" si="1253"/>
        <v>150.24427736958049</v>
      </c>
      <c r="Z416" s="879">
        <f t="shared" si="1248"/>
        <v>18364.880512340624</v>
      </c>
      <c r="AA416" s="880"/>
      <c r="AB416" s="1200">
        <f t="shared" si="1254"/>
        <v>151.92160901540421</v>
      </c>
      <c r="AC416" s="879">
        <f t="shared" si="1248"/>
        <v>17639.243238975316</v>
      </c>
      <c r="AD416" s="880"/>
      <c r="AE416" s="1200">
        <f t="shared" si="1255"/>
        <v>153.76980157268414</v>
      </c>
      <c r="AF416" s="879">
        <f t="shared" si="1248"/>
        <v>15415.549415136273</v>
      </c>
      <c r="AG416" s="880"/>
      <c r="AH416" s="1200">
        <f t="shared" si="1256"/>
        <v>150.50547404675149</v>
      </c>
      <c r="AI416" s="879">
        <f t="shared" si="1248"/>
        <v>16624.944870745116</v>
      </c>
      <c r="AJ416" s="880"/>
      <c r="AK416" s="1200">
        <f t="shared" si="1257"/>
        <v>152.09286792398078</v>
      </c>
      <c r="AL416" s="879">
        <f t="shared" si="1248"/>
        <v>14836.234957304947</v>
      </c>
      <c r="AM416" s="880"/>
      <c r="AN416" s="1200">
        <f t="shared" si="1258"/>
        <v>135.2462412083427</v>
      </c>
      <c r="AO416" s="879">
        <f t="shared" si="1248"/>
        <v>9041.0981108901633</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232"/>
        <v>Intérêt de gros</v>
      </c>
      <c r="B417" s="880" t="s">
        <v>109</v>
      </c>
      <c r="C417" s="880"/>
      <c r="D417" s="1200">
        <f t="shared" si="1259"/>
        <v>76.931076160343892</v>
      </c>
      <c r="E417" s="879">
        <f t="shared" si="1244"/>
        <v>93702.050763298859</v>
      </c>
      <c r="F417" s="880"/>
      <c r="G417" s="1200">
        <f t="shared" si="1245"/>
        <v>100.98923703843231</v>
      </c>
      <c r="H417" s="879">
        <f t="shared" si="1246"/>
        <v>6314.4155406401314</v>
      </c>
      <c r="I417" s="880"/>
      <c r="J417" s="1200">
        <f t="shared" si="1247"/>
        <v>112.15503118991158</v>
      </c>
      <c r="K417" s="879">
        <f t="shared" si="1248"/>
        <v>7241.5823410893117</v>
      </c>
      <c r="L417" s="880"/>
      <c r="M417" s="1200">
        <f t="shared" si="1249"/>
        <v>73.552727457011827</v>
      </c>
      <c r="N417" s="879">
        <f t="shared" si="1248"/>
        <v>8261.4588670073299</v>
      </c>
      <c r="O417" s="880"/>
      <c r="P417" s="1200">
        <f t="shared" si="1250"/>
        <v>76.630654361470832</v>
      </c>
      <c r="Q417" s="879">
        <f t="shared" si="1248"/>
        <v>9072.2331633730064</v>
      </c>
      <c r="R417" s="880"/>
      <c r="S417" s="1200">
        <f t="shared" si="1251"/>
        <v>67.093247494206267</v>
      </c>
      <c r="T417" s="879">
        <f t="shared" si="1248"/>
        <v>8866.153302485518</v>
      </c>
      <c r="U417" s="880"/>
      <c r="V417" s="1200">
        <f t="shared" si="1252"/>
        <v>69.000053298476843</v>
      </c>
      <c r="W417" s="879">
        <f t="shared" si="1248"/>
        <v>7907.5287891155349</v>
      </c>
      <c r="X417" s="880"/>
      <c r="Y417" s="1200">
        <f t="shared" si="1253"/>
        <v>66.332859902788286</v>
      </c>
      <c r="Z417" s="879">
        <f t="shared" si="1248"/>
        <v>8108.0961450527884</v>
      </c>
      <c r="AA417" s="880"/>
      <c r="AB417" s="1200">
        <f t="shared" si="1254"/>
        <v>73.821579645014324</v>
      </c>
      <c r="AC417" s="879">
        <f t="shared" si="1248"/>
        <v>8571.2414980528774</v>
      </c>
      <c r="AD417" s="880"/>
      <c r="AE417" s="1200">
        <f t="shared" si="1255"/>
        <v>91.303248923389674</v>
      </c>
      <c r="AF417" s="879">
        <f t="shared" si="1248"/>
        <v>9153.2259985112014</v>
      </c>
      <c r="AG417" s="880"/>
      <c r="AH417" s="1200">
        <f t="shared" si="1256"/>
        <v>74.329748569785579</v>
      </c>
      <c r="AI417" s="879">
        <f t="shared" si="1248"/>
        <v>8210.5184549312598</v>
      </c>
      <c r="AJ417" s="880"/>
      <c r="AK417" s="1200">
        <f t="shared" si="1257"/>
        <v>63.022566358858178</v>
      </c>
      <c r="AL417" s="879">
        <f t="shared" si="1248"/>
        <v>6147.6755279524614</v>
      </c>
      <c r="AM417" s="880"/>
      <c r="AN417" s="1200">
        <f t="shared" si="1258"/>
        <v>87.47934628103819</v>
      </c>
      <c r="AO417" s="879">
        <f t="shared" si="1248"/>
        <v>5847.9211350874375</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232"/>
        <v>[...]</v>
      </c>
      <c r="B418" s="885" t="s">
        <v>42</v>
      </c>
      <c r="C418" s="880"/>
      <c r="D418" s="1200"/>
      <c r="E418" s="879">
        <f t="shared" si="1244"/>
        <v>0</v>
      </c>
      <c r="F418" s="880"/>
      <c r="G418" s="1200"/>
      <c r="H418" s="879">
        <f t="shared" si="1246"/>
        <v>0</v>
      </c>
      <c r="I418" s="880"/>
      <c r="J418" s="1200"/>
      <c r="K418" s="879">
        <f t="shared" si="1248"/>
        <v>0</v>
      </c>
      <c r="L418" s="880"/>
      <c r="M418" s="1200"/>
      <c r="N418" s="879">
        <f t="shared" si="1248"/>
        <v>0</v>
      </c>
      <c r="O418" s="880"/>
      <c r="P418" s="1200"/>
      <c r="Q418" s="879">
        <f t="shared" si="1248"/>
        <v>0</v>
      </c>
      <c r="R418" s="880"/>
      <c r="S418" s="1200"/>
      <c r="T418" s="879">
        <f t="shared" si="1248"/>
        <v>0</v>
      </c>
      <c r="U418" s="880"/>
      <c r="V418" s="1200"/>
      <c r="W418" s="879">
        <f t="shared" si="1248"/>
        <v>0</v>
      </c>
      <c r="X418" s="880"/>
      <c r="Y418" s="1200"/>
      <c r="Z418" s="879">
        <f t="shared" si="1248"/>
        <v>0</v>
      </c>
      <c r="AA418" s="880"/>
      <c r="AB418" s="1200"/>
      <c r="AC418" s="879">
        <f t="shared" si="1248"/>
        <v>0</v>
      </c>
      <c r="AD418" s="880"/>
      <c r="AE418" s="1200"/>
      <c r="AF418" s="879">
        <f t="shared" si="1248"/>
        <v>0</v>
      </c>
      <c r="AG418" s="880"/>
      <c r="AH418" s="1200"/>
      <c r="AI418" s="879">
        <f t="shared" si="1248"/>
        <v>0</v>
      </c>
      <c r="AJ418" s="880"/>
      <c r="AK418" s="1200"/>
      <c r="AL418" s="879">
        <f t="shared" si="1248"/>
        <v>0</v>
      </c>
      <c r="AM418" s="880"/>
      <c r="AN418" s="1200"/>
      <c r="AO418" s="879">
        <f t="shared" si="1248"/>
        <v>0</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232"/>
        <v>[...]</v>
      </c>
      <c r="B419" s="885" t="s">
        <v>42</v>
      </c>
      <c r="C419" s="880"/>
      <c r="D419" s="1200"/>
      <c r="E419" s="879">
        <f t="shared" si="1244"/>
        <v>0</v>
      </c>
      <c r="F419" s="880"/>
      <c r="G419" s="1200"/>
      <c r="H419" s="879">
        <f t="shared" si="1246"/>
        <v>0</v>
      </c>
      <c r="I419" s="880"/>
      <c r="J419" s="1200"/>
      <c r="K419" s="879">
        <f t="shared" si="1248"/>
        <v>0</v>
      </c>
      <c r="L419" s="880"/>
      <c r="M419" s="1200"/>
      <c r="N419" s="879">
        <f t="shared" si="1248"/>
        <v>0</v>
      </c>
      <c r="O419" s="880"/>
      <c r="P419" s="1200"/>
      <c r="Q419" s="879">
        <f t="shared" si="1248"/>
        <v>0</v>
      </c>
      <c r="R419" s="880"/>
      <c r="S419" s="1200"/>
      <c r="T419" s="879">
        <f t="shared" si="1248"/>
        <v>0</v>
      </c>
      <c r="U419" s="880"/>
      <c r="V419" s="1200"/>
      <c r="W419" s="879">
        <f t="shared" si="1248"/>
        <v>0</v>
      </c>
      <c r="X419" s="880"/>
      <c r="Y419" s="1200"/>
      <c r="Z419" s="879">
        <f t="shared" si="1248"/>
        <v>0</v>
      </c>
      <c r="AA419" s="880"/>
      <c r="AB419" s="1200"/>
      <c r="AC419" s="879">
        <f t="shared" si="1248"/>
        <v>0</v>
      </c>
      <c r="AD419" s="880"/>
      <c r="AE419" s="1200"/>
      <c r="AF419" s="879">
        <f t="shared" si="1248"/>
        <v>0</v>
      </c>
      <c r="AG419" s="880"/>
      <c r="AH419" s="1200"/>
      <c r="AI419" s="879">
        <f t="shared" si="1248"/>
        <v>0</v>
      </c>
      <c r="AJ419" s="880"/>
      <c r="AK419" s="1200"/>
      <c r="AL419" s="879">
        <f t="shared" si="1248"/>
        <v>0</v>
      </c>
      <c r="AM419" s="880"/>
      <c r="AN419" s="1200"/>
      <c r="AO419" s="879">
        <f t="shared" si="1248"/>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232"/>
        <v>[...]</v>
      </c>
      <c r="B420" s="865" t="s">
        <v>42</v>
      </c>
      <c r="C420" s="880"/>
      <c r="D420" s="1200"/>
      <c r="E420" s="879">
        <f t="shared" si="1244"/>
        <v>0</v>
      </c>
      <c r="F420" s="880"/>
      <c r="G420" s="1200"/>
      <c r="H420" s="879">
        <f t="shared" si="1246"/>
        <v>0</v>
      </c>
      <c r="I420" s="880"/>
      <c r="J420" s="1200"/>
      <c r="K420" s="879">
        <f t="shared" si="1248"/>
        <v>0</v>
      </c>
      <c r="L420" s="880"/>
      <c r="M420" s="1200"/>
      <c r="N420" s="879">
        <f t="shared" si="1248"/>
        <v>0</v>
      </c>
      <c r="O420" s="880"/>
      <c r="P420" s="1200"/>
      <c r="Q420" s="879">
        <f t="shared" si="1248"/>
        <v>0</v>
      </c>
      <c r="R420" s="880"/>
      <c r="S420" s="1200"/>
      <c r="T420" s="879">
        <f t="shared" si="1248"/>
        <v>0</v>
      </c>
      <c r="U420" s="880"/>
      <c r="V420" s="1200"/>
      <c r="W420" s="879">
        <f t="shared" si="1248"/>
        <v>0</v>
      </c>
      <c r="X420" s="880"/>
      <c r="Y420" s="1200"/>
      <c r="Z420" s="879">
        <f t="shared" si="1248"/>
        <v>0</v>
      </c>
      <c r="AA420" s="880"/>
      <c r="AB420" s="1200"/>
      <c r="AC420" s="879">
        <f t="shared" si="1248"/>
        <v>0</v>
      </c>
      <c r="AD420" s="880"/>
      <c r="AE420" s="1200"/>
      <c r="AF420" s="879">
        <f t="shared" si="1248"/>
        <v>0</v>
      </c>
      <c r="AG420" s="880"/>
      <c r="AH420" s="1200"/>
      <c r="AI420" s="879">
        <f t="shared" si="1248"/>
        <v>0</v>
      </c>
      <c r="AJ420" s="880"/>
      <c r="AK420" s="1200"/>
      <c r="AL420" s="879">
        <f t="shared" si="1248"/>
        <v>0</v>
      </c>
      <c r="AM420" s="880"/>
      <c r="AN420" s="1200"/>
      <c r="AO420" s="879">
        <f t="shared" si="1248"/>
        <v>0</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232"/>
        <v>TOTAL VARIABLES</v>
      </c>
      <c r="B421" s="886" t="s">
        <v>110</v>
      </c>
      <c r="C421" s="887">
        <f>IFERROR(E421/E409,0)</f>
        <v>0.22811585405142787</v>
      </c>
      <c r="D421" s="929">
        <f>SUM(D411:D417)</f>
        <v>1392.8506086319908</v>
      </c>
      <c r="E421" s="889">
        <f>SUM(E411:E417)</f>
        <v>1743917.8182405042</v>
      </c>
      <c r="F421" s="887">
        <f>IFERROR(H421/H409,0)</f>
        <v>0.21617682965217055</v>
      </c>
      <c r="G421" s="888"/>
      <c r="H421" s="889">
        <f>SUM(H411:H417)</f>
        <v>95857.117098113958</v>
      </c>
      <c r="I421" s="887">
        <f t="shared" ref="I421" si="1260">IFERROR(K421/K409,0)</f>
        <v>0.22353073321763064</v>
      </c>
      <c r="J421" s="888"/>
      <c r="K421" s="889">
        <f t="shared" ref="K421" si="1261">SUM(K411:K417)</f>
        <v>99044.512333590814</v>
      </c>
      <c r="L421" s="887">
        <f t="shared" ref="L421" si="1262">IFERROR(N421/N409,0)</f>
        <v>0.24853694021823439</v>
      </c>
      <c r="M421" s="888"/>
      <c r="N421" s="889">
        <f t="shared" ref="N421" si="1263">SUM(N411:N417)</f>
        <v>159233.10293233691</v>
      </c>
      <c r="O421" s="887">
        <f t="shared" ref="O421" si="1264">IFERROR(Q421/Q409,0)</f>
        <v>0.22338589867203784</v>
      </c>
      <c r="P421" s="888"/>
      <c r="Q421" s="889">
        <f t="shared" ref="Q421" si="1265">SUM(Q411:Q417)</f>
        <v>167122.0378632365</v>
      </c>
      <c r="R421" s="887">
        <f t="shared" ref="R421" si="1266">IFERROR(T421/T409,0)</f>
        <v>0.24030659428310874</v>
      </c>
      <c r="S421" s="888"/>
      <c r="T421" s="889">
        <f t="shared" ref="T421" si="1267">SUM(T411:T417)</f>
        <v>184125.10073793482</v>
      </c>
      <c r="U421" s="887">
        <f t="shared" ref="U421" si="1268">IFERROR(W421/W409,0)</f>
        <v>0.23214091326162961</v>
      </c>
      <c r="V421" s="888"/>
      <c r="W421" s="889">
        <f t="shared" ref="W421" si="1269">SUM(W411:W417)</f>
        <v>161159.98130910055</v>
      </c>
      <c r="X421" s="887">
        <f t="shared" ref="X421" si="1270">IFERROR(Z421/Z409,0)</f>
        <v>0.25163031493384297</v>
      </c>
      <c r="Y421" s="888"/>
      <c r="Z421" s="889">
        <f t="shared" ref="Z421" si="1271">SUM(Z411:Z417)</f>
        <v>170993.39189544224</v>
      </c>
      <c r="AA421" s="887">
        <f t="shared" ref="AA421" si="1272">IFERROR(AC421/AC409,0)</f>
        <v>0.24672609213133129</v>
      </c>
      <c r="AB421" s="888"/>
      <c r="AC421" s="889">
        <f t="shared" ref="AC421" si="1273">SUM(AC411:AC417)</f>
        <v>164450.23774326101</v>
      </c>
      <c r="AD421" s="887">
        <f t="shared" ref="AD421" si="1274">IFERROR(AF421/AF409,0)</f>
        <v>0.24598983664296489</v>
      </c>
      <c r="AE421" s="888"/>
      <c r="AF421" s="889">
        <f t="shared" ref="AF421" si="1275">SUM(AF411:AF417)</f>
        <v>145572.84080242587</v>
      </c>
      <c r="AG421" s="887">
        <f t="shared" ref="AG421" si="1276">IFERROR(AI421/AI409,0)</f>
        <v>0.2162237218030674</v>
      </c>
      <c r="AH421" s="888"/>
      <c r="AI421" s="889">
        <f t="shared" ref="AI421" si="1277">SUM(AI411:AI417)</f>
        <v>156650.63243414811</v>
      </c>
      <c r="AJ421" s="887">
        <f t="shared" ref="AJ421" si="1278">IFERROR(AL421/AL409,0)</f>
        <v>0.18003932889765048</v>
      </c>
      <c r="AK421" s="888"/>
      <c r="AL421" s="889">
        <f t="shared" ref="AL421" si="1279">SUM(AL411:AL417)</f>
        <v>139187.20350866902</v>
      </c>
      <c r="AM421" s="887">
        <f t="shared" ref="AM421" si="1280">IFERROR(AO421/AO409,0)</f>
        <v>0.21221532708886767</v>
      </c>
      <c r="AN421" s="888"/>
      <c r="AO421" s="889">
        <f t="shared" ref="AO421" si="1281">SUM(AO411:AO417)</f>
        <v>100521.65958224438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232"/>
        <v>Salaires propriétaire</v>
      </c>
      <c r="B422" s="880" t="s">
        <v>213</v>
      </c>
      <c r="C422" s="880"/>
      <c r="D422" s="1200"/>
      <c r="E422" s="879">
        <f t="shared" ref="E422:E434" si="1282">+SUM(H422,K422,N422,Q422,T422,W422,Z422,AC422,AF422,AI422,AL422,AO422)</f>
        <v>184609.07536000002</v>
      </c>
      <c r="F422" s="880"/>
      <c r="G422" s="1200"/>
      <c r="H422" s="890">
        <v>15043.715813333336</v>
      </c>
      <c r="I422" s="880"/>
      <c r="J422" s="1200"/>
      <c r="K422" s="890">
        <v>14589.884080000002</v>
      </c>
      <c r="L422" s="880"/>
      <c r="M422" s="1200"/>
      <c r="N422" s="890">
        <v>15951.379280000001</v>
      </c>
      <c r="O422" s="880"/>
      <c r="P422" s="1200"/>
      <c r="Q422" s="890">
        <v>15043.715813333336</v>
      </c>
      <c r="R422" s="880"/>
      <c r="S422" s="1200"/>
      <c r="T422" s="890">
        <v>15497.547546666668</v>
      </c>
      <c r="U422" s="880"/>
      <c r="V422" s="1200"/>
      <c r="W422" s="890">
        <v>15497.547546666668</v>
      </c>
      <c r="X422" s="880"/>
      <c r="Y422" s="1200"/>
      <c r="Z422" s="890">
        <v>15497.547546666668</v>
      </c>
      <c r="AA422" s="880"/>
      <c r="AB422" s="1200"/>
      <c r="AC422" s="890">
        <v>15497.547546666668</v>
      </c>
      <c r="AD422" s="880"/>
      <c r="AE422" s="1200"/>
      <c r="AF422" s="890">
        <v>15497.547546666668</v>
      </c>
      <c r="AG422" s="880"/>
      <c r="AH422" s="1200"/>
      <c r="AI422" s="890">
        <v>15043.715813333336</v>
      </c>
      <c r="AJ422" s="880"/>
      <c r="AK422" s="1200"/>
      <c r="AL422" s="890">
        <v>15497.547546666668</v>
      </c>
      <c r="AM422" s="880"/>
      <c r="AN422" s="1200"/>
      <c r="AO422" s="890">
        <v>15951.379280000001</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232"/>
        <v>Salaires cadres</v>
      </c>
      <c r="B423" s="880" t="s">
        <v>112</v>
      </c>
      <c r="C423" s="880"/>
      <c r="D423" s="1200"/>
      <c r="E423" s="879">
        <f t="shared" si="1282"/>
        <v>457988.99999999994</v>
      </c>
      <c r="F423" s="880"/>
      <c r="G423" s="1200"/>
      <c r="H423" s="879">
        <v>37259.747126436778</v>
      </c>
      <c r="I423" s="880"/>
      <c r="J423" s="1200"/>
      <c r="K423" s="879">
        <v>36051.743295019158</v>
      </c>
      <c r="L423" s="880"/>
      <c r="M423" s="1200"/>
      <c r="N423" s="879">
        <v>39675.754789272032</v>
      </c>
      <c r="O423" s="880"/>
      <c r="P423" s="1200"/>
      <c r="Q423" s="879">
        <v>37259.747126436778</v>
      </c>
      <c r="R423" s="880"/>
      <c r="S423" s="1200"/>
      <c r="T423" s="879">
        <v>38467.750957854405</v>
      </c>
      <c r="U423" s="880"/>
      <c r="V423" s="1200"/>
      <c r="W423" s="879">
        <v>38467.750957854405</v>
      </c>
      <c r="X423" s="880"/>
      <c r="Y423" s="1200"/>
      <c r="Z423" s="879">
        <v>38467.750957854405</v>
      </c>
      <c r="AA423" s="880"/>
      <c r="AB423" s="1200"/>
      <c r="AC423" s="879">
        <v>38467.750957854405</v>
      </c>
      <c r="AD423" s="880"/>
      <c r="AE423" s="1200"/>
      <c r="AF423" s="879">
        <v>38467.750957854405</v>
      </c>
      <c r="AG423" s="880"/>
      <c r="AH423" s="1200"/>
      <c r="AI423" s="879">
        <v>37259.747126436778</v>
      </c>
      <c r="AJ423" s="880"/>
      <c r="AK423" s="1200"/>
      <c r="AL423" s="879">
        <v>38467.750957854405</v>
      </c>
      <c r="AM423" s="880"/>
      <c r="AN423" s="1200"/>
      <c r="AO423" s="879">
        <v>39675.754789272032</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232"/>
        <v>Salaires commis</v>
      </c>
      <c r="B424" s="869" t="s">
        <v>113</v>
      </c>
      <c r="C424" s="869"/>
      <c r="D424" s="884"/>
      <c r="E424" s="872">
        <f t="shared" si="1282"/>
        <v>317297.25054000015</v>
      </c>
      <c r="F424" s="869"/>
      <c r="G424" s="884"/>
      <c r="H424" s="872">
        <v>25568.902342298854</v>
      </c>
      <c r="I424" s="869"/>
      <c r="J424" s="884"/>
      <c r="K424" s="872">
        <v>24405.52207203065</v>
      </c>
      <c r="L424" s="869"/>
      <c r="M424" s="884"/>
      <c r="N424" s="872">
        <v>27895.662882835255</v>
      </c>
      <c r="O424" s="869"/>
      <c r="P424" s="884"/>
      <c r="Q424" s="872">
        <v>25568.902342298854</v>
      </c>
      <c r="R424" s="869"/>
      <c r="S424" s="884"/>
      <c r="T424" s="872">
        <v>26732.282612567054</v>
      </c>
      <c r="U424" s="869"/>
      <c r="V424" s="884"/>
      <c r="W424" s="872">
        <v>26732.282612567054</v>
      </c>
      <c r="X424" s="869"/>
      <c r="Y424" s="884"/>
      <c r="Z424" s="872">
        <v>26732.282612567054</v>
      </c>
      <c r="AA424" s="869"/>
      <c r="AB424" s="884"/>
      <c r="AC424" s="872">
        <v>26732.282612567054</v>
      </c>
      <c r="AD424" s="869"/>
      <c r="AE424" s="884"/>
      <c r="AF424" s="872">
        <v>26732.282612567054</v>
      </c>
      <c r="AG424" s="869"/>
      <c r="AH424" s="884"/>
      <c r="AI424" s="872">
        <v>25568.902342298854</v>
      </c>
      <c r="AJ424" s="869"/>
      <c r="AK424" s="884"/>
      <c r="AL424" s="872">
        <v>26732.282612567054</v>
      </c>
      <c r="AM424" s="869"/>
      <c r="AN424" s="884"/>
      <c r="AO424" s="872">
        <v>27895.662882835255</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232"/>
        <v>Salaires autres</v>
      </c>
      <c r="B425" s="880" t="s">
        <v>114</v>
      </c>
      <c r="C425" s="880"/>
      <c r="D425" s="1200"/>
      <c r="E425" s="879">
        <f t="shared" si="1282"/>
        <v>675464.17135999992</v>
      </c>
      <c r="F425" s="880"/>
      <c r="G425" s="1200"/>
      <c r="H425" s="879">
        <v>54420.077005977015</v>
      </c>
      <c r="I425" s="880"/>
      <c r="J425" s="1200"/>
      <c r="K425" s="879">
        <v>51928.605085057468</v>
      </c>
      <c r="L425" s="880"/>
      <c r="M425" s="1200"/>
      <c r="N425" s="879">
        <v>59403.020847816086</v>
      </c>
      <c r="O425" s="880"/>
      <c r="P425" s="1200"/>
      <c r="Q425" s="879">
        <v>54420.077005977015</v>
      </c>
      <c r="R425" s="880"/>
      <c r="S425" s="1200"/>
      <c r="T425" s="879">
        <v>56911.548926896547</v>
      </c>
      <c r="U425" s="880"/>
      <c r="V425" s="1200"/>
      <c r="W425" s="879">
        <v>56911.548926896547</v>
      </c>
      <c r="X425" s="880"/>
      <c r="Y425" s="1200"/>
      <c r="Z425" s="879">
        <v>56911.548926896547</v>
      </c>
      <c r="AA425" s="880"/>
      <c r="AB425" s="1200"/>
      <c r="AC425" s="879">
        <v>56911.548926896547</v>
      </c>
      <c r="AD425" s="880"/>
      <c r="AE425" s="1200"/>
      <c r="AF425" s="879">
        <v>56911.548926896547</v>
      </c>
      <c r="AG425" s="880"/>
      <c r="AH425" s="1200"/>
      <c r="AI425" s="879">
        <v>54420.077005977015</v>
      </c>
      <c r="AJ425" s="880"/>
      <c r="AK425" s="1200"/>
      <c r="AL425" s="879">
        <v>56911.548926896547</v>
      </c>
      <c r="AM425" s="880"/>
      <c r="AN425" s="1200"/>
      <c r="AO425" s="879">
        <v>59403.020847816086</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232"/>
        <v>Salaires spécialistes</v>
      </c>
      <c r="B426" s="880" t="s">
        <v>115</v>
      </c>
      <c r="C426" s="880"/>
      <c r="D426" s="1200"/>
      <c r="E426" s="879">
        <f t="shared" si="1282"/>
        <v>406556.64223627653</v>
      </c>
      <c r="F426" s="880"/>
      <c r="G426" s="1200"/>
      <c r="H426" s="879">
        <v>28269.988941915435</v>
      </c>
      <c r="I426" s="880"/>
      <c r="J426" s="1200"/>
      <c r="K426" s="879">
        <v>27365.953079306841</v>
      </c>
      <c r="L426" s="880"/>
      <c r="M426" s="1200"/>
      <c r="N426" s="879">
        <v>32854.503329004117</v>
      </c>
      <c r="O426" s="880"/>
      <c r="P426" s="1200"/>
      <c r="Q426" s="879">
        <v>39931.429587516213</v>
      </c>
      <c r="R426" s="880"/>
      <c r="S426" s="1200"/>
      <c r="T426" s="879">
        <v>36866.512348284632</v>
      </c>
      <c r="U426" s="880"/>
      <c r="V426" s="1200"/>
      <c r="W426" s="879">
        <v>32276.157801321722</v>
      </c>
      <c r="X426" s="880"/>
      <c r="Y426" s="1200"/>
      <c r="Z426" s="879">
        <v>31473.660258041866</v>
      </c>
      <c r="AA426" s="880"/>
      <c r="AB426" s="1200"/>
      <c r="AC426" s="879">
        <v>31383.738445112467</v>
      </c>
      <c r="AD426" s="880"/>
      <c r="AE426" s="1200"/>
      <c r="AF426" s="879">
        <v>29995.648333885685</v>
      </c>
      <c r="AG426" s="880"/>
      <c r="AH426" s="1200"/>
      <c r="AI426" s="879">
        <v>35996.825580752877</v>
      </c>
      <c r="AJ426" s="880"/>
      <c r="AK426" s="1200"/>
      <c r="AL426" s="879">
        <v>47596.913203579163</v>
      </c>
      <c r="AM426" s="880"/>
      <c r="AN426" s="1200"/>
      <c r="AO426" s="879">
        <v>32545.311327555519</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232"/>
        <v>[...]</v>
      </c>
      <c r="B427" s="885" t="s">
        <v>42</v>
      </c>
      <c r="C427" s="880"/>
      <c r="D427" s="1200"/>
      <c r="E427" s="879">
        <f t="shared" si="1282"/>
        <v>0</v>
      </c>
      <c r="F427" s="880"/>
      <c r="G427" s="1200"/>
      <c r="H427" s="879">
        <v>0</v>
      </c>
      <c r="I427" s="880"/>
      <c r="J427" s="1200"/>
      <c r="K427" s="879">
        <v>0</v>
      </c>
      <c r="L427" s="880"/>
      <c r="M427" s="1200"/>
      <c r="N427" s="879">
        <v>0</v>
      </c>
      <c r="O427" s="880"/>
      <c r="P427" s="1200"/>
      <c r="Q427" s="879">
        <v>0</v>
      </c>
      <c r="R427" s="880"/>
      <c r="S427" s="1200"/>
      <c r="T427" s="879">
        <v>0</v>
      </c>
      <c r="U427" s="880"/>
      <c r="V427" s="1200"/>
      <c r="W427" s="879">
        <v>0</v>
      </c>
      <c r="X427" s="880"/>
      <c r="Y427" s="1200"/>
      <c r="Z427" s="879">
        <v>0</v>
      </c>
      <c r="AA427" s="880"/>
      <c r="AB427" s="1200"/>
      <c r="AC427" s="879">
        <v>0</v>
      </c>
      <c r="AD427" s="880"/>
      <c r="AE427" s="1200"/>
      <c r="AF427" s="879">
        <v>0</v>
      </c>
      <c r="AG427" s="880"/>
      <c r="AH427" s="1200"/>
      <c r="AI427" s="879">
        <v>0</v>
      </c>
      <c r="AJ427" s="880"/>
      <c r="AK427" s="1200"/>
      <c r="AL427" s="879">
        <v>0</v>
      </c>
      <c r="AM427" s="880"/>
      <c r="AN427" s="1200"/>
      <c r="AO427" s="879">
        <v>0</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232"/>
        <v>[...]</v>
      </c>
      <c r="B428" s="885" t="s">
        <v>42</v>
      </c>
      <c r="C428" s="880"/>
      <c r="D428" s="1200"/>
      <c r="E428" s="879">
        <f t="shared" si="1282"/>
        <v>0</v>
      </c>
      <c r="F428" s="880"/>
      <c r="G428" s="1200"/>
      <c r="H428" s="879">
        <v>0</v>
      </c>
      <c r="I428" s="880"/>
      <c r="J428" s="1200"/>
      <c r="K428" s="879">
        <v>0</v>
      </c>
      <c r="L428" s="880"/>
      <c r="M428" s="1200"/>
      <c r="N428" s="879">
        <v>0</v>
      </c>
      <c r="O428" s="880"/>
      <c r="P428" s="1200"/>
      <c r="Q428" s="879">
        <v>0</v>
      </c>
      <c r="R428" s="880"/>
      <c r="S428" s="1200"/>
      <c r="T428" s="879">
        <v>0</v>
      </c>
      <c r="U428" s="880"/>
      <c r="V428" s="1200"/>
      <c r="W428" s="879">
        <v>0</v>
      </c>
      <c r="X428" s="880"/>
      <c r="Y428" s="1200"/>
      <c r="Z428" s="879">
        <v>0</v>
      </c>
      <c r="AA428" s="880"/>
      <c r="AB428" s="1200"/>
      <c r="AC428" s="879">
        <v>0</v>
      </c>
      <c r="AD428" s="880"/>
      <c r="AE428" s="1200"/>
      <c r="AF428" s="879">
        <v>0</v>
      </c>
      <c r="AG428" s="880"/>
      <c r="AH428" s="1200"/>
      <c r="AI428" s="879">
        <v>0</v>
      </c>
      <c r="AJ428" s="880"/>
      <c r="AK428" s="1200"/>
      <c r="AL428" s="879">
        <v>0</v>
      </c>
      <c r="AM428" s="880"/>
      <c r="AN428" s="1200"/>
      <c r="AO428" s="879">
        <v>0</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232"/>
        <v>[...]</v>
      </c>
      <c r="B429" s="885" t="s">
        <v>42</v>
      </c>
      <c r="C429" s="880"/>
      <c r="D429" s="1200"/>
      <c r="E429" s="879">
        <f t="shared" si="1282"/>
        <v>0</v>
      </c>
      <c r="F429" s="880"/>
      <c r="G429" s="1200"/>
      <c r="H429" s="879">
        <v>0</v>
      </c>
      <c r="I429" s="880"/>
      <c r="J429" s="1200"/>
      <c r="K429" s="879">
        <v>0</v>
      </c>
      <c r="L429" s="880"/>
      <c r="M429" s="1200"/>
      <c r="N429" s="879">
        <v>0</v>
      </c>
      <c r="O429" s="880"/>
      <c r="P429" s="1200"/>
      <c r="Q429" s="879">
        <v>0</v>
      </c>
      <c r="R429" s="880"/>
      <c r="S429" s="1200"/>
      <c r="T429" s="879">
        <v>0</v>
      </c>
      <c r="U429" s="880"/>
      <c r="V429" s="1200"/>
      <c r="W429" s="879">
        <v>0</v>
      </c>
      <c r="X429" s="880"/>
      <c r="Y429" s="1200"/>
      <c r="Z429" s="879">
        <v>0</v>
      </c>
      <c r="AA429" s="880"/>
      <c r="AB429" s="1200"/>
      <c r="AC429" s="879">
        <v>0</v>
      </c>
      <c r="AD429" s="880"/>
      <c r="AE429" s="1200"/>
      <c r="AF429" s="879">
        <v>0</v>
      </c>
      <c r="AG429" s="880"/>
      <c r="AH429" s="1200"/>
      <c r="AI429" s="879">
        <v>0</v>
      </c>
      <c r="AJ429" s="880"/>
      <c r="AK429" s="1200"/>
      <c r="AL429" s="879">
        <v>0</v>
      </c>
      <c r="AM429" s="880"/>
      <c r="AN429" s="1200"/>
      <c r="AO429" s="879">
        <v>0</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232"/>
        <v>Salaires en absences</v>
      </c>
      <c r="B430" s="869" t="s">
        <v>116</v>
      </c>
      <c r="C430" s="869"/>
      <c r="D430" s="1201">
        <f>+E430/(SUM(E$422:E$426,E$411:E$412)+D$196-E$196)</f>
        <v>0.10963917886113292</v>
      </c>
      <c r="E430" s="872">
        <f t="shared" si="1282"/>
        <v>472929.81717640383</v>
      </c>
      <c r="F430" s="869"/>
      <c r="G430" s="1201">
        <f>+H430/(SUM(H$422:H$426,H$411:H$412)+G$196-H$196)</f>
        <v>0.11981860096603972</v>
      </c>
      <c r="H430" s="872">
        <v>34587.24660872305</v>
      </c>
      <c r="I430" s="869"/>
      <c r="J430" s="1201">
        <f>+K430/(SUM(K$422:K$426,K$411:K$412)+J$196-K$196)</f>
        <v>0.11657867104302116</v>
      </c>
      <c r="K430" s="872">
        <v>33655.544674904158</v>
      </c>
      <c r="L430" s="869"/>
      <c r="M430" s="1201">
        <f>+N430/(SUM(N$422:N$426,N$411:N$412)+M$196-N$196)</f>
        <v>0.11360909602462498</v>
      </c>
      <c r="N430" s="872">
        <v>41707.618476492964</v>
      </c>
      <c r="O430" s="869"/>
      <c r="P430" s="1201">
        <f>+Q430/(SUM(Q$422:Q$426,Q$411:Q$412)+P$196-Q$196)</f>
        <v>0.10277429417404209</v>
      </c>
      <c r="Q430" s="872">
        <v>41383.490135764128</v>
      </c>
      <c r="R430" s="869"/>
      <c r="S430" s="1201">
        <f>+T430/(SUM(T$422:T$426,T$411:T$412)+S$196-T$196)</f>
        <v>0.10384029962278359</v>
      </c>
      <c r="T430" s="872">
        <v>42551.816629138484</v>
      </c>
      <c r="U430" s="869"/>
      <c r="V430" s="1201">
        <f>+W430/(SUM(W$422:W$426,W$411:W$412)+V$196-W$196)</f>
        <v>0.10855638958441334</v>
      </c>
      <c r="W430" s="872">
        <v>40828.51854315016</v>
      </c>
      <c r="X430" s="869"/>
      <c r="Y430" s="1201">
        <f>+Z430/(SUM(Z$422:Z$426,Z$411:Z$412)+Y$196-Z$196)</f>
        <v>0.1133113315160645</v>
      </c>
      <c r="Z430" s="872">
        <v>41821.547275255361</v>
      </c>
      <c r="AA430" s="869"/>
      <c r="AB430" s="1201">
        <f>+AC430/(SUM(AC$422:AC$426,AC$411:AC$412)+AB$196-AC$196)</f>
        <v>0.11260378982387188</v>
      </c>
      <c r="AC430" s="872">
        <v>40829.245266991187</v>
      </c>
      <c r="AD430" s="869"/>
      <c r="AE430" s="1201">
        <f>+AF430/(SUM(AF$422:AF$426,AF$411:AF$412)+AE$196-AF$196)</f>
        <v>0.11212348639876156</v>
      </c>
      <c r="AF430" s="872">
        <v>39074.315709122791</v>
      </c>
      <c r="AG430" s="869"/>
      <c r="AH430" s="1201">
        <f>+AI430/(SUM(AI$422:AI$426,AI$411:AI$412)+AH$196-AI$196)</f>
        <v>0.10617200462709293</v>
      </c>
      <c r="AI430" s="872">
        <v>40150.625488047583</v>
      </c>
      <c r="AJ430" s="869"/>
      <c r="AK430" s="1201">
        <f>+AL430/(SUM(AL$422:AL$426,AL$411:AL$412)+AK$196-AL$196)</f>
        <v>0.10077115962649316</v>
      </c>
      <c r="AL430" s="872">
        <v>40824.908683481714</v>
      </c>
      <c r="AM430" s="869"/>
      <c r="AN430" s="1201">
        <f>+AO430/(SUM(AO$422:AO$426,AO$411:AO$412)+AN$196-AO$196)</f>
        <v>0.11202476916549159</v>
      </c>
      <c r="AO430" s="872">
        <v>35514.939685332269</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232"/>
        <v>Déduction à la source</v>
      </c>
      <c r="B431" s="880" t="s">
        <v>117</v>
      </c>
      <c r="C431" s="880"/>
      <c r="D431" s="1202">
        <f t="shared" ref="D431:D432" si="1283">+E431/(SUM(E$422:E$426,E$411:E$412)+D$196-E$196)</f>
        <v>9.8193123314121736E-2</v>
      </c>
      <c r="E431" s="879">
        <f t="shared" si="1282"/>
        <v>423557.12929723604</v>
      </c>
      <c r="F431" s="880"/>
      <c r="G431" s="1202">
        <f t="shared" ref="G431:G432" si="1284">+H431/(SUM(H$422:H$426,H$411:H$412)+G$196-H$196)</f>
        <v>0.10730983925815135</v>
      </c>
      <c r="H431" s="879">
        <v>30976.424729045859</v>
      </c>
      <c r="I431" s="880"/>
      <c r="J431" s="1202">
        <f t="shared" ref="J431:J432" si="1285">+K431/(SUM(K$422:K$426,K$411:K$412)+J$196-K$196)</f>
        <v>0.10440814990070894</v>
      </c>
      <c r="K431" s="879">
        <v>30141.990142524926</v>
      </c>
      <c r="L431" s="880"/>
      <c r="M431" s="1202">
        <f t="shared" ref="M431:M432" si="1286">+N431/(SUM(N$422:N$426,N$411:N$412)+M$196-N$196)</f>
        <v>0.10174859107328253</v>
      </c>
      <c r="N431" s="879">
        <v>37353.447615544253</v>
      </c>
      <c r="O431" s="880"/>
      <c r="P431" s="1202">
        <f t="shared" ref="P431:P432" si="1287">+Q431/(SUM(Q$422:Q$426,Q$411:Q$412)+P$196-Q$196)</f>
        <v>9.2044915386821191E-2</v>
      </c>
      <c r="Q431" s="879">
        <v>37063.157461409653</v>
      </c>
      <c r="R431" s="880"/>
      <c r="S431" s="1202">
        <f t="shared" ref="S431:S432" si="1288">+T431/(SUM(T$422:T$426,T$411:T$412)+S$196-T$196)</f>
        <v>9.2999632537835053E-2</v>
      </c>
      <c r="T431" s="879">
        <v>38109.513596385528</v>
      </c>
      <c r="U431" s="880"/>
      <c r="V431" s="1202">
        <f t="shared" ref="V431:V432" si="1289">+W431/(SUM(W$422:W$426,W$411:W$412)+V$196-W$196)</f>
        <v>9.7223374524714953E-2</v>
      </c>
      <c r="W431" s="879">
        <v>36566.123512456063</v>
      </c>
      <c r="X431" s="880"/>
      <c r="Y431" s="1202">
        <f t="shared" ref="Y431:Y432" si="1290">+Z431/(SUM(Z$422:Z$426,Z$411:Z$412)+Y$196-Z$196)</f>
        <v>0.10148191243329854</v>
      </c>
      <c r="Z431" s="879">
        <v>37455.482533190567</v>
      </c>
      <c r="AA431" s="880"/>
      <c r="AB431" s="1202">
        <f t="shared" ref="AB431:AB432" si="1291">+AC431/(SUM(AC$422:AC$426,AC$411:AC$412)+AB$196-AC$196)</f>
        <v>0.10084823632086296</v>
      </c>
      <c r="AC431" s="879">
        <v>36566.774368149061</v>
      </c>
      <c r="AD431" s="880"/>
      <c r="AE431" s="1202">
        <f t="shared" ref="AE431:AE432" si="1292">+AF431/(SUM(AF$422:AF$426,AF$411:AF$412)+AE$196-AF$196)</f>
        <v>0.10041807536982383</v>
      </c>
      <c r="AF431" s="879">
        <v>34995.055058743899</v>
      </c>
      <c r="AG431" s="880"/>
      <c r="AH431" s="1202">
        <f t="shared" ref="AH431:AH432" si="1293">+AI431/(SUM(AI$422:AI$426,AI$411:AI$412)+AH$196-AI$196)</f>
        <v>9.5087913382315786E-2</v>
      </c>
      <c r="AI431" s="879">
        <v>35959.000793689775</v>
      </c>
      <c r="AJ431" s="880"/>
      <c r="AK431" s="1202">
        <f t="shared" ref="AK431:AK432" si="1294">+AL431/(SUM(AL$422:AL$426,AL$411:AL$412)+AK$196-AL$196)</f>
        <v>9.0250903066723648E-2</v>
      </c>
      <c r="AL431" s="879">
        <v>36562.890513091668</v>
      </c>
      <c r="AM431" s="880"/>
      <c r="AN431" s="1202">
        <f t="shared" ref="AN431:AN432" si="1295">+AO431/(SUM(AO$422:AO$426,AO$411:AO$412)+AN$196-AO$196)</f>
        <v>0.10032966396834858</v>
      </c>
      <c r="AO431" s="879">
        <v>31807.268973004699</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232"/>
        <v>Bénéfices marginaux</v>
      </c>
      <c r="B432" s="891" t="s">
        <v>118</v>
      </c>
      <c r="C432" s="880"/>
      <c r="D432" s="1202">
        <f t="shared" si="1283"/>
        <v>7.7976892043567225E-2</v>
      </c>
      <c r="E432" s="879">
        <f t="shared" si="1282"/>
        <v>336354.19091251085</v>
      </c>
      <c r="F432" s="880"/>
      <c r="G432" s="1202">
        <f t="shared" si="1284"/>
        <v>8.5216637057943731E-2</v>
      </c>
      <c r="H432" s="879">
        <v>24598.925520124656</v>
      </c>
      <c r="I432" s="880"/>
      <c r="J432" s="1202">
        <f t="shared" si="1285"/>
        <v>8.2912354332915938E-2</v>
      </c>
      <c r="K432" s="879">
        <v>23936.286289652151</v>
      </c>
      <c r="L432" s="880"/>
      <c r="M432" s="1202">
        <f t="shared" si="1286"/>
        <v>8.0800351734665529E-2</v>
      </c>
      <c r="N432" s="879">
        <v>29663.031929991022</v>
      </c>
      <c r="O432" s="880"/>
      <c r="P432" s="1202">
        <f t="shared" si="1287"/>
        <v>7.3094491630710967E-2</v>
      </c>
      <c r="Q432" s="879">
        <v>29432.50739582532</v>
      </c>
      <c r="R432" s="880"/>
      <c r="S432" s="1202">
        <f t="shared" si="1288"/>
        <v>7.3852649368280787E-2</v>
      </c>
      <c r="T432" s="879">
        <v>30263.437267717924</v>
      </c>
      <c r="U432" s="880"/>
      <c r="V432" s="1202">
        <f t="shared" si="1289"/>
        <v>7.7206797416685416E-2</v>
      </c>
      <c r="W432" s="879">
        <v>29037.803965773935</v>
      </c>
      <c r="X432" s="880"/>
      <c r="Y432" s="1202">
        <f t="shared" si="1290"/>
        <v>8.0588577520560603E-2</v>
      </c>
      <c r="Z432" s="879">
        <v>29744.059658710157</v>
      </c>
      <c r="AA432" s="880"/>
      <c r="AB432" s="1202">
        <f t="shared" si="1291"/>
        <v>8.0085364137155876E-2</v>
      </c>
      <c r="AC432" s="879">
        <v>29038.320821765432</v>
      </c>
      <c r="AD432" s="880"/>
      <c r="AE432" s="1202">
        <f t="shared" si="1292"/>
        <v>7.9743765734860111E-2</v>
      </c>
      <c r="AF432" s="879">
        <v>27790.190781943689</v>
      </c>
      <c r="AG432" s="880"/>
      <c r="AH432" s="1202">
        <f t="shared" si="1293"/>
        <v>7.5510990038897843E-2</v>
      </c>
      <c r="AI432" s="879">
        <v>28555.677100871297</v>
      </c>
      <c r="AJ432" s="880"/>
      <c r="AK432" s="1202">
        <f t="shared" si="1294"/>
        <v>7.1669834788280568E-2</v>
      </c>
      <c r="AL432" s="879">
        <v>29035.236583925744</v>
      </c>
      <c r="AM432" s="880"/>
      <c r="AN432" s="1202">
        <f t="shared" si="1295"/>
        <v>7.9673556680747409E-2</v>
      </c>
      <c r="AO432" s="879">
        <v>25258.713596209614</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232"/>
        <v>Csst</v>
      </c>
      <c r="B433" s="880" t="s">
        <v>119</v>
      </c>
      <c r="C433" s="880"/>
      <c r="D433" s="1202">
        <f>+E433/(SUM(E$422:E$426,E$411:E$412)+D$196-E$196)</f>
        <v>3.1768363425157022E-2</v>
      </c>
      <c r="E433" s="879">
        <f t="shared" si="1282"/>
        <v>137033.18889028221</v>
      </c>
      <c r="F433" s="880"/>
      <c r="G433" s="1202">
        <f>+H433/(SUM(H$422:H$426,H$411:H$412)+G$196-H$196)</f>
        <v>3.4717889171754848E-2</v>
      </c>
      <c r="H433" s="879">
        <v>10021.784471161896</v>
      </c>
      <c r="I433" s="880"/>
      <c r="J433" s="1202">
        <f>+K433/(SUM(K$422:K$426,K$411:K$412)+J$196-K$196)</f>
        <v>3.3779107320817611E-2</v>
      </c>
      <c r="K433" s="879">
        <v>9751.8203402286563</v>
      </c>
      <c r="L433" s="880"/>
      <c r="M433" s="1202">
        <f>+N433/(SUM(N$422:N$426,N$411:N$412)+M$196-N$196)</f>
        <v>3.2918661817826711E-2</v>
      </c>
      <c r="N433" s="879">
        <v>12084.93893444079</v>
      </c>
      <c r="O433" s="880"/>
      <c r="P433" s="1202">
        <f>+Q433/(SUM(Q$422:Q$426,Q$411:Q$412)+P$196-Q$196)</f>
        <v>2.977923733103038E-2</v>
      </c>
      <c r="Q433" s="879">
        <v>11991.021531632534</v>
      </c>
      <c r="R433" s="880"/>
      <c r="S433" s="1202">
        <f>+T433/(SUM(T$422:T$426,T$411:T$412)+S$196-T$196)</f>
        <v>3.0088116409299575E-2</v>
      </c>
      <c r="T433" s="879">
        <v>12329.548516477671</v>
      </c>
      <c r="U433" s="880"/>
      <c r="V433" s="1202">
        <f>+W433/(SUM(W$422:W$426,W$411:W$412)+V$196-W$196)</f>
        <v>3.1454621169760728E-2</v>
      </c>
      <c r="W433" s="879">
        <v>11830.216430500494</v>
      </c>
      <c r="X433" s="880"/>
      <c r="Y433" s="1202">
        <f>+Z433/(SUM(Z$422:Z$426,Z$411:Z$412)+Y$196-Z$196)</f>
        <v>3.2832383434302469E-2</v>
      </c>
      <c r="Z433" s="879">
        <v>12117.95023132636</v>
      </c>
      <c r="AA433" s="880"/>
      <c r="AB433" s="1202">
        <f>+AC433/(SUM(AC$422:AC$426,AC$411:AC$412)+AB$196-AC$196)</f>
        <v>3.2627370574396838E-2</v>
      </c>
      <c r="AC433" s="879">
        <v>11830.427001459992</v>
      </c>
      <c r="AD433" s="880"/>
      <c r="AE433" s="1202">
        <f>+AF433/(SUM(AF$422:AF$426,AF$411:AF$412)+AE$196-AF$196)</f>
        <v>3.2488200854943007E-2</v>
      </c>
      <c r="AF433" s="879">
        <v>11321.929577828911</v>
      </c>
      <c r="AG433" s="880"/>
      <c r="AH433" s="1202">
        <f>+AI433/(SUM(AI$422:AI$426,AI$411:AI$412)+AH$196-AI$196)</f>
        <v>3.0763736682513934E-2</v>
      </c>
      <c r="AI433" s="879">
        <v>11633.794374429046</v>
      </c>
      <c r="AJ433" s="880"/>
      <c r="AK433" s="1202">
        <f>+AL433/(SUM(AL$422:AL$426,AL$411:AL$412)+AK$196-AL$196)</f>
        <v>2.9198821580410601E-2</v>
      </c>
      <c r="AL433" s="879">
        <v>11829.170460117895</v>
      </c>
      <c r="AM433" s="880"/>
      <c r="AN433" s="1202">
        <f>+AO433/(SUM(AO$422:AO$426,AO$411:AO$412)+AN$196-AO$196)</f>
        <v>3.2459597166230425E-2</v>
      </c>
      <c r="AO433" s="879">
        <v>10290.587020677991</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232"/>
        <v>[...]</v>
      </c>
      <c r="B434" s="885" t="s">
        <v>42</v>
      </c>
      <c r="C434" s="880"/>
      <c r="D434" s="1200"/>
      <c r="E434" s="879">
        <f t="shared" si="1282"/>
        <v>0</v>
      </c>
      <c r="F434" s="880"/>
      <c r="G434" s="1200"/>
      <c r="H434" s="879">
        <f t="shared" ref="H434" si="1296">+SUMIF($B$4:$B$401,$B434,H$4:H$401)</f>
        <v>0</v>
      </c>
      <c r="I434" s="880"/>
      <c r="J434" s="1200"/>
      <c r="K434" s="879">
        <f t="shared" ref="K434:AO434" si="1297">+SUMIF($B$4:$B$401,$B434,K$4:K$401)</f>
        <v>0</v>
      </c>
      <c r="L434" s="880"/>
      <c r="M434" s="1200"/>
      <c r="N434" s="879">
        <f t="shared" si="1297"/>
        <v>0</v>
      </c>
      <c r="O434" s="880"/>
      <c r="P434" s="1200"/>
      <c r="Q434" s="879">
        <f t="shared" si="1297"/>
        <v>0</v>
      </c>
      <c r="R434" s="880"/>
      <c r="S434" s="1200"/>
      <c r="T434" s="879">
        <f t="shared" si="1297"/>
        <v>0</v>
      </c>
      <c r="U434" s="880"/>
      <c r="V434" s="1200"/>
      <c r="W434" s="879">
        <f t="shared" si="1297"/>
        <v>0</v>
      </c>
      <c r="X434" s="880"/>
      <c r="Y434" s="1200"/>
      <c r="Z434" s="879">
        <f t="shared" si="1297"/>
        <v>0</v>
      </c>
      <c r="AA434" s="880"/>
      <c r="AB434" s="1200"/>
      <c r="AC434" s="879">
        <f t="shared" si="1297"/>
        <v>0</v>
      </c>
      <c r="AD434" s="880"/>
      <c r="AE434" s="1200"/>
      <c r="AF434" s="879">
        <f t="shared" si="1297"/>
        <v>0</v>
      </c>
      <c r="AG434" s="880"/>
      <c r="AH434" s="1200"/>
      <c r="AI434" s="879">
        <f t="shared" si="1297"/>
        <v>0</v>
      </c>
      <c r="AJ434" s="880"/>
      <c r="AK434" s="1200"/>
      <c r="AL434" s="879">
        <f t="shared" si="1297"/>
        <v>0</v>
      </c>
      <c r="AM434" s="880"/>
      <c r="AN434" s="1200"/>
      <c r="AO434" s="879">
        <f t="shared" si="1297"/>
        <v>0</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232"/>
        <v>TOTAL PERSONNEL</v>
      </c>
      <c r="B435" s="886" t="s">
        <v>120</v>
      </c>
      <c r="C435" s="887">
        <f>IFERROR(E435/E409,0)</f>
        <v>0.44628450251715196</v>
      </c>
      <c r="D435" s="892"/>
      <c r="E435" s="889">
        <f>SUM(E422:E433)</f>
        <v>3411790.4657727093</v>
      </c>
      <c r="F435" s="887">
        <f>IFERROR(H435/H409,0)</f>
        <v>0.58803582860960146</v>
      </c>
      <c r="G435" s="892"/>
      <c r="H435" s="889">
        <f>SUM(H422:H433)</f>
        <v>260746.81255901686</v>
      </c>
      <c r="I435" s="887">
        <f t="shared" ref="I435" si="1298">IFERROR(K435/K409,0)</f>
        <v>0.5683419570965742</v>
      </c>
      <c r="J435" s="892"/>
      <c r="K435" s="889">
        <f t="shared" ref="K435" si="1299">SUM(K422:K433)</f>
        <v>251827.34905872401</v>
      </c>
      <c r="L435" s="887">
        <f t="shared" ref="L435" si="1300">IFERROR(N435/N409,0)</f>
        <v>0.46292768402031209</v>
      </c>
      <c r="M435" s="892"/>
      <c r="N435" s="889">
        <f t="shared" ref="N435" si="1301">SUM(N422:N433)</f>
        <v>296589.35808539647</v>
      </c>
      <c r="O435" s="887">
        <f t="shared" ref="O435" si="1302">IFERROR(Q435/Q409,0)</f>
        <v>0.39043140170435076</v>
      </c>
      <c r="P435" s="892"/>
      <c r="Q435" s="889">
        <f t="shared" ref="Q435" si="1303">SUM(Q422:Q433)</f>
        <v>292094.0484001938</v>
      </c>
      <c r="R435" s="887">
        <f t="shared" ref="R435" si="1304">IFERROR(T435/T409,0)</f>
        <v>0.38857533292794039</v>
      </c>
      <c r="S435" s="892"/>
      <c r="T435" s="889">
        <f t="shared" ref="T435" si="1305">SUM(T422:T433)</f>
        <v>297729.9584019889</v>
      </c>
      <c r="U435" s="887">
        <f t="shared" ref="U435" si="1306">IFERROR(W435/W409,0)</f>
        <v>0.41505917159521538</v>
      </c>
      <c r="V435" s="892"/>
      <c r="W435" s="889">
        <f t="shared" ref="W435" si="1307">SUM(W422:W433)</f>
        <v>288147.95029718708</v>
      </c>
      <c r="X435" s="887">
        <f t="shared" ref="X435" si="1308">IFERROR(Z435/Z409,0)</f>
        <v>0.4270844017665858</v>
      </c>
      <c r="Y435" s="892"/>
      <c r="Z435" s="889">
        <f t="shared" ref="Z435" si="1309">SUM(Z422:Z433)</f>
        <v>290221.83000050898</v>
      </c>
      <c r="AA435" s="887">
        <f t="shared" ref="AA435" si="1310">IFERROR(AC435/AC409,0)</f>
        <v>0.43097507747510982</v>
      </c>
      <c r="AB435" s="892"/>
      <c r="AC435" s="889">
        <f t="shared" ref="AC435" si="1311">SUM(AC422:AC433)</f>
        <v>287257.63594746287</v>
      </c>
      <c r="AD435" s="887">
        <f t="shared" ref="AD435" si="1312">IFERROR(AF435/AF409,0)</f>
        <v>0.47447427821369287</v>
      </c>
      <c r="AE435" s="892"/>
      <c r="AF435" s="889">
        <f t="shared" ref="AF435" si="1313">SUM(AF422:AF433)</f>
        <v>280786.26950550964</v>
      </c>
      <c r="AG435" s="887">
        <f t="shared" ref="AG435" si="1314">IFERROR(AI435/AI409,0)</f>
        <v>0.39281523886179093</v>
      </c>
      <c r="AH435" s="892"/>
      <c r="AI435" s="889">
        <f t="shared" ref="AI435" si="1315">SUM(AI422:AI433)</f>
        <v>284588.36562583654</v>
      </c>
      <c r="AJ435" s="887">
        <f t="shared" ref="AJ435" si="1316">IFERROR(AL435/AL409,0)</f>
        <v>0.39252473078751859</v>
      </c>
      <c r="AK435" s="892"/>
      <c r="AL435" s="889">
        <f t="shared" ref="AL435" si="1317">SUM(AL422:AL433)</f>
        <v>303458.24948818085</v>
      </c>
      <c r="AM435" s="887">
        <f t="shared" ref="AM435" si="1318">IFERROR(AO435/AO409,0)</f>
        <v>0.58762036258543515</v>
      </c>
      <c r="AN435" s="892"/>
      <c r="AO435" s="889">
        <f t="shared" ref="AO435" si="1319">SUM(AO422:AO433)</f>
        <v>278342.63840270339</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232"/>
        <v>Publicité 2</v>
      </c>
      <c r="B436" s="893" t="s">
        <v>121</v>
      </c>
      <c r="C436" s="893"/>
      <c r="D436" s="894"/>
      <c r="E436" s="895">
        <f t="shared" ref="E436:E453" si="1320">+SUM(H436,K436,N436,Q436,T436,W436,Z436,AC436,AF436,AI436,AL436,AO436)</f>
        <v>127731</v>
      </c>
      <c r="F436" s="893"/>
      <c r="G436" s="894"/>
      <c r="H436" s="895">
        <v>10644.25</v>
      </c>
      <c r="I436" s="893"/>
      <c r="J436" s="894"/>
      <c r="K436" s="895">
        <v>10644.25</v>
      </c>
      <c r="L436" s="893"/>
      <c r="M436" s="894"/>
      <c r="N436" s="895">
        <v>10644.25</v>
      </c>
      <c r="O436" s="893"/>
      <c r="P436" s="894"/>
      <c r="Q436" s="895">
        <v>10644.25</v>
      </c>
      <c r="R436" s="893"/>
      <c r="S436" s="894"/>
      <c r="T436" s="895">
        <v>10644.25</v>
      </c>
      <c r="U436" s="893"/>
      <c r="V436" s="894"/>
      <c r="W436" s="895">
        <v>10644.25</v>
      </c>
      <c r="X436" s="893"/>
      <c r="Y436" s="894"/>
      <c r="Z436" s="895">
        <v>10644.25</v>
      </c>
      <c r="AA436" s="893"/>
      <c r="AB436" s="894"/>
      <c r="AC436" s="895">
        <v>10644.25</v>
      </c>
      <c r="AD436" s="893"/>
      <c r="AE436" s="894"/>
      <c r="AF436" s="895">
        <v>10644.25</v>
      </c>
      <c r="AG436" s="893"/>
      <c r="AH436" s="894"/>
      <c r="AI436" s="895">
        <v>10644.25</v>
      </c>
      <c r="AJ436" s="893"/>
      <c r="AK436" s="894"/>
      <c r="AL436" s="895">
        <v>10644.25</v>
      </c>
      <c r="AM436" s="893"/>
      <c r="AN436" s="894"/>
      <c r="AO436" s="895">
        <v>10644.25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232"/>
        <v>Service gratuit 2</v>
      </c>
      <c r="B437" s="880" t="s">
        <v>122</v>
      </c>
      <c r="C437" s="880"/>
      <c r="D437" s="1200"/>
      <c r="E437" s="879">
        <f t="shared" si="1320"/>
        <v>47760.092962337272</v>
      </c>
      <c r="F437" s="880"/>
      <c r="G437" s="1200"/>
      <c r="H437" s="879">
        <v>2506.5808325317239</v>
      </c>
      <c r="I437" s="880"/>
      <c r="J437" s="1200"/>
      <c r="K437" s="879">
        <v>2486.4637072358846</v>
      </c>
      <c r="L437" s="880"/>
      <c r="M437" s="1200"/>
      <c r="N437" s="879">
        <v>3315.2445671469141</v>
      </c>
      <c r="O437" s="880"/>
      <c r="P437" s="1200"/>
      <c r="Q437" s="879">
        <v>6043.6941787975629</v>
      </c>
      <c r="R437" s="880"/>
      <c r="S437" s="1200"/>
      <c r="T437" s="879">
        <v>4693.4716422992187</v>
      </c>
      <c r="U437" s="880"/>
      <c r="V437" s="1200"/>
      <c r="W437" s="879">
        <v>3454.4294301290929</v>
      </c>
      <c r="X437" s="880"/>
      <c r="Y437" s="1200"/>
      <c r="Z437" s="879">
        <v>3266.9993457882165</v>
      </c>
      <c r="AA437" s="880"/>
      <c r="AB437" s="1200"/>
      <c r="AC437" s="879">
        <v>3201.2832699302448</v>
      </c>
      <c r="AD437" s="880"/>
      <c r="AE437" s="1200"/>
      <c r="AF437" s="879">
        <v>2644.9571535311065</v>
      </c>
      <c r="AG437" s="880"/>
      <c r="AH437" s="1200"/>
      <c r="AI437" s="879">
        <v>4887.1336259974432</v>
      </c>
      <c r="AJ437" s="880"/>
      <c r="AK437" s="1200"/>
      <c r="AL437" s="879">
        <v>8210.6570130502769</v>
      </c>
      <c r="AM437" s="880"/>
      <c r="AN437" s="1200"/>
      <c r="AO437" s="879">
        <v>3049.1781958995807</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232"/>
        <v>Frais véhicules de cie</v>
      </c>
      <c r="B438" s="869" t="s">
        <v>123</v>
      </c>
      <c r="C438" s="869"/>
      <c r="D438" s="884"/>
      <c r="E438" s="872">
        <f t="shared" si="1320"/>
        <v>254123.0633333333</v>
      </c>
      <c r="F438" s="869"/>
      <c r="G438" s="884"/>
      <c r="H438" s="872">
        <v>17680.484444444442</v>
      </c>
      <c r="I438" s="869"/>
      <c r="J438" s="884"/>
      <c r="K438" s="872">
        <v>18211.924444444445</v>
      </c>
      <c r="L438" s="869"/>
      <c r="M438" s="884"/>
      <c r="N438" s="872">
        <v>18283.694444444442</v>
      </c>
      <c r="O438" s="869"/>
      <c r="P438" s="884"/>
      <c r="Q438" s="872">
        <v>24792.844444444443</v>
      </c>
      <c r="R438" s="869"/>
      <c r="S438" s="884"/>
      <c r="T438" s="872">
        <v>24238.994444444445</v>
      </c>
      <c r="U438" s="869"/>
      <c r="V438" s="884"/>
      <c r="W438" s="872">
        <v>23831.824444444443</v>
      </c>
      <c r="X438" s="869"/>
      <c r="Y438" s="884"/>
      <c r="Z438" s="872">
        <v>20737.714444444442</v>
      </c>
      <c r="AA438" s="869"/>
      <c r="AB438" s="884"/>
      <c r="AC438" s="872">
        <v>20387.434444444443</v>
      </c>
      <c r="AD438" s="869"/>
      <c r="AE438" s="884"/>
      <c r="AF438" s="872">
        <v>18534.004444444443</v>
      </c>
      <c r="AG438" s="869"/>
      <c r="AH438" s="884"/>
      <c r="AI438" s="872">
        <v>24550.224444444444</v>
      </c>
      <c r="AJ438" s="869"/>
      <c r="AK438" s="884"/>
      <c r="AL438" s="872">
        <v>24003.694444444442</v>
      </c>
      <c r="AM438" s="869"/>
      <c r="AN438" s="884"/>
      <c r="AO438" s="872">
        <v>18870.224444444444</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232"/>
        <v>Informatique</v>
      </c>
      <c r="B439" s="880" t="s">
        <v>124</v>
      </c>
      <c r="C439" s="880"/>
      <c r="D439" s="1200"/>
      <c r="E439" s="879">
        <f t="shared" si="1320"/>
        <v>240410.51099999994</v>
      </c>
      <c r="F439" s="880"/>
      <c r="G439" s="1200"/>
      <c r="H439" s="879">
        <v>20034.202416666667</v>
      </c>
      <c r="I439" s="880"/>
      <c r="J439" s="1200"/>
      <c r="K439" s="879">
        <v>20034.202416666667</v>
      </c>
      <c r="L439" s="880"/>
      <c r="M439" s="1200"/>
      <c r="N439" s="879">
        <v>20034.202416666667</v>
      </c>
      <c r="O439" s="880"/>
      <c r="P439" s="1200"/>
      <c r="Q439" s="879">
        <v>20034.202416666667</v>
      </c>
      <c r="R439" s="880"/>
      <c r="S439" s="1200"/>
      <c r="T439" s="879">
        <v>20034.212666666666</v>
      </c>
      <c r="U439" s="880"/>
      <c r="V439" s="1200"/>
      <c r="W439" s="879">
        <v>20034.212666666666</v>
      </c>
      <c r="X439" s="880"/>
      <c r="Y439" s="1200"/>
      <c r="Z439" s="879">
        <v>20034.212666666666</v>
      </c>
      <c r="AA439" s="880"/>
      <c r="AB439" s="1200"/>
      <c r="AC439" s="879">
        <v>20034.212666666666</v>
      </c>
      <c r="AD439" s="880"/>
      <c r="AE439" s="1200"/>
      <c r="AF439" s="879">
        <v>20034.212666666666</v>
      </c>
      <c r="AG439" s="880"/>
      <c r="AH439" s="1200"/>
      <c r="AI439" s="879">
        <v>20034.212666666666</v>
      </c>
      <c r="AJ439" s="880"/>
      <c r="AK439" s="1200"/>
      <c r="AL439" s="879">
        <v>20034.212666666666</v>
      </c>
      <c r="AM439" s="880"/>
      <c r="AN439" s="1200"/>
      <c r="AO439" s="879">
        <v>20034.212666666666</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232"/>
        <v>Frais de déplacement</v>
      </c>
      <c r="B440" s="880" t="s">
        <v>125</v>
      </c>
      <c r="C440" s="880"/>
      <c r="D440" s="1200"/>
      <c r="E440" s="879">
        <f t="shared" si="1320"/>
        <v>29705.317500000008</v>
      </c>
      <c r="F440" s="880"/>
      <c r="G440" s="1200"/>
      <c r="H440" s="879">
        <v>2475.4431250000002</v>
      </c>
      <c r="I440" s="880"/>
      <c r="J440" s="1200"/>
      <c r="K440" s="879">
        <v>2475.4431250000002</v>
      </c>
      <c r="L440" s="880"/>
      <c r="M440" s="1200"/>
      <c r="N440" s="879">
        <v>2475.4431250000002</v>
      </c>
      <c r="O440" s="880"/>
      <c r="P440" s="1200"/>
      <c r="Q440" s="879">
        <v>2475.4431250000002</v>
      </c>
      <c r="R440" s="880"/>
      <c r="S440" s="1200"/>
      <c r="T440" s="879">
        <v>2475.4431250000002</v>
      </c>
      <c r="U440" s="880"/>
      <c r="V440" s="1200"/>
      <c r="W440" s="879">
        <v>2475.4431250000002</v>
      </c>
      <c r="X440" s="880"/>
      <c r="Y440" s="1200"/>
      <c r="Z440" s="879">
        <v>2475.4431250000002</v>
      </c>
      <c r="AA440" s="880"/>
      <c r="AB440" s="1200"/>
      <c r="AC440" s="879">
        <v>2475.4431250000002</v>
      </c>
      <c r="AD440" s="880"/>
      <c r="AE440" s="1200"/>
      <c r="AF440" s="879">
        <v>2475.4431250000002</v>
      </c>
      <c r="AG440" s="880"/>
      <c r="AH440" s="1200"/>
      <c r="AI440" s="879">
        <v>2475.4431250000002</v>
      </c>
      <c r="AJ440" s="880"/>
      <c r="AK440" s="1200"/>
      <c r="AL440" s="879">
        <v>2475.4431250000002</v>
      </c>
      <c r="AM440" s="880"/>
      <c r="AN440" s="1200"/>
      <c r="AO440" s="879">
        <v>2475.4431250000002</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232"/>
        <v>Services extérieurs</v>
      </c>
      <c r="B441" s="880" t="s">
        <v>126</v>
      </c>
      <c r="C441" s="1203"/>
      <c r="D441" s="1204"/>
      <c r="E441" s="1205">
        <f t="shared" si="1320"/>
        <v>251188.81806666666</v>
      </c>
      <c r="F441" s="1203"/>
      <c r="G441" s="1204"/>
      <c r="H441" s="1205">
        <v>20117.604355555559</v>
      </c>
      <c r="I441" s="1203"/>
      <c r="J441" s="1204"/>
      <c r="K441" s="1205">
        <v>20322.272155555554</v>
      </c>
      <c r="L441" s="1203"/>
      <c r="M441" s="1204"/>
      <c r="N441" s="1205">
        <v>20219.995055555555</v>
      </c>
      <c r="O441" s="1203"/>
      <c r="P441" s="1204"/>
      <c r="Q441" s="1205">
        <v>19541.726855555557</v>
      </c>
      <c r="R441" s="1203"/>
      <c r="S441" s="1204"/>
      <c r="T441" s="1205">
        <v>26609.873755555556</v>
      </c>
      <c r="U441" s="1203"/>
      <c r="V441" s="1204"/>
      <c r="W441" s="1205">
        <v>20630.700055555557</v>
      </c>
      <c r="X441" s="1203"/>
      <c r="Y441" s="1204"/>
      <c r="Z441" s="1205">
        <v>20314.200055555557</v>
      </c>
      <c r="AA441" s="1203"/>
      <c r="AB441" s="1204"/>
      <c r="AC441" s="1205">
        <v>18933.671255555557</v>
      </c>
      <c r="AD441" s="1203"/>
      <c r="AE441" s="1204"/>
      <c r="AF441" s="1205">
        <v>19272.323455555557</v>
      </c>
      <c r="AG441" s="1203"/>
      <c r="AH441" s="1204"/>
      <c r="AI441" s="1205">
        <v>18693.551455555556</v>
      </c>
      <c r="AJ441" s="1203"/>
      <c r="AK441" s="1204"/>
      <c r="AL441" s="1205">
        <v>27219.629355555553</v>
      </c>
      <c r="AM441" s="1203"/>
      <c r="AN441" s="1204"/>
      <c r="AO441" s="1205">
        <v>19313.270255555555</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c r="B442" s="880"/>
      <c r="C442" s="1206"/>
      <c r="D442" s="1207"/>
      <c r="E442" s="879">
        <f t="shared" si="1320"/>
        <v>0</v>
      </c>
      <c r="F442" s="880"/>
      <c r="G442" s="882"/>
      <c r="H442" s="879">
        <v>0</v>
      </c>
      <c r="I442" s="880"/>
      <c r="J442" s="882"/>
      <c r="K442" s="879">
        <v>0</v>
      </c>
      <c r="L442" s="880"/>
      <c r="M442" s="882"/>
      <c r="N442" s="879">
        <v>0</v>
      </c>
      <c r="O442" s="880"/>
      <c r="P442" s="882"/>
      <c r="Q442" s="879">
        <v>0</v>
      </c>
      <c r="R442" s="880"/>
      <c r="S442" s="882"/>
      <c r="T442" s="879">
        <v>0</v>
      </c>
      <c r="U442" s="880"/>
      <c r="V442" s="882"/>
      <c r="W442" s="879">
        <v>0</v>
      </c>
      <c r="X442" s="880"/>
      <c r="Y442" s="882"/>
      <c r="Z442" s="879">
        <v>0</v>
      </c>
      <c r="AA442" s="880"/>
      <c r="AB442" s="882"/>
      <c r="AC442" s="879">
        <v>0</v>
      </c>
      <c r="AD442" s="880"/>
      <c r="AE442" s="882"/>
      <c r="AF442" s="879">
        <v>0</v>
      </c>
      <c r="AG442" s="880"/>
      <c r="AH442" s="882"/>
      <c r="AI442" s="879">
        <v>0</v>
      </c>
      <c r="AJ442" s="880"/>
      <c r="AK442" s="882"/>
      <c r="AL442" s="879">
        <v>0</v>
      </c>
      <c r="AM442" s="880"/>
      <c r="AN442" s="882"/>
      <c r="AO442" s="879">
        <v>0</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232"/>
        <v>Fournitures autres</v>
      </c>
      <c r="B443" s="893" t="s">
        <v>127</v>
      </c>
      <c r="C443" s="880"/>
      <c r="D443" s="882"/>
      <c r="E443" s="879">
        <f t="shared" si="1320"/>
        <v>17200.076970025802</v>
      </c>
      <c r="F443" s="880"/>
      <c r="G443" s="882"/>
      <c r="H443" s="879">
        <v>878.89702940367886</v>
      </c>
      <c r="I443" s="880"/>
      <c r="J443" s="882"/>
      <c r="K443" s="879">
        <v>907.292097872098</v>
      </c>
      <c r="L443" s="880"/>
      <c r="M443" s="882"/>
      <c r="N443" s="879">
        <v>1583.2776140364358</v>
      </c>
      <c r="O443" s="880"/>
      <c r="P443" s="882"/>
      <c r="Q443" s="879">
        <v>1673.3317772649877</v>
      </c>
      <c r="R443" s="880"/>
      <c r="S443" s="882"/>
      <c r="T443" s="879">
        <v>1872.8201804068096</v>
      </c>
      <c r="U443" s="880"/>
      <c r="V443" s="882"/>
      <c r="W443" s="879">
        <v>1613.7456994850584</v>
      </c>
      <c r="X443" s="880"/>
      <c r="Y443" s="882"/>
      <c r="Z443" s="879">
        <v>1728.0488972216226</v>
      </c>
      <c r="AA443" s="880"/>
      <c r="AB443" s="882"/>
      <c r="AC443" s="879">
        <v>1642.863691816365</v>
      </c>
      <c r="AD443" s="880"/>
      <c r="AE443" s="882"/>
      <c r="AF443" s="879">
        <v>1419.8491780294185</v>
      </c>
      <c r="AG443" s="880"/>
      <c r="AH443" s="882"/>
      <c r="AI443" s="879">
        <v>1561.8245203715139</v>
      </c>
      <c r="AJ443" s="880"/>
      <c r="AK443" s="882"/>
      <c r="AL443" s="879">
        <v>1380.3661007970945</v>
      </c>
      <c r="AM443" s="880"/>
      <c r="AN443" s="882"/>
      <c r="AO443" s="879">
        <v>937.76018332072056</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232"/>
        <v>Uniformes</v>
      </c>
      <c r="B444" s="880" t="s">
        <v>128</v>
      </c>
      <c r="C444" s="880"/>
      <c r="D444" s="1200"/>
      <c r="E444" s="879">
        <f t="shared" si="1320"/>
        <v>9139.6687499999989</v>
      </c>
      <c r="F444" s="880"/>
      <c r="G444" s="1200"/>
      <c r="H444" s="879">
        <v>467.02277717171074</v>
      </c>
      <c r="I444" s="880"/>
      <c r="J444" s="1200"/>
      <c r="K444" s="879">
        <v>482.11117011246233</v>
      </c>
      <c r="L444" s="880"/>
      <c r="M444" s="1200"/>
      <c r="N444" s="879">
        <v>841.31210324238816</v>
      </c>
      <c r="O444" s="880"/>
      <c r="P444" s="1200"/>
      <c r="Q444" s="879">
        <v>889.16451825784043</v>
      </c>
      <c r="R444" s="880"/>
      <c r="S444" s="1200"/>
      <c r="T444" s="879">
        <v>995.16741157977481</v>
      </c>
      <c r="U444" s="880"/>
      <c r="V444" s="1200"/>
      <c r="W444" s="879">
        <v>857.50204291140165</v>
      </c>
      <c r="X444" s="880"/>
      <c r="Y444" s="1200"/>
      <c r="Z444" s="879">
        <v>918.23975741108154</v>
      </c>
      <c r="AA444" s="880"/>
      <c r="AB444" s="1200"/>
      <c r="AC444" s="879">
        <v>872.97457858882672</v>
      </c>
      <c r="AD444" s="880"/>
      <c r="AE444" s="1200"/>
      <c r="AF444" s="879">
        <v>754.47052851933779</v>
      </c>
      <c r="AG444" s="880"/>
      <c r="AH444" s="1200"/>
      <c r="AI444" s="879">
        <v>829.91249322309579</v>
      </c>
      <c r="AJ444" s="880"/>
      <c r="AK444" s="1200"/>
      <c r="AL444" s="879">
        <v>733.49025920060342</v>
      </c>
      <c r="AM444" s="880"/>
      <c r="AN444" s="1200"/>
      <c r="AO444" s="879">
        <v>498.3011097814757</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232"/>
        <v>Papeterie</v>
      </c>
      <c r="B445" s="880" t="s">
        <v>129</v>
      </c>
      <c r="C445" s="880"/>
      <c r="D445" s="1200"/>
      <c r="E445" s="879">
        <f t="shared" si="1320"/>
        <v>24482.412</v>
      </c>
      <c r="F445" s="880"/>
      <c r="G445" s="1200"/>
      <c r="H445" s="879">
        <v>2040.2009999999998</v>
      </c>
      <c r="I445" s="880"/>
      <c r="J445" s="1200"/>
      <c r="K445" s="879">
        <v>2040.2009999999998</v>
      </c>
      <c r="L445" s="880"/>
      <c r="M445" s="1200"/>
      <c r="N445" s="879">
        <v>2040.2009999999998</v>
      </c>
      <c r="O445" s="880"/>
      <c r="P445" s="1200"/>
      <c r="Q445" s="879">
        <v>2040.2009999999998</v>
      </c>
      <c r="R445" s="880"/>
      <c r="S445" s="1200"/>
      <c r="T445" s="879">
        <v>2040.2009999999998</v>
      </c>
      <c r="U445" s="880"/>
      <c r="V445" s="1200"/>
      <c r="W445" s="879">
        <v>2040.2009999999998</v>
      </c>
      <c r="X445" s="880"/>
      <c r="Y445" s="1200"/>
      <c r="Z445" s="879">
        <v>2040.2009999999998</v>
      </c>
      <c r="AA445" s="880"/>
      <c r="AB445" s="1200"/>
      <c r="AC445" s="879">
        <v>2040.2009999999998</v>
      </c>
      <c r="AD445" s="880"/>
      <c r="AE445" s="1200"/>
      <c r="AF445" s="879">
        <v>2040.2009999999998</v>
      </c>
      <c r="AG445" s="880"/>
      <c r="AH445" s="1200"/>
      <c r="AI445" s="879">
        <v>2040.2009999999998</v>
      </c>
      <c r="AJ445" s="880"/>
      <c r="AK445" s="1200"/>
      <c r="AL445" s="879">
        <v>2040.2009999999998</v>
      </c>
      <c r="AM445" s="880"/>
      <c r="AN445" s="1200"/>
      <c r="AO445" s="879">
        <v>2040.2009999999998</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232"/>
        <v>Téléphone</v>
      </c>
      <c r="B446" s="880" t="s">
        <v>130</v>
      </c>
      <c r="C446" s="880"/>
      <c r="D446" s="1200"/>
      <c r="E446" s="879">
        <f t="shared" si="1320"/>
        <v>11304.919749999999</v>
      </c>
      <c r="F446" s="880"/>
      <c r="G446" s="1200"/>
      <c r="H446" s="879">
        <v>942.07664583333337</v>
      </c>
      <c r="I446" s="880"/>
      <c r="J446" s="1200"/>
      <c r="K446" s="879">
        <v>942.07664583333337</v>
      </c>
      <c r="L446" s="880"/>
      <c r="M446" s="1200"/>
      <c r="N446" s="879">
        <v>942.07664583333337</v>
      </c>
      <c r="O446" s="880"/>
      <c r="P446" s="1200"/>
      <c r="Q446" s="879">
        <v>942.07664583333337</v>
      </c>
      <c r="R446" s="880"/>
      <c r="S446" s="1200"/>
      <c r="T446" s="879">
        <v>942.07664583333337</v>
      </c>
      <c r="U446" s="880"/>
      <c r="V446" s="1200"/>
      <c r="W446" s="879">
        <v>942.07664583333337</v>
      </c>
      <c r="X446" s="880"/>
      <c r="Y446" s="1200"/>
      <c r="Z446" s="879">
        <v>942.07664583333337</v>
      </c>
      <c r="AA446" s="880"/>
      <c r="AB446" s="1200"/>
      <c r="AC446" s="879">
        <v>942.07664583333337</v>
      </c>
      <c r="AD446" s="880"/>
      <c r="AE446" s="1200"/>
      <c r="AF446" s="879">
        <v>942.07664583333337</v>
      </c>
      <c r="AG446" s="880"/>
      <c r="AH446" s="1200"/>
      <c r="AI446" s="879">
        <v>942.07664583333337</v>
      </c>
      <c r="AJ446" s="880"/>
      <c r="AK446" s="1200"/>
      <c r="AL446" s="879">
        <v>942.07664583333337</v>
      </c>
      <c r="AM446" s="880"/>
      <c r="AN446" s="1200"/>
      <c r="AO446" s="879">
        <v>942.07664583333337</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232"/>
        <v>Frais postaux</v>
      </c>
      <c r="B447" s="880" t="s">
        <v>131</v>
      </c>
      <c r="C447" s="880"/>
      <c r="D447" s="1200"/>
      <c r="E447" s="879">
        <f t="shared" si="1320"/>
        <v>6034.3902499999976</v>
      </c>
      <c r="F447" s="880"/>
      <c r="G447" s="1200"/>
      <c r="H447" s="879">
        <v>502.86585416666657</v>
      </c>
      <c r="I447" s="880"/>
      <c r="J447" s="1200"/>
      <c r="K447" s="879">
        <v>502.86585416666657</v>
      </c>
      <c r="L447" s="880"/>
      <c r="M447" s="1200"/>
      <c r="N447" s="879">
        <v>502.86585416666657</v>
      </c>
      <c r="O447" s="880"/>
      <c r="P447" s="1200"/>
      <c r="Q447" s="879">
        <v>502.86585416666657</v>
      </c>
      <c r="R447" s="880"/>
      <c r="S447" s="1200"/>
      <c r="T447" s="879">
        <v>502.86585416666657</v>
      </c>
      <c r="U447" s="880"/>
      <c r="V447" s="1200"/>
      <c r="W447" s="879">
        <v>502.86585416666657</v>
      </c>
      <c r="X447" s="880"/>
      <c r="Y447" s="1200"/>
      <c r="Z447" s="879">
        <v>502.86585416666657</v>
      </c>
      <c r="AA447" s="880"/>
      <c r="AB447" s="1200"/>
      <c r="AC447" s="879">
        <v>502.86585416666657</v>
      </c>
      <c r="AD447" s="880"/>
      <c r="AE447" s="1200"/>
      <c r="AF447" s="879">
        <v>502.86585416666657</v>
      </c>
      <c r="AG447" s="880"/>
      <c r="AH447" s="1200"/>
      <c r="AI447" s="879">
        <v>502.86585416666657</v>
      </c>
      <c r="AJ447" s="880"/>
      <c r="AK447" s="1200"/>
      <c r="AL447" s="879">
        <v>502.86585416666657</v>
      </c>
      <c r="AM447" s="880"/>
      <c r="AN447" s="1200"/>
      <c r="AO447" s="879">
        <v>502.86585416666657</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232"/>
        <v>Divers</v>
      </c>
      <c r="B448" s="880" t="s">
        <v>132</v>
      </c>
      <c r="C448" s="880"/>
      <c r="D448" s="1200"/>
      <c r="E448" s="879">
        <f t="shared" si="1320"/>
        <v>29108.759749999994</v>
      </c>
      <c r="F448" s="880"/>
      <c r="G448" s="1200"/>
      <c r="H448" s="879">
        <v>2425.729979166666</v>
      </c>
      <c r="I448" s="880"/>
      <c r="J448" s="1200"/>
      <c r="K448" s="879">
        <v>2425.729979166666</v>
      </c>
      <c r="L448" s="880"/>
      <c r="M448" s="1200"/>
      <c r="N448" s="879">
        <v>2425.729979166666</v>
      </c>
      <c r="O448" s="880"/>
      <c r="P448" s="1200"/>
      <c r="Q448" s="879">
        <v>2425.729979166666</v>
      </c>
      <c r="R448" s="880"/>
      <c r="S448" s="1200"/>
      <c r="T448" s="879">
        <v>2425.729979166666</v>
      </c>
      <c r="U448" s="880"/>
      <c r="V448" s="1200"/>
      <c r="W448" s="879">
        <v>2425.729979166666</v>
      </c>
      <c r="X448" s="880"/>
      <c r="Y448" s="1200"/>
      <c r="Z448" s="879">
        <v>2425.729979166666</v>
      </c>
      <c r="AA448" s="880"/>
      <c r="AB448" s="1200"/>
      <c r="AC448" s="879">
        <v>2425.729979166666</v>
      </c>
      <c r="AD448" s="880"/>
      <c r="AE448" s="1200"/>
      <c r="AF448" s="879">
        <v>2425.729979166666</v>
      </c>
      <c r="AG448" s="880"/>
      <c r="AH448" s="1200"/>
      <c r="AI448" s="879">
        <v>2425.729979166666</v>
      </c>
      <c r="AJ448" s="880"/>
      <c r="AK448" s="1200"/>
      <c r="AL448" s="879">
        <v>2425.729979166666</v>
      </c>
      <c r="AM448" s="880"/>
      <c r="AN448" s="1200"/>
      <c r="AO448" s="879">
        <v>2425.729979166666</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232"/>
        <v>Formation</v>
      </c>
      <c r="B449" s="880" t="s">
        <v>133</v>
      </c>
      <c r="C449" s="880"/>
      <c r="D449" s="1200"/>
      <c r="E449" s="879">
        <f t="shared" si="1320"/>
        <v>43247.110000000008</v>
      </c>
      <c r="F449" s="880"/>
      <c r="G449" s="1200"/>
      <c r="H449" s="879">
        <v>3603.9258333333332</v>
      </c>
      <c r="I449" s="880"/>
      <c r="J449" s="1200"/>
      <c r="K449" s="879">
        <v>3603.9258333333332</v>
      </c>
      <c r="L449" s="880"/>
      <c r="M449" s="1200"/>
      <c r="N449" s="879">
        <v>3603.9258333333332</v>
      </c>
      <c r="O449" s="880"/>
      <c r="P449" s="1200"/>
      <c r="Q449" s="879">
        <v>3603.9258333333332</v>
      </c>
      <c r="R449" s="880"/>
      <c r="S449" s="1200"/>
      <c r="T449" s="879">
        <v>3603.9258333333332</v>
      </c>
      <c r="U449" s="880"/>
      <c r="V449" s="1200"/>
      <c r="W449" s="879">
        <v>3603.9258333333332</v>
      </c>
      <c r="X449" s="880"/>
      <c r="Y449" s="1200"/>
      <c r="Z449" s="879">
        <v>3603.9258333333332</v>
      </c>
      <c r="AA449" s="880"/>
      <c r="AB449" s="1200"/>
      <c r="AC449" s="879">
        <v>3603.9258333333332</v>
      </c>
      <c r="AD449" s="880"/>
      <c r="AE449" s="1200"/>
      <c r="AF449" s="879">
        <v>3603.9258333333332</v>
      </c>
      <c r="AG449" s="880"/>
      <c r="AH449" s="1200"/>
      <c r="AI449" s="879">
        <v>3603.9258333333332</v>
      </c>
      <c r="AJ449" s="880"/>
      <c r="AK449" s="1200"/>
      <c r="AL449" s="879">
        <v>3603.9258333333332</v>
      </c>
      <c r="AM449" s="880"/>
      <c r="AN449" s="1200"/>
      <c r="AO449" s="879">
        <v>3603.9258333333332</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232"/>
        <v>Frais bancaires</v>
      </c>
      <c r="B450" s="880" t="s">
        <v>134</v>
      </c>
      <c r="C450" s="880"/>
      <c r="D450" s="1200"/>
      <c r="E450" s="879">
        <f t="shared" si="1320"/>
        <v>87404.247868401319</v>
      </c>
      <c r="F450" s="880"/>
      <c r="G450" s="1200"/>
      <c r="H450" s="879">
        <v>5260.1164656443607</v>
      </c>
      <c r="I450" s="880"/>
      <c r="J450" s="1200"/>
      <c r="K450" s="879">
        <v>4476.4105126150998</v>
      </c>
      <c r="L450" s="880"/>
      <c r="M450" s="1200"/>
      <c r="N450" s="879">
        <v>5248.2085234784781</v>
      </c>
      <c r="O450" s="880"/>
      <c r="P450" s="1200"/>
      <c r="Q450" s="879">
        <v>10497.029953519042</v>
      </c>
      <c r="R450" s="880"/>
      <c r="S450" s="1200"/>
      <c r="T450" s="879">
        <v>9583.8504690154659</v>
      </c>
      <c r="U450" s="880"/>
      <c r="V450" s="1200"/>
      <c r="W450" s="879">
        <v>6184.7280924782972</v>
      </c>
      <c r="X450" s="880"/>
      <c r="Y450" s="1200"/>
      <c r="Z450" s="879">
        <v>5805.5848648570627</v>
      </c>
      <c r="AA450" s="880"/>
      <c r="AB450" s="1200"/>
      <c r="AC450" s="879">
        <v>6444.1879269473675</v>
      </c>
      <c r="AD450" s="880"/>
      <c r="AE450" s="1200"/>
      <c r="AF450" s="879">
        <v>4772.8874573503599</v>
      </c>
      <c r="AG450" s="880"/>
      <c r="AH450" s="1200"/>
      <c r="AI450" s="879">
        <v>9333.6146670067283</v>
      </c>
      <c r="AJ450" s="880"/>
      <c r="AK450" s="1200"/>
      <c r="AL450" s="879">
        <v>13783.275856393127</v>
      </c>
      <c r="AM450" s="880"/>
      <c r="AN450" s="1200"/>
      <c r="AO450" s="879">
        <v>6014.3530790959276</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232"/>
        <v>[...]</v>
      </c>
      <c r="B451" s="880" t="s">
        <v>42</v>
      </c>
      <c r="C451" s="880"/>
      <c r="D451" s="1200"/>
      <c r="E451" s="879">
        <f t="shared" si="1320"/>
        <v>0</v>
      </c>
      <c r="F451" s="880"/>
      <c r="G451" s="1200"/>
      <c r="H451" s="879">
        <f t="shared" ref="H451:H453" si="1321">+SUMIF($B$4:$B$401,$B451,H$4:H$401)</f>
        <v>0</v>
      </c>
      <c r="I451" s="880"/>
      <c r="J451" s="1200"/>
      <c r="K451" s="879">
        <f t="shared" ref="K451:AO453" si="1322">+SUMIF($B$4:$B$401,$B451,K$4:K$401)</f>
        <v>0</v>
      </c>
      <c r="L451" s="880"/>
      <c r="M451" s="1200"/>
      <c r="N451" s="879">
        <f t="shared" si="1322"/>
        <v>0</v>
      </c>
      <c r="O451" s="880"/>
      <c r="P451" s="1200"/>
      <c r="Q451" s="879">
        <f t="shared" si="1322"/>
        <v>0</v>
      </c>
      <c r="R451" s="880"/>
      <c r="S451" s="1200"/>
      <c r="T451" s="879">
        <f t="shared" si="1322"/>
        <v>0</v>
      </c>
      <c r="U451" s="880"/>
      <c r="V451" s="1200"/>
      <c r="W451" s="879">
        <f t="shared" si="1322"/>
        <v>0</v>
      </c>
      <c r="X451" s="880"/>
      <c r="Y451" s="1200"/>
      <c r="Z451" s="879">
        <f t="shared" si="1322"/>
        <v>0</v>
      </c>
      <c r="AA451" s="880"/>
      <c r="AB451" s="1200"/>
      <c r="AC451" s="879">
        <f t="shared" si="1322"/>
        <v>0</v>
      </c>
      <c r="AD451" s="880"/>
      <c r="AE451" s="1200"/>
      <c r="AF451" s="879">
        <f t="shared" si="1322"/>
        <v>0</v>
      </c>
      <c r="AG451" s="880"/>
      <c r="AH451" s="1200"/>
      <c r="AI451" s="879">
        <f t="shared" si="1322"/>
        <v>0</v>
      </c>
      <c r="AJ451" s="880"/>
      <c r="AK451" s="1200"/>
      <c r="AL451" s="879">
        <f t="shared" si="1322"/>
        <v>0</v>
      </c>
      <c r="AM451" s="880"/>
      <c r="AN451" s="1200"/>
      <c r="AO451" s="879">
        <f t="shared" si="1322"/>
        <v>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232"/>
        <v>[...]</v>
      </c>
      <c r="B452" s="880" t="s">
        <v>42</v>
      </c>
      <c r="C452" s="880"/>
      <c r="D452" s="1200"/>
      <c r="E452" s="879">
        <f t="shared" si="1320"/>
        <v>0</v>
      </c>
      <c r="F452" s="880"/>
      <c r="G452" s="1200"/>
      <c r="H452" s="879">
        <f t="shared" si="1321"/>
        <v>0</v>
      </c>
      <c r="I452" s="880"/>
      <c r="J452" s="1200"/>
      <c r="K452" s="879">
        <f t="shared" si="1322"/>
        <v>0</v>
      </c>
      <c r="L452" s="880"/>
      <c r="M452" s="1200"/>
      <c r="N452" s="879">
        <f t="shared" si="1322"/>
        <v>0</v>
      </c>
      <c r="O452" s="880"/>
      <c r="P452" s="1200"/>
      <c r="Q452" s="879">
        <f t="shared" si="1322"/>
        <v>0</v>
      </c>
      <c r="R452" s="880"/>
      <c r="S452" s="1200"/>
      <c r="T452" s="879">
        <f t="shared" si="1322"/>
        <v>0</v>
      </c>
      <c r="U452" s="880"/>
      <c r="V452" s="1200"/>
      <c r="W452" s="879">
        <f t="shared" si="1322"/>
        <v>0</v>
      </c>
      <c r="X452" s="880"/>
      <c r="Y452" s="1200"/>
      <c r="Z452" s="879">
        <f t="shared" si="1322"/>
        <v>0</v>
      </c>
      <c r="AA452" s="880"/>
      <c r="AB452" s="1200"/>
      <c r="AC452" s="879">
        <f t="shared" si="1322"/>
        <v>0</v>
      </c>
      <c r="AD452" s="880"/>
      <c r="AE452" s="1200"/>
      <c r="AF452" s="879">
        <f t="shared" si="1322"/>
        <v>0</v>
      </c>
      <c r="AG452" s="880"/>
      <c r="AH452" s="1200"/>
      <c r="AI452" s="879">
        <f t="shared" si="1322"/>
        <v>0</v>
      </c>
      <c r="AJ452" s="880"/>
      <c r="AK452" s="1200"/>
      <c r="AL452" s="879">
        <f t="shared" si="1322"/>
        <v>0</v>
      </c>
      <c r="AM452" s="880"/>
      <c r="AN452" s="1200"/>
      <c r="AO452" s="879">
        <f t="shared" si="1322"/>
        <v>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232"/>
        <v>[...]</v>
      </c>
      <c r="B453" s="880" t="s">
        <v>42</v>
      </c>
      <c r="C453" s="880"/>
      <c r="D453" s="1200"/>
      <c r="E453" s="879">
        <f t="shared" si="1320"/>
        <v>0</v>
      </c>
      <c r="F453" s="880"/>
      <c r="G453" s="1200"/>
      <c r="H453" s="879">
        <f t="shared" si="1321"/>
        <v>0</v>
      </c>
      <c r="I453" s="880"/>
      <c r="J453" s="1200"/>
      <c r="K453" s="879">
        <f t="shared" si="1322"/>
        <v>0</v>
      </c>
      <c r="L453" s="880"/>
      <c r="M453" s="1200"/>
      <c r="N453" s="879">
        <f t="shared" si="1322"/>
        <v>0</v>
      </c>
      <c r="O453" s="880"/>
      <c r="P453" s="1200"/>
      <c r="Q453" s="879">
        <f t="shared" si="1322"/>
        <v>0</v>
      </c>
      <c r="R453" s="880"/>
      <c r="S453" s="1200"/>
      <c r="T453" s="879">
        <f t="shared" si="1322"/>
        <v>0</v>
      </c>
      <c r="U453" s="880"/>
      <c r="V453" s="1200"/>
      <c r="W453" s="879">
        <f t="shared" si="1322"/>
        <v>0</v>
      </c>
      <c r="X453" s="880"/>
      <c r="Y453" s="1200"/>
      <c r="Z453" s="879">
        <f t="shared" si="1322"/>
        <v>0</v>
      </c>
      <c r="AA453" s="880"/>
      <c r="AB453" s="1200"/>
      <c r="AC453" s="879">
        <f t="shared" si="1322"/>
        <v>0</v>
      </c>
      <c r="AD453" s="880"/>
      <c r="AE453" s="1200"/>
      <c r="AF453" s="879">
        <f t="shared" si="1322"/>
        <v>0</v>
      </c>
      <c r="AG453" s="880"/>
      <c r="AH453" s="1200"/>
      <c r="AI453" s="879">
        <f t="shared" si="1322"/>
        <v>0</v>
      </c>
      <c r="AJ453" s="880"/>
      <c r="AK453" s="1200"/>
      <c r="AL453" s="879">
        <f t="shared" si="1322"/>
        <v>0</v>
      </c>
      <c r="AM453" s="880"/>
      <c r="AN453" s="1200"/>
      <c r="AO453" s="879">
        <f t="shared" si="1322"/>
        <v>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232"/>
        <v>TOTAL SEMI-FIXES</v>
      </c>
      <c r="B454" s="886" t="s">
        <v>135</v>
      </c>
      <c r="C454" s="887">
        <f>IFERROR(E454/E409,0)</f>
        <v>0.15420003117810241</v>
      </c>
      <c r="D454" s="888"/>
      <c r="E454" s="889">
        <f>+SUM(E436:E453)</f>
        <v>1178840.3882007641</v>
      </c>
      <c r="F454" s="887">
        <f>IFERROR(H454/H409,0)</f>
        <v>0.2020193329868584</v>
      </c>
      <c r="G454" s="888"/>
      <c r="H454" s="889">
        <f>+SUM(H436:H453)</f>
        <v>89579.400758918127</v>
      </c>
      <c r="I454" s="887">
        <f t="shared" ref="I454" si="1323">IFERROR(K454/K409,0)</f>
        <v>0.20211450493704278</v>
      </c>
      <c r="J454" s="888"/>
      <c r="K454" s="889">
        <f t="shared" ref="K454" si="1324">+SUM(K436:K453)</f>
        <v>89555.168942002201</v>
      </c>
      <c r="L454" s="887">
        <f t="shared" ref="L454" si="1325">IFERROR(N454/N409,0)</f>
        <v>0.14384741711526974</v>
      </c>
      <c r="M454" s="888"/>
      <c r="N454" s="889">
        <f t="shared" ref="N454" si="1326">+SUM(N436:N453)</f>
        <v>92160.427162070861</v>
      </c>
      <c r="O454" s="887">
        <f t="shared" ref="O454" si="1327">IFERROR(Q454/Q409,0)</f>
        <v>0.14182864907051299</v>
      </c>
      <c r="P454" s="888"/>
      <c r="Q454" s="889">
        <f t="shared" ref="Q454" si="1328">+SUM(Q436:Q453)</f>
        <v>106106.48658200609</v>
      </c>
      <c r="R454" s="887">
        <f t="shared" ref="R454" si="1329">IFERROR(T454/T409,0)</f>
        <v>0.14442908882328087</v>
      </c>
      <c r="S454" s="888"/>
      <c r="T454" s="889">
        <f t="shared" ref="T454" si="1330">+SUM(T436:T453)</f>
        <v>110662.88300746793</v>
      </c>
      <c r="U454" s="887">
        <f t="shared" ref="U454" si="1331">IFERROR(W454/W409,0)</f>
        <v>0.14295139255396211</v>
      </c>
      <c r="V454" s="888"/>
      <c r="W454" s="889">
        <f t="shared" ref="W454" si="1332">+SUM(W436:W453)</f>
        <v>99241.634869170521</v>
      </c>
      <c r="X454" s="887">
        <f t="shared" ref="X454" si="1333">IFERROR(Z454/Z409,0)</f>
        <v>0.14044676979036294</v>
      </c>
      <c r="Y454" s="888"/>
      <c r="Z454" s="889">
        <f t="shared" ref="Z454" si="1334">+SUM(Z436:Z453)</f>
        <v>95439.492469444638</v>
      </c>
      <c r="AA454" s="887">
        <f t="shared" ref="AA454" si="1335">IFERROR(AC454/AC409,0)</f>
        <v>0.14125572752669138</v>
      </c>
      <c r="AB454" s="888"/>
      <c r="AC454" s="889">
        <f t="shared" ref="AC454" si="1336">+SUM(AC436:AC453)</f>
        <v>94151.120271449472</v>
      </c>
      <c r="AD454" s="887">
        <f t="shared" ref="AD454" si="1337">IFERROR(AF454/AF409,0)</f>
        <v>0.15219607609429911</v>
      </c>
      <c r="AE454" s="888"/>
      <c r="AF454" s="889">
        <f t="shared" ref="AF454" si="1338">+SUM(AF436:AF453)</f>
        <v>90067.197321596861</v>
      </c>
      <c r="AG454" s="887">
        <f t="shared" ref="AG454" si="1339">IFERROR(AI454/AI409,0)</f>
        <v>0.14151446086734951</v>
      </c>
      <c r="AH454" s="888"/>
      <c r="AI454" s="889">
        <f t="shared" ref="AI454" si="1340">+SUM(AI436:AI453)</f>
        <v>102524.96631076543</v>
      </c>
      <c r="AJ454" s="887">
        <f t="shared" ref="AJ454" si="1341">IFERROR(AL454/AL409,0)</f>
        <v>0.15263334222744382</v>
      </c>
      <c r="AK454" s="888"/>
      <c r="AL454" s="889">
        <f t="shared" ref="AL454" si="1342">+SUM(AL436:AL453)</f>
        <v>117999.81813360775</v>
      </c>
      <c r="AM454" s="887">
        <f t="shared" ref="AM454" si="1343">IFERROR(AO454/AO409,0)</f>
        <v>0.19285645082862016</v>
      </c>
      <c r="AN454" s="888"/>
      <c r="AO454" s="889">
        <f t="shared" ref="AO454" si="1344">+SUM(AO436:AO453)</f>
        <v>91351.792372264361</v>
      </c>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232"/>
        <v>Loyer</v>
      </c>
      <c r="B455" s="880" t="s">
        <v>235</v>
      </c>
      <c r="C455" s="880"/>
      <c r="D455" s="1200"/>
      <c r="E455" s="879">
        <f t="shared" ref="E455:E467" si="1345">+SUM(H455,K455,N455,Q455,T455,W455,Z455,AC455,AF455,AI455,AL455,AO455)</f>
        <v>312000</v>
      </c>
      <c r="F455" s="880"/>
      <c r="G455" s="1200"/>
      <c r="H455" s="890">
        <v>26000</v>
      </c>
      <c r="I455" s="880"/>
      <c r="J455" s="1200"/>
      <c r="K455" s="890">
        <v>26000</v>
      </c>
      <c r="L455" s="880"/>
      <c r="M455" s="1200"/>
      <c r="N455" s="890">
        <v>26000</v>
      </c>
      <c r="O455" s="880"/>
      <c r="P455" s="1200"/>
      <c r="Q455" s="890">
        <v>26000</v>
      </c>
      <c r="R455" s="880"/>
      <c r="S455" s="1200"/>
      <c r="T455" s="890">
        <v>26000</v>
      </c>
      <c r="U455" s="880"/>
      <c r="V455" s="1200"/>
      <c r="W455" s="890">
        <v>26000</v>
      </c>
      <c r="X455" s="880"/>
      <c r="Y455" s="1200"/>
      <c r="Z455" s="890">
        <v>26000</v>
      </c>
      <c r="AA455" s="880"/>
      <c r="AB455" s="1200"/>
      <c r="AC455" s="890">
        <v>26000</v>
      </c>
      <c r="AD455" s="880"/>
      <c r="AE455" s="1200"/>
      <c r="AF455" s="890">
        <v>26000</v>
      </c>
      <c r="AG455" s="880"/>
      <c r="AH455" s="1200"/>
      <c r="AI455" s="890">
        <v>26000</v>
      </c>
      <c r="AJ455" s="880"/>
      <c r="AK455" s="1200"/>
      <c r="AL455" s="890">
        <v>26000</v>
      </c>
      <c r="AM455" s="880"/>
      <c r="AN455" s="1200"/>
      <c r="AO455" s="890">
        <v>26000</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232"/>
        <v>Taxes foncières</v>
      </c>
      <c r="B456" s="880" t="s">
        <v>237</v>
      </c>
      <c r="C456" s="880"/>
      <c r="D456" s="1200"/>
      <c r="E456" s="879">
        <f t="shared" si="1345"/>
        <v>59162.999999999993</v>
      </c>
      <c r="F456" s="880"/>
      <c r="G456" s="1200"/>
      <c r="H456" s="890">
        <v>4930.2499999999991</v>
      </c>
      <c r="I456" s="880"/>
      <c r="J456" s="1200"/>
      <c r="K456" s="890">
        <v>4930.2499999999991</v>
      </c>
      <c r="L456" s="880"/>
      <c r="M456" s="1200"/>
      <c r="N456" s="890">
        <v>4930.2499999999991</v>
      </c>
      <c r="O456" s="880"/>
      <c r="P456" s="1200"/>
      <c r="Q456" s="890">
        <v>4930.2499999999991</v>
      </c>
      <c r="R456" s="880"/>
      <c r="S456" s="1200"/>
      <c r="T456" s="890">
        <v>4930.2499999999991</v>
      </c>
      <c r="U456" s="880"/>
      <c r="V456" s="1200"/>
      <c r="W456" s="890">
        <v>4930.2499999999991</v>
      </c>
      <c r="X456" s="880"/>
      <c r="Y456" s="1200"/>
      <c r="Z456" s="890">
        <v>4930.2499999999991</v>
      </c>
      <c r="AA456" s="880"/>
      <c r="AB456" s="1200"/>
      <c r="AC456" s="890">
        <v>4930.2499999999991</v>
      </c>
      <c r="AD456" s="880"/>
      <c r="AE456" s="1200"/>
      <c r="AF456" s="890">
        <v>4930.2499999999991</v>
      </c>
      <c r="AG456" s="880"/>
      <c r="AH456" s="1200"/>
      <c r="AI456" s="890">
        <v>4930.2499999999991</v>
      </c>
      <c r="AJ456" s="880"/>
      <c r="AK456" s="1200"/>
      <c r="AL456" s="890">
        <v>4930.2499999999991</v>
      </c>
      <c r="AM456" s="880"/>
      <c r="AN456" s="1200"/>
      <c r="AO456" s="890">
        <v>4930.2499999999991</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232"/>
        <v>Taxes d`affaires</v>
      </c>
      <c r="B457" s="869" t="s">
        <v>239</v>
      </c>
      <c r="C457" s="869"/>
      <c r="D457" s="884"/>
      <c r="E457" s="872">
        <f t="shared" si="1345"/>
        <v>39359.999999999993</v>
      </c>
      <c r="F457" s="869"/>
      <c r="G457" s="884"/>
      <c r="H457" s="896">
        <v>3279.9999999999995</v>
      </c>
      <c r="I457" s="869"/>
      <c r="J457" s="884"/>
      <c r="K457" s="896">
        <v>3279.9999999999995</v>
      </c>
      <c r="L457" s="869"/>
      <c r="M457" s="884"/>
      <c r="N457" s="896">
        <v>3279.9999999999995</v>
      </c>
      <c r="O457" s="869"/>
      <c r="P457" s="884"/>
      <c r="Q457" s="896">
        <v>3279.9999999999995</v>
      </c>
      <c r="R457" s="869"/>
      <c r="S457" s="884"/>
      <c r="T457" s="896">
        <v>3279.9999999999995</v>
      </c>
      <c r="U457" s="869"/>
      <c r="V457" s="884"/>
      <c r="W457" s="896">
        <v>3279.9999999999995</v>
      </c>
      <c r="X457" s="869"/>
      <c r="Y457" s="884"/>
      <c r="Z457" s="896">
        <v>3279.9999999999995</v>
      </c>
      <c r="AA457" s="869"/>
      <c r="AB457" s="884"/>
      <c r="AC457" s="896">
        <v>3279.9999999999995</v>
      </c>
      <c r="AD457" s="869"/>
      <c r="AE457" s="884"/>
      <c r="AF457" s="896">
        <v>3279.9999999999995</v>
      </c>
      <c r="AG457" s="869"/>
      <c r="AH457" s="884"/>
      <c r="AI457" s="896">
        <v>3279.9999999999995</v>
      </c>
      <c r="AJ457" s="869"/>
      <c r="AK457" s="884"/>
      <c r="AL457" s="896">
        <v>3279.9999999999995</v>
      </c>
      <c r="AM457" s="869"/>
      <c r="AN457" s="884"/>
      <c r="AO457" s="896">
        <v>3279.9999999999995</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232"/>
        <v>Taxe sur le capital</v>
      </c>
      <c r="B458" s="880" t="s">
        <v>241</v>
      </c>
      <c r="C458" s="880"/>
      <c r="D458" s="1200"/>
      <c r="E458" s="879">
        <f t="shared" si="1345"/>
        <v>0</v>
      </c>
      <c r="F458" s="880"/>
      <c r="G458" s="1200"/>
      <c r="H458" s="890">
        <v>0</v>
      </c>
      <c r="I458" s="880"/>
      <c r="J458" s="1200"/>
      <c r="K458" s="890">
        <v>0</v>
      </c>
      <c r="L458" s="880"/>
      <c r="M458" s="1200"/>
      <c r="N458" s="890">
        <v>0</v>
      </c>
      <c r="O458" s="880"/>
      <c r="P458" s="1200"/>
      <c r="Q458" s="890">
        <v>0</v>
      </c>
      <c r="R458" s="880"/>
      <c r="S458" s="1200"/>
      <c r="T458" s="890">
        <v>0</v>
      </c>
      <c r="U458" s="880"/>
      <c r="V458" s="1200"/>
      <c r="W458" s="890">
        <v>0</v>
      </c>
      <c r="X458" s="880"/>
      <c r="Y458" s="1200"/>
      <c r="Z458" s="890">
        <v>0</v>
      </c>
      <c r="AA458" s="880"/>
      <c r="AB458" s="1200"/>
      <c r="AC458" s="890">
        <v>0</v>
      </c>
      <c r="AD458" s="880"/>
      <c r="AE458" s="1200"/>
      <c r="AF458" s="890">
        <v>0</v>
      </c>
      <c r="AG458" s="880"/>
      <c r="AH458" s="1200"/>
      <c r="AI458" s="890">
        <v>0</v>
      </c>
      <c r="AJ458" s="880"/>
      <c r="AK458" s="1200"/>
      <c r="AL458" s="890">
        <v>0</v>
      </c>
      <c r="AM458" s="880"/>
      <c r="AN458" s="1200"/>
      <c r="AO458" s="890">
        <v>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232"/>
        <v>Assurances</v>
      </c>
      <c r="B459" s="869" t="s">
        <v>242</v>
      </c>
      <c r="C459" s="869"/>
      <c r="D459" s="884"/>
      <c r="E459" s="872">
        <f t="shared" si="1345"/>
        <v>51246.999999999971</v>
      </c>
      <c r="F459" s="869"/>
      <c r="G459" s="884"/>
      <c r="H459" s="896">
        <v>4270.5833333333321</v>
      </c>
      <c r="I459" s="869"/>
      <c r="J459" s="884"/>
      <c r="K459" s="896">
        <v>4270.5833333333321</v>
      </c>
      <c r="L459" s="869"/>
      <c r="M459" s="884"/>
      <c r="N459" s="896">
        <v>4270.5833333333321</v>
      </c>
      <c r="O459" s="869"/>
      <c r="P459" s="884"/>
      <c r="Q459" s="896">
        <v>4270.5833333333321</v>
      </c>
      <c r="R459" s="869"/>
      <c r="S459" s="884"/>
      <c r="T459" s="896">
        <v>4270.5833333333321</v>
      </c>
      <c r="U459" s="869"/>
      <c r="V459" s="884"/>
      <c r="W459" s="896">
        <v>4270.5833333333321</v>
      </c>
      <c r="X459" s="869"/>
      <c r="Y459" s="884"/>
      <c r="Z459" s="896">
        <v>4270.5833333333321</v>
      </c>
      <c r="AA459" s="869"/>
      <c r="AB459" s="884"/>
      <c r="AC459" s="896">
        <v>4270.5833333333321</v>
      </c>
      <c r="AD459" s="869"/>
      <c r="AE459" s="884"/>
      <c r="AF459" s="896">
        <v>4270.5833333333321</v>
      </c>
      <c r="AG459" s="869"/>
      <c r="AH459" s="884"/>
      <c r="AI459" s="896">
        <v>4270.5833333333321</v>
      </c>
      <c r="AJ459" s="869"/>
      <c r="AK459" s="884"/>
      <c r="AL459" s="896">
        <v>4270.5833333333321</v>
      </c>
      <c r="AM459" s="869"/>
      <c r="AN459" s="884"/>
      <c r="AO459" s="896">
        <v>4270.5833333333321</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232"/>
        <v>Chauffage, éclairage</v>
      </c>
      <c r="B460" s="880" t="s">
        <v>244</v>
      </c>
      <c r="C460" s="880"/>
      <c r="D460" s="1200"/>
      <c r="E460" s="879">
        <f t="shared" si="1345"/>
        <v>34061.836500000005</v>
      </c>
      <c r="F460" s="880"/>
      <c r="G460" s="1200"/>
      <c r="H460" s="890">
        <v>2838.4863750000004</v>
      </c>
      <c r="I460" s="880"/>
      <c r="J460" s="1200"/>
      <c r="K460" s="890">
        <v>2838.4863750000004</v>
      </c>
      <c r="L460" s="880"/>
      <c r="M460" s="1200"/>
      <c r="N460" s="890">
        <v>2838.4863750000004</v>
      </c>
      <c r="O460" s="880"/>
      <c r="P460" s="1200"/>
      <c r="Q460" s="890">
        <v>2838.4863750000004</v>
      </c>
      <c r="R460" s="880"/>
      <c r="S460" s="1200"/>
      <c r="T460" s="890">
        <v>2838.4863750000004</v>
      </c>
      <c r="U460" s="880"/>
      <c r="V460" s="1200"/>
      <c r="W460" s="890">
        <v>2838.4863750000004</v>
      </c>
      <c r="X460" s="880"/>
      <c r="Y460" s="1200"/>
      <c r="Z460" s="890">
        <v>2838.4863750000004</v>
      </c>
      <c r="AA460" s="880"/>
      <c r="AB460" s="1200"/>
      <c r="AC460" s="890">
        <v>2838.4863750000004</v>
      </c>
      <c r="AD460" s="880"/>
      <c r="AE460" s="1200"/>
      <c r="AF460" s="890">
        <v>2838.4863750000004</v>
      </c>
      <c r="AG460" s="880"/>
      <c r="AH460" s="1200"/>
      <c r="AI460" s="890">
        <v>2838.4863750000004</v>
      </c>
      <c r="AJ460" s="880"/>
      <c r="AK460" s="1200"/>
      <c r="AL460" s="890">
        <v>2838.4863750000004</v>
      </c>
      <c r="AM460" s="880"/>
      <c r="AN460" s="1200"/>
      <c r="AO460" s="890">
        <v>2838.4863750000004</v>
      </c>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232"/>
        <v>Honoraires</v>
      </c>
      <c r="B461" s="880" t="s">
        <v>246</v>
      </c>
      <c r="C461" s="880"/>
      <c r="D461" s="1200"/>
      <c r="E461" s="879">
        <f t="shared" si="1345"/>
        <v>73474</v>
      </c>
      <c r="F461" s="880"/>
      <c r="G461" s="1200"/>
      <c r="H461" s="890">
        <v>6122.833333333333</v>
      </c>
      <c r="I461" s="880"/>
      <c r="J461" s="1200"/>
      <c r="K461" s="890">
        <v>6122.833333333333</v>
      </c>
      <c r="L461" s="880"/>
      <c r="M461" s="1200"/>
      <c r="N461" s="890">
        <v>6122.833333333333</v>
      </c>
      <c r="O461" s="880"/>
      <c r="P461" s="1200"/>
      <c r="Q461" s="890">
        <v>6122.833333333333</v>
      </c>
      <c r="R461" s="880"/>
      <c r="S461" s="1200"/>
      <c r="T461" s="890">
        <v>6122.833333333333</v>
      </c>
      <c r="U461" s="880"/>
      <c r="V461" s="1200"/>
      <c r="W461" s="890">
        <v>6122.833333333333</v>
      </c>
      <c r="X461" s="880"/>
      <c r="Y461" s="1200"/>
      <c r="Z461" s="890">
        <v>6122.833333333333</v>
      </c>
      <c r="AA461" s="880"/>
      <c r="AB461" s="1200"/>
      <c r="AC461" s="890">
        <v>6122.833333333333</v>
      </c>
      <c r="AD461" s="880"/>
      <c r="AE461" s="1200"/>
      <c r="AF461" s="890">
        <v>6122.833333333333</v>
      </c>
      <c r="AG461" s="880"/>
      <c r="AH461" s="1200"/>
      <c r="AI461" s="890">
        <v>6122.833333333333</v>
      </c>
      <c r="AJ461" s="880"/>
      <c r="AK461" s="1200"/>
      <c r="AL461" s="890">
        <v>6122.833333333333</v>
      </c>
      <c r="AM461" s="880"/>
      <c r="AN461" s="1200"/>
      <c r="AO461" s="890">
        <v>6122.833333333333</v>
      </c>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232"/>
        <v>Réparation équipement</v>
      </c>
      <c r="B462" s="869" t="s">
        <v>248</v>
      </c>
      <c r="C462" s="869"/>
      <c r="D462" s="884"/>
      <c r="E462" s="872">
        <f t="shared" si="1345"/>
        <v>14266.318999999998</v>
      </c>
      <c r="F462" s="869"/>
      <c r="G462" s="884"/>
      <c r="H462" s="896">
        <v>1188.8599166666665</v>
      </c>
      <c r="I462" s="869"/>
      <c r="J462" s="884"/>
      <c r="K462" s="896">
        <v>1188.8599166666665</v>
      </c>
      <c r="L462" s="869"/>
      <c r="M462" s="884"/>
      <c r="N462" s="896">
        <v>1188.8599166666665</v>
      </c>
      <c r="O462" s="869"/>
      <c r="P462" s="884"/>
      <c r="Q462" s="896">
        <v>1188.8599166666665</v>
      </c>
      <c r="R462" s="869"/>
      <c r="S462" s="884"/>
      <c r="T462" s="896">
        <v>1188.8599166666665</v>
      </c>
      <c r="U462" s="869"/>
      <c r="V462" s="884"/>
      <c r="W462" s="896">
        <v>1188.8599166666665</v>
      </c>
      <c r="X462" s="869"/>
      <c r="Y462" s="884"/>
      <c r="Z462" s="896">
        <v>1188.8599166666665</v>
      </c>
      <c r="AA462" s="869"/>
      <c r="AB462" s="884"/>
      <c r="AC462" s="896">
        <v>1188.8599166666665</v>
      </c>
      <c r="AD462" s="869"/>
      <c r="AE462" s="884"/>
      <c r="AF462" s="896">
        <v>1188.8599166666665</v>
      </c>
      <c r="AG462" s="869"/>
      <c r="AH462" s="884"/>
      <c r="AI462" s="896">
        <v>1188.8599166666665</v>
      </c>
      <c r="AJ462" s="869"/>
      <c r="AK462" s="884"/>
      <c r="AL462" s="896">
        <v>1188.8599166666665</v>
      </c>
      <c r="AM462" s="869"/>
      <c r="AN462" s="884"/>
      <c r="AO462" s="896">
        <v>1188.8599166666665</v>
      </c>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232"/>
        <v>Location équipement</v>
      </c>
      <c r="B463" s="880" t="s">
        <v>250</v>
      </c>
      <c r="C463" s="880"/>
      <c r="D463" s="1200"/>
      <c r="E463" s="879">
        <f t="shared" si="1345"/>
        <v>2767.5</v>
      </c>
      <c r="F463" s="880"/>
      <c r="G463" s="1200"/>
      <c r="H463" s="890">
        <v>230.625</v>
      </c>
      <c r="I463" s="880"/>
      <c r="J463" s="1200"/>
      <c r="K463" s="890">
        <v>230.625</v>
      </c>
      <c r="L463" s="880"/>
      <c r="M463" s="1200"/>
      <c r="N463" s="890">
        <v>230.625</v>
      </c>
      <c r="O463" s="880"/>
      <c r="P463" s="1200"/>
      <c r="Q463" s="890">
        <v>230.625</v>
      </c>
      <c r="R463" s="880"/>
      <c r="S463" s="1200"/>
      <c r="T463" s="890">
        <v>230.625</v>
      </c>
      <c r="U463" s="880"/>
      <c r="V463" s="1200"/>
      <c r="W463" s="890">
        <v>230.625</v>
      </c>
      <c r="X463" s="880"/>
      <c r="Y463" s="1200"/>
      <c r="Z463" s="890">
        <v>230.625</v>
      </c>
      <c r="AA463" s="880"/>
      <c r="AB463" s="1200"/>
      <c r="AC463" s="890">
        <v>230.625</v>
      </c>
      <c r="AD463" s="880"/>
      <c r="AE463" s="1200"/>
      <c r="AF463" s="890">
        <v>230.625</v>
      </c>
      <c r="AG463" s="880"/>
      <c r="AH463" s="1200"/>
      <c r="AI463" s="890">
        <v>230.625</v>
      </c>
      <c r="AJ463" s="880"/>
      <c r="AK463" s="1200"/>
      <c r="AL463" s="890">
        <v>230.625</v>
      </c>
      <c r="AM463" s="880"/>
      <c r="AN463" s="1200"/>
      <c r="AO463" s="890">
        <v>230.625</v>
      </c>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232"/>
        <v>Dons</v>
      </c>
      <c r="B464" s="880" t="s">
        <v>252</v>
      </c>
      <c r="C464" s="880"/>
      <c r="D464" s="1200"/>
      <c r="E464" s="879">
        <f t="shared" si="1345"/>
        <v>0</v>
      </c>
      <c r="F464" s="880"/>
      <c r="G464" s="1200"/>
      <c r="H464" s="890">
        <v>0</v>
      </c>
      <c r="I464" s="880"/>
      <c r="J464" s="1200"/>
      <c r="K464" s="890">
        <v>0</v>
      </c>
      <c r="L464" s="880"/>
      <c r="M464" s="1200"/>
      <c r="N464" s="890">
        <v>0</v>
      </c>
      <c r="O464" s="880"/>
      <c r="P464" s="1200"/>
      <c r="Q464" s="890">
        <v>0</v>
      </c>
      <c r="R464" s="880"/>
      <c r="S464" s="1200"/>
      <c r="T464" s="890">
        <v>0</v>
      </c>
      <c r="U464" s="880"/>
      <c r="V464" s="1200"/>
      <c r="W464" s="890">
        <v>0</v>
      </c>
      <c r="X464" s="880"/>
      <c r="Y464" s="1200"/>
      <c r="Z464" s="890">
        <v>0</v>
      </c>
      <c r="AA464" s="880"/>
      <c r="AB464" s="1200"/>
      <c r="AC464" s="890">
        <v>0</v>
      </c>
      <c r="AD464" s="880"/>
      <c r="AE464" s="1200"/>
      <c r="AF464" s="890">
        <v>0</v>
      </c>
      <c r="AG464" s="880"/>
      <c r="AH464" s="1200"/>
      <c r="AI464" s="890">
        <v>0</v>
      </c>
      <c r="AJ464" s="880"/>
      <c r="AK464" s="1200"/>
      <c r="AL464" s="890">
        <v>0</v>
      </c>
      <c r="AM464" s="880"/>
      <c r="AN464" s="1200"/>
      <c r="AO464" s="890">
        <v>0</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t="str">
        <f t="shared" si="1232"/>
        <v>[...]</v>
      </c>
      <c r="B465" s="880" t="s">
        <v>42</v>
      </c>
      <c r="C465" s="880"/>
      <c r="D465" s="1200"/>
      <c r="E465" s="879">
        <f t="shared" si="1345"/>
        <v>0</v>
      </c>
      <c r="F465" s="880"/>
      <c r="G465" s="1200"/>
      <c r="H465" s="879"/>
      <c r="I465" s="880"/>
      <c r="J465" s="1200"/>
      <c r="K465" s="879"/>
      <c r="L465" s="880"/>
      <c r="M465" s="1200"/>
      <c r="N465" s="879"/>
      <c r="O465" s="880"/>
      <c r="P465" s="1200"/>
      <c r="Q465" s="879"/>
      <c r="R465" s="880"/>
      <c r="S465" s="1200"/>
      <c r="T465" s="879"/>
      <c r="U465" s="880"/>
      <c r="V465" s="1200"/>
      <c r="W465" s="879"/>
      <c r="X465" s="880"/>
      <c r="Y465" s="1200"/>
      <c r="Z465" s="879"/>
      <c r="AA465" s="880"/>
      <c r="AB465" s="1200"/>
      <c r="AC465" s="879"/>
      <c r="AD465" s="880"/>
      <c r="AE465" s="1200"/>
      <c r="AF465" s="879"/>
      <c r="AG465" s="880"/>
      <c r="AH465" s="1200"/>
      <c r="AI465" s="879"/>
      <c r="AJ465" s="880"/>
      <c r="AK465" s="1200"/>
      <c r="AL465" s="879"/>
      <c r="AM465" s="880"/>
      <c r="AN465" s="1200"/>
      <c r="AO465" s="879"/>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232"/>
        <v>[...]</v>
      </c>
      <c r="B466" s="880" t="s">
        <v>42</v>
      </c>
      <c r="C466" s="880"/>
      <c r="D466" s="1200"/>
      <c r="E466" s="879">
        <f t="shared" si="1345"/>
        <v>0</v>
      </c>
      <c r="F466" s="880"/>
      <c r="G466" s="1200"/>
      <c r="H466" s="879"/>
      <c r="I466" s="880"/>
      <c r="J466" s="1200"/>
      <c r="K466" s="879"/>
      <c r="L466" s="880"/>
      <c r="M466" s="1200"/>
      <c r="N466" s="879"/>
      <c r="O466" s="880"/>
      <c r="P466" s="1200"/>
      <c r="Q466" s="879"/>
      <c r="R466" s="880"/>
      <c r="S466" s="1200"/>
      <c r="T466" s="879"/>
      <c r="U466" s="880"/>
      <c r="V466" s="1200"/>
      <c r="W466" s="879"/>
      <c r="X466" s="880"/>
      <c r="Y466" s="1200"/>
      <c r="Z466" s="879"/>
      <c r="AA466" s="880"/>
      <c r="AB466" s="1200"/>
      <c r="AC466" s="879"/>
      <c r="AD466" s="880"/>
      <c r="AE466" s="1200"/>
      <c r="AF466" s="879"/>
      <c r="AG466" s="880"/>
      <c r="AH466" s="1200"/>
      <c r="AI466" s="879"/>
      <c r="AJ466" s="880"/>
      <c r="AK466" s="1200"/>
      <c r="AL466" s="879"/>
      <c r="AM466" s="880"/>
      <c r="AN466" s="1200"/>
      <c r="AO466" s="879"/>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20.25">
      <c r="A467" s="617" t="str">
        <f t="shared" si="1232"/>
        <v>[...]</v>
      </c>
      <c r="B467" s="880" t="s">
        <v>42</v>
      </c>
      <c r="C467" s="880"/>
      <c r="D467" s="1200"/>
      <c r="E467" s="879">
        <f t="shared" si="1345"/>
        <v>0</v>
      </c>
      <c r="F467" s="880"/>
      <c r="G467" s="1200"/>
      <c r="H467" s="879"/>
      <c r="I467" s="880"/>
      <c r="J467" s="1200"/>
      <c r="K467" s="879"/>
      <c r="L467" s="880"/>
      <c r="M467" s="1200"/>
      <c r="N467" s="879"/>
      <c r="O467" s="880"/>
      <c r="P467" s="1200"/>
      <c r="Q467" s="879"/>
      <c r="R467" s="880"/>
      <c r="S467" s="1200"/>
      <c r="T467" s="879"/>
      <c r="U467" s="880"/>
      <c r="V467" s="1200"/>
      <c r="W467" s="879"/>
      <c r="X467" s="880"/>
      <c r="Y467" s="1200"/>
      <c r="Z467" s="879"/>
      <c r="AA467" s="880"/>
      <c r="AB467" s="1200"/>
      <c r="AC467" s="879"/>
      <c r="AD467" s="880"/>
      <c r="AE467" s="1200"/>
      <c r="AF467" s="879"/>
      <c r="AG467" s="880"/>
      <c r="AH467" s="1200"/>
      <c r="AI467" s="879"/>
      <c r="AJ467" s="880"/>
      <c r="AK467" s="1200"/>
      <c r="AL467" s="879"/>
      <c r="AM467" s="880"/>
      <c r="AN467" s="1200"/>
      <c r="AO467" s="879"/>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20.25">
      <c r="A468" s="617" t="str">
        <f t="shared" si="1232"/>
        <v>TOTAL DÉPENSES FIXES</v>
      </c>
      <c r="B468" s="886" t="s">
        <v>254</v>
      </c>
      <c r="C468" s="887">
        <f>IFERROR(E468/E409,0)</f>
        <v>7.6697060996573016E-2</v>
      </c>
      <c r="D468" s="888"/>
      <c r="E468" s="889">
        <f>SUM(E455:E467)</f>
        <v>586339.65549999999</v>
      </c>
      <c r="F468" s="887">
        <f>IFERROR(H468/H409,0)</f>
        <v>0.11019269413906131</v>
      </c>
      <c r="G468" s="888"/>
      <c r="H468" s="889">
        <f>SUM(H455:H467)</f>
        <v>48861.637958333333</v>
      </c>
      <c r="I468" s="887">
        <f t="shared" ref="I468" si="1346">IFERROR(K468/K409,0)</f>
        <v>0.11027443622776519</v>
      </c>
      <c r="J468" s="888"/>
      <c r="K468" s="889">
        <f t="shared" ref="K468" si="1347">SUM(K455:K467)</f>
        <v>48861.637958333333</v>
      </c>
      <c r="L468" s="887">
        <f t="shared" ref="L468" si="1348">IFERROR(N468/N409,0)</f>
        <v>7.626505901461729E-2</v>
      </c>
      <c r="M468" s="888"/>
      <c r="N468" s="889">
        <f t="shared" ref="N468" si="1349">SUM(N455:N467)</f>
        <v>48861.637958333333</v>
      </c>
      <c r="O468" s="887">
        <f t="shared" ref="O468" si="1350">IFERROR(Q468/Q409,0)</f>
        <v>6.5311559417689041E-2</v>
      </c>
      <c r="P468" s="888"/>
      <c r="Q468" s="889">
        <f t="shared" ref="Q468" si="1351">SUM(Q455:Q467)</f>
        <v>48861.637958333333</v>
      </c>
      <c r="R468" s="887">
        <f t="shared" ref="R468" si="1352">IFERROR(T468/T409,0)</f>
        <v>6.3770630738572767E-2</v>
      </c>
      <c r="S468" s="888"/>
      <c r="T468" s="889">
        <f t="shared" ref="T468" si="1353">SUM(T455:T467)</f>
        <v>48861.637958333333</v>
      </c>
      <c r="U468" s="887">
        <f t="shared" ref="U468" si="1354">IFERROR(W468/W409,0)</f>
        <v>7.0382145536188961E-2</v>
      </c>
      <c r="V468" s="888"/>
      <c r="W468" s="889">
        <f t="shared" ref="W468" si="1355">SUM(W455:W467)</f>
        <v>48861.637958333333</v>
      </c>
      <c r="X468" s="887">
        <f t="shared" ref="X468" si="1356">IFERROR(Z468/Z409,0)</f>
        <v>7.1903768978142324E-2</v>
      </c>
      <c r="Y468" s="888"/>
      <c r="Z468" s="889">
        <f t="shared" ref="Z468" si="1357">SUM(Z455:Z467)</f>
        <v>48861.637958333333</v>
      </c>
      <c r="AA468" s="887">
        <f t="shared" ref="AA468" si="1358">IFERROR(AC468/AC409,0)</f>
        <v>7.3307531530701742E-2</v>
      </c>
      <c r="AB468" s="888"/>
      <c r="AC468" s="889">
        <f t="shared" ref="AC468" si="1359">SUM(AC455:AC467)</f>
        <v>48861.637958333333</v>
      </c>
      <c r="AD468" s="887">
        <f t="shared" ref="AD468" si="1360">IFERROR(AF468/AF409,0)</f>
        <v>8.256668121075654E-2</v>
      </c>
      <c r="AE468" s="888"/>
      <c r="AF468" s="889">
        <f t="shared" ref="AF468" si="1361">SUM(AF455:AF467)</f>
        <v>48861.637958333333</v>
      </c>
      <c r="AG468" s="887">
        <f t="shared" ref="AG468" si="1362">IFERROR(AI468/AI409,0)</f>
        <v>6.7443361374146624E-2</v>
      </c>
      <c r="AH468" s="888"/>
      <c r="AI468" s="889">
        <f t="shared" ref="AI468" si="1363">SUM(AI455:AI467)</f>
        <v>48861.637958333333</v>
      </c>
      <c r="AJ468" s="887">
        <f t="shared" ref="AJ468" si="1364">IFERROR(AL468/AL409,0)</f>
        <v>6.3202767819890801E-2</v>
      </c>
      <c r="AK468" s="888"/>
      <c r="AL468" s="889">
        <f t="shared" ref="AL468" si="1365">SUM(AL455:AL467)</f>
        <v>48861.637958333333</v>
      </c>
      <c r="AM468" s="887">
        <f t="shared" ref="AM468" si="1366">IFERROR(AO468/AO409,0)</f>
        <v>0.10315377327153778</v>
      </c>
      <c r="AN468" s="888"/>
      <c r="AO468" s="889">
        <f t="shared" ref="AO468" si="1367">SUM(AO455:AO467)</f>
        <v>48861.637958333333</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20.25">
      <c r="A469" s="617">
        <f t="shared" si="1232"/>
        <v>0</v>
      </c>
      <c r="B469" s="880"/>
      <c r="C469" s="1208"/>
      <c r="D469" s="1209"/>
      <c r="E469" s="1210">
        <f>+E464+SUM(E442:E450,E440)</f>
        <v>257626.90283842714</v>
      </c>
      <c r="F469" s="1208"/>
      <c r="G469" s="1209"/>
      <c r="H469" s="1210">
        <f>+H464+SUM(H442:H450,H440)</f>
        <v>18596.278709719751</v>
      </c>
      <c r="I469" s="1208"/>
      <c r="J469" s="1209"/>
      <c r="K469" s="1210">
        <f>+K464+SUM(K442:K450,K440)</f>
        <v>17856.05621809966</v>
      </c>
      <c r="L469" s="1208"/>
      <c r="M469" s="1209"/>
      <c r="N469" s="1210">
        <f>+N464+SUM(N442:N450,N440)</f>
        <v>19663.040678257301</v>
      </c>
      <c r="O469" s="1208"/>
      <c r="P469" s="1209"/>
      <c r="Q469" s="1210">
        <f>+Q464+SUM(Q442:Q450,Q440)</f>
        <v>25049.768686541869</v>
      </c>
      <c r="R469" s="1208"/>
      <c r="S469" s="1209"/>
      <c r="T469" s="1210">
        <f>+T464+SUM(T442:T450,T440)</f>
        <v>24442.080498502051</v>
      </c>
      <c r="U469" s="1208"/>
      <c r="V469" s="1209"/>
      <c r="W469" s="1210">
        <f>+W464+SUM(W442:W450,W440)</f>
        <v>20646.218272374757</v>
      </c>
      <c r="X469" s="1208"/>
      <c r="Y469" s="1209"/>
      <c r="Z469" s="1210">
        <f>+Z464+SUM(Z442:Z450,Z440)</f>
        <v>20442.115956989768</v>
      </c>
      <c r="AA469" s="1208"/>
      <c r="AB469" s="1209"/>
      <c r="AC469" s="1210">
        <f>+AC464+SUM(AC442:AC450,AC440)</f>
        <v>20950.26863485256</v>
      </c>
      <c r="AD469" s="1208"/>
      <c r="AE469" s="1209"/>
      <c r="AF469" s="1210">
        <f>+AF464+SUM(AF442:AF450,AF440)</f>
        <v>18937.449601399116</v>
      </c>
      <c r="AG469" s="1208"/>
      <c r="AH469" s="1209"/>
      <c r="AI469" s="1210">
        <f>+AI464+SUM(AI442:AI450,AI440)</f>
        <v>23715.594118101337</v>
      </c>
      <c r="AJ469" s="1208"/>
      <c r="AK469" s="1209"/>
      <c r="AL469" s="1210">
        <f>+AL464+SUM(AL442:AL450,AL440)</f>
        <v>27887.374653890827</v>
      </c>
      <c r="AM469" s="1208"/>
      <c r="AN469" s="1209"/>
      <c r="AO469" s="1210">
        <f>+AO464+SUM(AO442:AO450,AO440)</f>
        <v>19440.656809698125</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20.25">
      <c r="A470" s="617" t="str">
        <f t="shared" si="1232"/>
        <v>TOTAL DES DÉPENSES</v>
      </c>
      <c r="B470" s="886" t="s">
        <v>136</v>
      </c>
      <c r="C470" s="887">
        <f>IFERROR(E470/E409,0)</f>
        <v>0.90529744874325524</v>
      </c>
      <c r="D470" s="888"/>
      <c r="E470" s="889">
        <f>E421+E435+E454+E468</f>
        <v>6920888.3277139775</v>
      </c>
      <c r="F470" s="887">
        <f>IFERROR(H470/H409,0)</f>
        <v>1.1164246853876918</v>
      </c>
      <c r="G470" s="888"/>
      <c r="H470" s="889">
        <f>H421+H435+H454+H468</f>
        <v>495044.96837438236</v>
      </c>
      <c r="I470" s="887">
        <f t="shared" ref="I470" si="1368">IFERROR(K470/K409,0)</f>
        <v>1.1042616314790128</v>
      </c>
      <c r="J470" s="888"/>
      <c r="K470" s="889">
        <f t="shared" ref="K470" si="1369">K421+K435+K454+K468</f>
        <v>489288.66829265037</v>
      </c>
      <c r="L470" s="887">
        <f t="shared" ref="L470" si="1370">IFERROR(N470/N409,0)</f>
        <v>0.93157710036843344</v>
      </c>
      <c r="M470" s="888"/>
      <c r="N470" s="889">
        <f t="shared" ref="N470" si="1371">N421+N435+N454+N468</f>
        <v>596844.52613813756</v>
      </c>
      <c r="O470" s="887">
        <f t="shared" ref="O470" si="1372">IFERROR(Q470/Q409,0)</f>
        <v>0.82095750886459062</v>
      </c>
      <c r="P470" s="888"/>
      <c r="Q470" s="889">
        <f t="shared" ref="Q470" si="1373">Q421+Q435+Q454+Q468</f>
        <v>614184.21080376976</v>
      </c>
      <c r="R470" s="887">
        <f t="shared" ref="R470" si="1374">IFERROR(T470/T409,0)</f>
        <v>0.83708164677290275</v>
      </c>
      <c r="S470" s="888"/>
      <c r="T470" s="889">
        <f t="shared" ref="T470" si="1375">T421+T435+T454+T468</f>
        <v>641379.58010572498</v>
      </c>
      <c r="U470" s="887">
        <f t="shared" ref="U470" si="1376">IFERROR(W470/W409,0)</f>
        <v>0.86053362294699609</v>
      </c>
      <c r="V470" s="888"/>
      <c r="W470" s="889">
        <f t="shared" ref="W470" si="1377">W421+W435+W454+W468</f>
        <v>597411.20443379146</v>
      </c>
      <c r="X470" s="887">
        <f t="shared" ref="X470" si="1378">IFERROR(Z470/Z409,0)</f>
        <v>0.891065255468934</v>
      </c>
      <c r="Y470" s="888"/>
      <c r="Z470" s="889">
        <f t="shared" ref="Z470" si="1379">Z421+Z435+Z454+Z468</f>
        <v>605516.3523237292</v>
      </c>
      <c r="AA470" s="887">
        <f t="shared" ref="AA470" si="1380">IFERROR(AC470/AC409,0)</f>
        <v>0.89226442866383426</v>
      </c>
      <c r="AB470" s="888"/>
      <c r="AC470" s="889">
        <f t="shared" ref="AC470" si="1381">AC421+AC435+AC454+AC468</f>
        <v>594720.63192050671</v>
      </c>
      <c r="AD470" s="887">
        <f t="shared" ref="AD470" si="1382">IFERROR(AF470/AF409,0)</f>
        <v>0.95522687216171331</v>
      </c>
      <c r="AE470" s="888"/>
      <c r="AF470" s="889">
        <f t="shared" ref="AF470" si="1383">AF421+AF435+AF454+AF468</f>
        <v>565287.94558786566</v>
      </c>
      <c r="AG470" s="887">
        <f t="shared" ref="AG470" si="1384">IFERROR(AI470/AI409,0)</f>
        <v>0.81799678290635458</v>
      </c>
      <c r="AH470" s="888"/>
      <c r="AI470" s="889">
        <f t="shared" ref="AI470" si="1385">AI421+AI435+AI454+AI468</f>
        <v>592625.60232908349</v>
      </c>
      <c r="AJ470" s="887">
        <f t="shared" ref="AJ470" si="1386">IFERROR(AL470/AL409,0)</f>
        <v>0.78840016973250382</v>
      </c>
      <c r="AK470" s="888"/>
      <c r="AL470" s="889">
        <f t="shared" ref="AL470" si="1387">AL421+AL435+AL454+AL468</f>
        <v>609506.909088791</v>
      </c>
      <c r="AM470" s="887">
        <f t="shared" ref="AM470" si="1388">IFERROR(AO470/AO409,0)</f>
        <v>1.0958459137744607</v>
      </c>
      <c r="AN470" s="888"/>
      <c r="AO470" s="889">
        <f t="shared" ref="AO470" si="1389">AO421+AO435+AO454+AO468</f>
        <v>519077.72831554548</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232"/>
        <v>Revenus autres</v>
      </c>
      <c r="B471" s="880" t="s">
        <v>255</v>
      </c>
      <c r="C471" s="897"/>
      <c r="D471" s="898"/>
      <c r="E471" s="899">
        <f t="shared" ref="E471:E482" si="1390">+SUM(H471,K471,N471,Q471,T471,W471,Z471,AC471,AF471,AI471,AL471,AO471)</f>
        <v>93159.430000000008</v>
      </c>
      <c r="F471" s="897"/>
      <c r="G471" s="898"/>
      <c r="H471" s="899">
        <v>360</v>
      </c>
      <c r="I471" s="897"/>
      <c r="J471" s="898"/>
      <c r="K471" s="899">
        <v>19493.39</v>
      </c>
      <c r="L471" s="897"/>
      <c r="M471" s="898"/>
      <c r="N471" s="899">
        <v>0</v>
      </c>
      <c r="O471" s="897"/>
      <c r="P471" s="898"/>
      <c r="Q471" s="899">
        <v>2969.34</v>
      </c>
      <c r="R471" s="897"/>
      <c r="S471" s="898"/>
      <c r="T471" s="899">
        <v>14968.87</v>
      </c>
      <c r="U471" s="897"/>
      <c r="V471" s="898"/>
      <c r="W471" s="899">
        <v>1758.03</v>
      </c>
      <c r="X471" s="897"/>
      <c r="Y471" s="898"/>
      <c r="Z471" s="899">
        <v>1091.5</v>
      </c>
      <c r="AA471" s="897"/>
      <c r="AB471" s="898"/>
      <c r="AC471" s="899">
        <v>26232.22</v>
      </c>
      <c r="AD471" s="897"/>
      <c r="AE471" s="898"/>
      <c r="AF471" s="899">
        <v>176.08</v>
      </c>
      <c r="AG471" s="897"/>
      <c r="AH471" s="898"/>
      <c r="AI471" s="899">
        <v>0</v>
      </c>
      <c r="AJ471" s="897"/>
      <c r="AK471" s="898"/>
      <c r="AL471" s="899">
        <v>26110</v>
      </c>
      <c r="AM471" s="897"/>
      <c r="AN471" s="898"/>
      <c r="AO471" s="899">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232"/>
        <v>Holdbacks</v>
      </c>
      <c r="B472" s="880" t="s">
        <v>140</v>
      </c>
      <c r="C472" s="900"/>
      <c r="D472" s="1211"/>
      <c r="E472" s="879">
        <f t="shared" si="1390"/>
        <v>868219.1549999998</v>
      </c>
      <c r="F472" s="900"/>
      <c r="G472" s="1211"/>
      <c r="H472" s="879">
        <v>40795.839813252998</v>
      </c>
      <c r="I472" s="900"/>
      <c r="J472" s="1211"/>
      <c r="K472" s="879">
        <v>41841.886987951802</v>
      </c>
      <c r="L472" s="900"/>
      <c r="M472" s="1211"/>
      <c r="N472" s="879">
        <v>77407.490927710824</v>
      </c>
      <c r="O472" s="900"/>
      <c r="P472" s="1211"/>
      <c r="Q472" s="879">
        <v>85775.868325301184</v>
      </c>
      <c r="R472" s="900"/>
      <c r="S472" s="1211"/>
      <c r="T472" s="879">
        <v>100420.52877108431</v>
      </c>
      <c r="U472" s="900"/>
      <c r="V472" s="1211"/>
      <c r="W472" s="879">
        <v>77407.490927710824</v>
      </c>
      <c r="X472" s="900"/>
      <c r="Y472" s="1211"/>
      <c r="Z472" s="879">
        <v>88914.009849397567</v>
      </c>
      <c r="AA472" s="900"/>
      <c r="AB472" s="1211"/>
      <c r="AC472" s="879">
        <v>85775.868325301184</v>
      </c>
      <c r="AD472" s="900"/>
      <c r="AE472" s="1211"/>
      <c r="AF472" s="879">
        <v>75315.39657831323</v>
      </c>
      <c r="AG472" s="900"/>
      <c r="AH472" s="1211"/>
      <c r="AI472" s="879">
        <v>80545.632451807207</v>
      </c>
      <c r="AJ472" s="900"/>
      <c r="AK472" s="1211"/>
      <c r="AL472" s="879">
        <v>72177.255054216846</v>
      </c>
      <c r="AM472" s="900"/>
      <c r="AN472" s="1211"/>
      <c r="AO472" s="879">
        <v>41841.886987951802</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232"/>
        <v>Programme neuf 1</v>
      </c>
      <c r="B473" s="880" t="s">
        <v>137</v>
      </c>
      <c r="C473" s="900"/>
      <c r="D473" s="1211"/>
      <c r="E473" s="879">
        <f t="shared" si="1390"/>
        <v>66483</v>
      </c>
      <c r="F473" s="900"/>
      <c r="G473" s="1211"/>
      <c r="H473" s="879">
        <v>0</v>
      </c>
      <c r="I473" s="900"/>
      <c r="J473" s="1211"/>
      <c r="K473" s="879">
        <v>0</v>
      </c>
      <c r="L473" s="900"/>
      <c r="M473" s="1211"/>
      <c r="N473" s="879">
        <v>12255.3</v>
      </c>
      <c r="O473" s="900"/>
      <c r="P473" s="1211"/>
      <c r="Q473" s="879">
        <v>0</v>
      </c>
      <c r="R473" s="900"/>
      <c r="S473" s="1211"/>
      <c r="T473" s="879">
        <v>0</v>
      </c>
      <c r="U473" s="900"/>
      <c r="V473" s="1211"/>
      <c r="W473" s="879">
        <v>20185.2</v>
      </c>
      <c r="X473" s="900"/>
      <c r="Y473" s="1211"/>
      <c r="Z473" s="879">
        <v>0</v>
      </c>
      <c r="AA473" s="900"/>
      <c r="AB473" s="1211"/>
      <c r="AC473" s="879">
        <v>0</v>
      </c>
      <c r="AD473" s="900"/>
      <c r="AE473" s="1211"/>
      <c r="AF473" s="879">
        <v>19143.900000000001</v>
      </c>
      <c r="AG473" s="900"/>
      <c r="AH473" s="1211"/>
      <c r="AI473" s="879">
        <v>0</v>
      </c>
      <c r="AJ473" s="900"/>
      <c r="AK473" s="1211"/>
      <c r="AL473" s="879">
        <v>0</v>
      </c>
      <c r="AM473" s="900"/>
      <c r="AN473" s="1211"/>
      <c r="AO473" s="879">
        <v>14898.599999999999</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ref="A474:A485" si="1391">B474</f>
        <v>Programme neuf 2</v>
      </c>
      <c r="B474" s="880" t="s">
        <v>138</v>
      </c>
      <c r="C474" s="900"/>
      <c r="D474" s="1211"/>
      <c r="E474" s="879">
        <f t="shared" si="1390"/>
        <v>0</v>
      </c>
      <c r="F474" s="900"/>
      <c r="G474" s="1211"/>
      <c r="H474" s="879">
        <v>0</v>
      </c>
      <c r="I474" s="900"/>
      <c r="J474" s="1211"/>
      <c r="K474" s="879">
        <v>0</v>
      </c>
      <c r="L474" s="900"/>
      <c r="M474" s="1211"/>
      <c r="N474" s="879">
        <v>0</v>
      </c>
      <c r="O474" s="900"/>
      <c r="P474" s="1211"/>
      <c r="Q474" s="879">
        <v>0</v>
      </c>
      <c r="R474" s="900"/>
      <c r="S474" s="1211"/>
      <c r="T474" s="879">
        <v>0</v>
      </c>
      <c r="U474" s="900"/>
      <c r="V474" s="1211"/>
      <c r="W474" s="879">
        <v>0</v>
      </c>
      <c r="X474" s="900"/>
      <c r="Y474" s="1211"/>
      <c r="Z474" s="879">
        <v>0</v>
      </c>
      <c r="AA474" s="900"/>
      <c r="AB474" s="1211"/>
      <c r="AC474" s="879">
        <v>0</v>
      </c>
      <c r="AD474" s="900"/>
      <c r="AE474" s="1211"/>
      <c r="AF474" s="879">
        <v>0</v>
      </c>
      <c r="AG474" s="900"/>
      <c r="AH474" s="1211"/>
      <c r="AI474" s="879">
        <v>0</v>
      </c>
      <c r="AJ474" s="900"/>
      <c r="AK474" s="1211"/>
      <c r="AL474" s="879">
        <v>0</v>
      </c>
      <c r="AM474" s="900"/>
      <c r="AN474" s="1211"/>
      <c r="AO474" s="879">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391"/>
        <v>Programme neuf 3</v>
      </c>
      <c r="B475" s="880" t="s">
        <v>139</v>
      </c>
      <c r="C475" s="900"/>
      <c r="D475" s="1211"/>
      <c r="E475" s="879">
        <f t="shared" si="1390"/>
        <v>0</v>
      </c>
      <c r="F475" s="900"/>
      <c r="G475" s="1211"/>
      <c r="H475" s="879">
        <v>0</v>
      </c>
      <c r="I475" s="900"/>
      <c r="J475" s="1211"/>
      <c r="K475" s="879">
        <v>0</v>
      </c>
      <c r="L475" s="900"/>
      <c r="M475" s="1211"/>
      <c r="N475" s="879">
        <v>0</v>
      </c>
      <c r="O475" s="900"/>
      <c r="P475" s="1211"/>
      <c r="Q475" s="879">
        <v>0</v>
      </c>
      <c r="R475" s="900"/>
      <c r="S475" s="1211"/>
      <c r="T475" s="879">
        <v>0</v>
      </c>
      <c r="U475" s="900"/>
      <c r="V475" s="1211"/>
      <c r="W475" s="879">
        <v>0</v>
      </c>
      <c r="X475" s="900"/>
      <c r="Y475" s="1211"/>
      <c r="Z475" s="879">
        <v>0</v>
      </c>
      <c r="AA475" s="900"/>
      <c r="AB475" s="1211"/>
      <c r="AC475" s="879">
        <v>0</v>
      </c>
      <c r="AD475" s="900"/>
      <c r="AE475" s="1211"/>
      <c r="AF475" s="879">
        <v>0</v>
      </c>
      <c r="AG475" s="900"/>
      <c r="AH475" s="1211"/>
      <c r="AI475" s="879">
        <v>0</v>
      </c>
      <c r="AJ475" s="900"/>
      <c r="AK475" s="1211"/>
      <c r="AL475" s="879">
        <v>0</v>
      </c>
      <c r="AM475" s="900"/>
      <c r="AN475" s="1211"/>
      <c r="AO475" s="879">
        <v>0</v>
      </c>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391"/>
        <v>Programme used 1</v>
      </c>
      <c r="B476" s="880" t="s">
        <v>152</v>
      </c>
      <c r="C476" s="900"/>
      <c r="D476" s="1211"/>
      <c r="E476" s="879">
        <f t="shared" si="1390"/>
        <v>0</v>
      </c>
      <c r="F476" s="900"/>
      <c r="G476" s="1211"/>
      <c r="H476" s="879">
        <v>0</v>
      </c>
      <c r="I476" s="900"/>
      <c r="J476" s="1211"/>
      <c r="K476" s="879">
        <v>0</v>
      </c>
      <c r="L476" s="900"/>
      <c r="M476" s="1211"/>
      <c r="N476" s="879">
        <v>0</v>
      </c>
      <c r="O476" s="900"/>
      <c r="P476" s="1211"/>
      <c r="Q476" s="879">
        <v>0</v>
      </c>
      <c r="R476" s="900"/>
      <c r="S476" s="1211"/>
      <c r="T476" s="879">
        <v>0</v>
      </c>
      <c r="U476" s="900"/>
      <c r="V476" s="1211"/>
      <c r="W476" s="879">
        <v>0</v>
      </c>
      <c r="X476" s="900"/>
      <c r="Y476" s="1211"/>
      <c r="Z476" s="879">
        <v>0</v>
      </c>
      <c r="AA476" s="900"/>
      <c r="AB476" s="1211"/>
      <c r="AC476" s="879">
        <v>0</v>
      </c>
      <c r="AD476" s="900"/>
      <c r="AE476" s="1211"/>
      <c r="AF476" s="879">
        <v>0</v>
      </c>
      <c r="AG476" s="900"/>
      <c r="AH476" s="1211"/>
      <c r="AI476" s="879">
        <v>0</v>
      </c>
      <c r="AJ476" s="900"/>
      <c r="AK476" s="1211"/>
      <c r="AL476" s="879">
        <v>0</v>
      </c>
      <c r="AM476" s="900"/>
      <c r="AN476" s="1211"/>
      <c r="AO476" s="879">
        <v>0</v>
      </c>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391"/>
        <v>Programme used 2</v>
      </c>
      <c r="B477" s="880" t="s">
        <v>153</v>
      </c>
      <c r="C477" s="900"/>
      <c r="D477" s="1211"/>
      <c r="E477" s="879">
        <f t="shared" si="1390"/>
        <v>0</v>
      </c>
      <c r="F477" s="900"/>
      <c r="G477" s="1211"/>
      <c r="H477" s="879">
        <v>0</v>
      </c>
      <c r="I477" s="900"/>
      <c r="J477" s="1211"/>
      <c r="K477" s="879">
        <v>0</v>
      </c>
      <c r="L477" s="900"/>
      <c r="M477" s="1211"/>
      <c r="N477" s="879">
        <v>0</v>
      </c>
      <c r="O477" s="900"/>
      <c r="P477" s="1211"/>
      <c r="Q477" s="879">
        <v>0</v>
      </c>
      <c r="R477" s="900"/>
      <c r="S477" s="1211"/>
      <c r="T477" s="879">
        <v>0</v>
      </c>
      <c r="U477" s="900"/>
      <c r="V477" s="1211"/>
      <c r="W477" s="879">
        <v>0</v>
      </c>
      <c r="X477" s="900"/>
      <c r="Y477" s="1211"/>
      <c r="Z477" s="879">
        <v>0</v>
      </c>
      <c r="AA477" s="900"/>
      <c r="AB477" s="1211"/>
      <c r="AC477" s="879">
        <v>0</v>
      </c>
      <c r="AD477" s="900"/>
      <c r="AE477" s="1211"/>
      <c r="AF477" s="879">
        <v>0</v>
      </c>
      <c r="AG477" s="900"/>
      <c r="AH477" s="1211"/>
      <c r="AI477" s="879">
        <v>0</v>
      </c>
      <c r="AJ477" s="900"/>
      <c r="AK477" s="1211"/>
      <c r="AL477" s="879">
        <v>0</v>
      </c>
      <c r="AM477" s="900"/>
      <c r="AN477" s="1211"/>
      <c r="AO477" s="879">
        <v>0</v>
      </c>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391"/>
        <v>Programme used 3</v>
      </c>
      <c r="B478" s="880" t="s">
        <v>154</v>
      </c>
      <c r="C478" s="900"/>
      <c r="D478" s="1211"/>
      <c r="E478" s="879">
        <f t="shared" si="1390"/>
        <v>0</v>
      </c>
      <c r="F478" s="900"/>
      <c r="G478" s="1211"/>
      <c r="H478" s="879">
        <v>0</v>
      </c>
      <c r="I478" s="900"/>
      <c r="J478" s="1211"/>
      <c r="K478" s="879">
        <v>0</v>
      </c>
      <c r="L478" s="900"/>
      <c r="M478" s="1211"/>
      <c r="N478" s="879">
        <v>0</v>
      </c>
      <c r="O478" s="900"/>
      <c r="P478" s="1211"/>
      <c r="Q478" s="879">
        <v>0</v>
      </c>
      <c r="R478" s="900"/>
      <c r="S478" s="1211"/>
      <c r="T478" s="879">
        <v>0</v>
      </c>
      <c r="U478" s="900"/>
      <c r="V478" s="1211"/>
      <c r="W478" s="879">
        <v>0</v>
      </c>
      <c r="X478" s="900"/>
      <c r="Y478" s="1211"/>
      <c r="Z478" s="879">
        <v>0</v>
      </c>
      <c r="AA478" s="900"/>
      <c r="AB478" s="1211"/>
      <c r="AC478" s="879">
        <v>0</v>
      </c>
      <c r="AD478" s="900"/>
      <c r="AE478" s="1211"/>
      <c r="AF478" s="879">
        <v>0</v>
      </c>
      <c r="AG478" s="900"/>
      <c r="AH478" s="1211"/>
      <c r="AI478" s="879">
        <v>0</v>
      </c>
      <c r="AJ478" s="900"/>
      <c r="AK478" s="1211"/>
      <c r="AL478" s="879">
        <v>0</v>
      </c>
      <c r="AM478" s="900"/>
      <c r="AN478" s="1211"/>
      <c r="AO478" s="879">
        <v>0</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18" customHeight="1">
      <c r="A479" s="617" t="str">
        <f t="shared" si="1391"/>
        <v>[...]</v>
      </c>
      <c r="B479" s="885" t="s">
        <v>42</v>
      </c>
      <c r="C479" s="900"/>
      <c r="D479" s="1211"/>
      <c r="E479" s="879">
        <f t="shared" si="1390"/>
        <v>0</v>
      </c>
      <c r="F479" s="900"/>
      <c r="G479" s="1211"/>
      <c r="H479" s="879">
        <v>0</v>
      </c>
      <c r="I479" s="900"/>
      <c r="J479" s="1211"/>
      <c r="K479" s="879">
        <v>0</v>
      </c>
      <c r="L479" s="900"/>
      <c r="M479" s="1211"/>
      <c r="N479" s="879">
        <v>0</v>
      </c>
      <c r="O479" s="900"/>
      <c r="P479" s="1211"/>
      <c r="Q479" s="879">
        <v>0</v>
      </c>
      <c r="R479" s="900"/>
      <c r="S479" s="1211"/>
      <c r="T479" s="879">
        <v>0</v>
      </c>
      <c r="U479" s="900"/>
      <c r="V479" s="1211"/>
      <c r="W479" s="879">
        <v>0</v>
      </c>
      <c r="X479" s="900"/>
      <c r="Y479" s="1211"/>
      <c r="Z479" s="879">
        <v>0</v>
      </c>
      <c r="AA479" s="900"/>
      <c r="AB479" s="1211"/>
      <c r="AC479" s="879">
        <v>0</v>
      </c>
      <c r="AD479" s="900"/>
      <c r="AE479" s="1211"/>
      <c r="AF479" s="879">
        <v>0</v>
      </c>
      <c r="AG479" s="900"/>
      <c r="AH479" s="1211"/>
      <c r="AI479" s="879">
        <v>0</v>
      </c>
      <c r="AJ479" s="900"/>
      <c r="AK479" s="1211"/>
      <c r="AL479" s="879">
        <v>0</v>
      </c>
      <c r="AM479" s="900"/>
      <c r="AN479" s="1211"/>
      <c r="AO479" s="879">
        <v>0</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18" customHeight="1">
      <c r="A480" s="617" t="str">
        <f t="shared" si="1391"/>
        <v>[...]</v>
      </c>
      <c r="B480" s="885" t="s">
        <v>42</v>
      </c>
      <c r="C480" s="900"/>
      <c r="D480" s="1211"/>
      <c r="E480" s="879">
        <f t="shared" si="1390"/>
        <v>0</v>
      </c>
      <c r="F480" s="900"/>
      <c r="G480" s="1211"/>
      <c r="H480" s="879">
        <v>0</v>
      </c>
      <c r="I480" s="900"/>
      <c r="J480" s="1211"/>
      <c r="K480" s="879">
        <v>0</v>
      </c>
      <c r="L480" s="900"/>
      <c r="M480" s="1211"/>
      <c r="N480" s="879">
        <v>0</v>
      </c>
      <c r="O480" s="900"/>
      <c r="P480" s="1211"/>
      <c r="Q480" s="879">
        <v>0</v>
      </c>
      <c r="R480" s="900"/>
      <c r="S480" s="1211"/>
      <c r="T480" s="879">
        <v>0</v>
      </c>
      <c r="U480" s="900"/>
      <c r="V480" s="1211"/>
      <c r="W480" s="879">
        <v>0</v>
      </c>
      <c r="X480" s="900"/>
      <c r="Y480" s="1211"/>
      <c r="Z480" s="879">
        <v>0</v>
      </c>
      <c r="AA480" s="900"/>
      <c r="AB480" s="1211"/>
      <c r="AC480" s="879">
        <v>0</v>
      </c>
      <c r="AD480" s="900"/>
      <c r="AE480" s="1211"/>
      <c r="AF480" s="879">
        <v>0</v>
      </c>
      <c r="AG480" s="900"/>
      <c r="AH480" s="1211"/>
      <c r="AI480" s="879">
        <v>0</v>
      </c>
      <c r="AJ480" s="900"/>
      <c r="AK480" s="1211"/>
      <c r="AL480" s="879">
        <v>0</v>
      </c>
      <c r="AM480" s="900"/>
      <c r="AN480" s="1211"/>
      <c r="AO480" s="879">
        <v>0</v>
      </c>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18" customHeight="1">
      <c r="A481" s="617" t="str">
        <f t="shared" si="1391"/>
        <v>[...]</v>
      </c>
      <c r="B481" s="885" t="s">
        <v>42</v>
      </c>
      <c r="C481" s="900"/>
      <c r="D481" s="1211"/>
      <c r="E481" s="879">
        <f t="shared" si="1390"/>
        <v>0</v>
      </c>
      <c r="F481" s="900"/>
      <c r="G481" s="1211"/>
      <c r="H481" s="879">
        <v>0</v>
      </c>
      <c r="I481" s="900"/>
      <c r="J481" s="1211"/>
      <c r="K481" s="879">
        <v>0</v>
      </c>
      <c r="L481" s="900"/>
      <c r="M481" s="1211"/>
      <c r="N481" s="879">
        <v>0</v>
      </c>
      <c r="O481" s="900"/>
      <c r="P481" s="1211"/>
      <c r="Q481" s="879">
        <v>0</v>
      </c>
      <c r="R481" s="900"/>
      <c r="S481" s="1211"/>
      <c r="T481" s="879">
        <v>0</v>
      </c>
      <c r="U481" s="900"/>
      <c r="V481" s="1211"/>
      <c r="W481" s="879">
        <v>0</v>
      </c>
      <c r="X481" s="900"/>
      <c r="Y481" s="1211"/>
      <c r="Z481" s="879">
        <v>0</v>
      </c>
      <c r="AA481" s="900"/>
      <c r="AB481" s="1211"/>
      <c r="AC481" s="879">
        <v>0</v>
      </c>
      <c r="AD481" s="900"/>
      <c r="AE481" s="1211"/>
      <c r="AF481" s="879">
        <v>0</v>
      </c>
      <c r="AG481" s="900"/>
      <c r="AH481" s="1211"/>
      <c r="AI481" s="879">
        <v>0</v>
      </c>
      <c r="AJ481" s="900"/>
      <c r="AK481" s="1211"/>
      <c r="AL481" s="879">
        <v>0</v>
      </c>
      <c r="AM481" s="900"/>
      <c r="AN481" s="1211"/>
      <c r="AO481" s="879">
        <v>0</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18" customHeight="1">
      <c r="A482" s="617" t="str">
        <f t="shared" si="1391"/>
        <v>Frais administration</v>
      </c>
      <c r="B482" s="869" t="s">
        <v>141</v>
      </c>
      <c r="C482" s="901"/>
      <c r="D482" s="1211"/>
      <c r="E482" s="879">
        <f t="shared" si="1390"/>
        <v>466830.00000000006</v>
      </c>
      <c r="F482" s="901"/>
      <c r="G482" s="1211"/>
      <c r="H482" s="879">
        <v>23634.08942098491</v>
      </c>
      <c r="I482" s="901"/>
      <c r="J482" s="1211"/>
      <c r="K482" s="879">
        <v>24615.562030802135</v>
      </c>
      <c r="L482" s="901"/>
      <c r="M482" s="1211"/>
      <c r="N482" s="879">
        <v>42978.459053100451</v>
      </c>
      <c r="O482" s="901"/>
      <c r="P482" s="1211"/>
      <c r="Q482" s="879">
        <v>45443.65398353272</v>
      </c>
      <c r="R482" s="901"/>
      <c r="S482" s="1211"/>
      <c r="T482" s="879">
        <v>50884.290621497938</v>
      </c>
      <c r="U482" s="901"/>
      <c r="V482" s="1211"/>
      <c r="W482" s="879">
        <v>43797.764878343165</v>
      </c>
      <c r="X482" s="901"/>
      <c r="Y482" s="1211"/>
      <c r="Z482" s="879">
        <v>46931.374837299198</v>
      </c>
      <c r="AA482" s="901"/>
      <c r="AB482" s="1211"/>
      <c r="AC482" s="879">
        <v>44624.348158290006</v>
      </c>
      <c r="AD482" s="901"/>
      <c r="AE482" s="1211"/>
      <c r="AF482" s="879">
        <v>38572.870878744812</v>
      </c>
      <c r="AG482" s="901"/>
      <c r="AH482" s="1211"/>
      <c r="AI482" s="879">
        <v>42417.915343760127</v>
      </c>
      <c r="AJ482" s="901"/>
      <c r="AK482" s="1211"/>
      <c r="AL482" s="879">
        <v>37494.802937599699</v>
      </c>
      <c r="AM482" s="901"/>
      <c r="AN482" s="1211"/>
      <c r="AO482" s="879">
        <v>25434.867856044853</v>
      </c>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20.25">
      <c r="A483" s="617" t="str">
        <f t="shared" si="1391"/>
        <v>TOTAL AUTRES REVENUS</v>
      </c>
      <c r="B483" s="886" t="s">
        <v>256</v>
      </c>
      <c r="C483" s="887">
        <f>IFERROR(E483/+E409,0)</f>
        <v>0.19551543306081129</v>
      </c>
      <c r="D483" s="902"/>
      <c r="E483" s="889">
        <f>SUM(E471:E482)</f>
        <v>1494691.585</v>
      </c>
      <c r="F483" s="887">
        <f>IFERROR(H483/+H409,0)</f>
        <v>0.14611415322359628</v>
      </c>
      <c r="G483" s="902"/>
      <c r="H483" s="889">
        <f>SUM(H471:H482)</f>
        <v>64789.929234237905</v>
      </c>
      <c r="I483" s="887">
        <f t="shared" ref="I483" si="1392">IFERROR(K483/+K409,0)</f>
        <v>0.19397999559857146</v>
      </c>
      <c r="J483" s="902"/>
      <c r="K483" s="889">
        <f t="shared" ref="K483" si="1393">SUM(K471:K482)</f>
        <v>85950.839018753933</v>
      </c>
      <c r="L483" s="887">
        <f t="shared" ref="L483" si="1394">IFERROR(N483/+N409,0)</f>
        <v>0.20703138863632617</v>
      </c>
      <c r="M483" s="902"/>
      <c r="N483" s="889">
        <f t="shared" ref="N483" si="1395">SUM(N471:N482)</f>
        <v>132641.24998081126</v>
      </c>
      <c r="O483" s="887">
        <f t="shared" ref="O483" si="1396">IFERROR(Q483/+Q409,0)</f>
        <v>0.17936533076007508</v>
      </c>
      <c r="P483" s="902"/>
      <c r="Q483" s="889">
        <f t="shared" ref="Q483" si="1397">SUM(Q471:Q482)</f>
        <v>134188.86230883389</v>
      </c>
      <c r="R483" s="887">
        <f t="shared" ref="R483" si="1398">IFERROR(T483/+T409,0)</f>
        <v>0.21700823981456613</v>
      </c>
      <c r="S483" s="902"/>
      <c r="T483" s="889">
        <f t="shared" ref="T483" si="1399">SUM(T471:T482)</f>
        <v>166273.68939258225</v>
      </c>
      <c r="U483" s="887">
        <f t="shared" ref="U483" si="1400">IFERROR(W483/+W409,0)</f>
        <v>0.20619647605506575</v>
      </c>
      <c r="V483" s="902"/>
      <c r="W483" s="889">
        <f t="shared" ref="W483" si="1401">SUM(W471:W482)</f>
        <v>143148.48580605397</v>
      </c>
      <c r="X483" s="887">
        <f t="shared" ref="X483" si="1402">IFERROR(Z483/+Z409,0)</f>
        <v>0.20151346808093401</v>
      </c>
      <c r="Y483" s="902"/>
      <c r="Z483" s="889">
        <f t="shared" ref="Z483" si="1403">SUM(Z471:Z482)</f>
        <v>136936.88468669675</v>
      </c>
      <c r="AA483" s="887">
        <f t="shared" ref="AA483" si="1404">IFERROR(AC483/+AC409,0)</f>
        <v>0.23499697832567626</v>
      </c>
      <c r="AB483" s="902"/>
      <c r="AC483" s="889">
        <f t="shared" ref="AC483" si="1405">SUM(AC471:AC482)</f>
        <v>156632.43648359118</v>
      </c>
      <c r="AD483" s="887">
        <f t="shared" ref="AD483" si="1406">IFERROR(AF483/+AF409,0)</f>
        <v>0.22509607458942507</v>
      </c>
      <c r="AE483" s="902"/>
      <c r="AF483" s="889">
        <f t="shared" ref="AF483" si="1407">SUM(AF471:AF482)</f>
        <v>133208.24745705805</v>
      </c>
      <c r="AG483" s="887">
        <f t="shared" ref="AG483" si="1408">IFERROR(AI483/+AI409,0)</f>
        <v>0.16972568535044819</v>
      </c>
      <c r="AH483" s="902"/>
      <c r="AI483" s="889">
        <f t="shared" ref="AI483" si="1409">SUM(AI471:AI482)</f>
        <v>122963.54779556734</v>
      </c>
      <c r="AJ483" s="887">
        <f t="shared" ref="AJ483" si="1410">IFERROR(AL483/+AL409,0)</f>
        <v>0.17563475650738203</v>
      </c>
      <c r="AK483" s="902"/>
      <c r="AL483" s="889">
        <f t="shared" ref="AL483" si="1411">SUM(AL471:AL482)</f>
        <v>135782.05799181655</v>
      </c>
      <c r="AM483" s="887">
        <f t="shared" ref="AM483" si="1412">IFERROR(AO483/+AO409,0)</f>
        <v>0.17348370370461758</v>
      </c>
      <c r="AN483" s="902"/>
      <c r="AO483" s="889">
        <f t="shared" ref="AO483" si="1413">SUM(AO471:AO482)</f>
        <v>82175.354843996654</v>
      </c>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21" thickBot="1">
      <c r="A484" s="617">
        <f t="shared" si="1391"/>
        <v>0</v>
      </c>
      <c r="B484" s="903"/>
      <c r="C484" s="1212"/>
      <c r="D484" s="1213"/>
      <c r="E484" s="1214">
        <f>+E463+E462+E460+E459+E458+E457+E456</f>
        <v>200865.65549999996</v>
      </c>
      <c r="F484" s="1212"/>
      <c r="G484" s="1213"/>
      <c r="H484" s="1214">
        <f>+H463+H462+H460+H459+H458+H457+H456</f>
        <v>16738.804624999997</v>
      </c>
      <c r="I484" s="1212"/>
      <c r="J484" s="1213"/>
      <c r="K484" s="1214">
        <f>+K463+K462+K460+K459+K458+K457+K456</f>
        <v>16738.804624999997</v>
      </c>
      <c r="L484" s="1212"/>
      <c r="M484" s="1213"/>
      <c r="N484" s="1214">
        <f>+N463+N462+N460+N459+N458+N457+N456</f>
        <v>16738.804624999997</v>
      </c>
      <c r="O484" s="1212"/>
      <c r="P484" s="1213"/>
      <c r="Q484" s="1214">
        <f>+Q463+Q462+Q460+Q459+Q458+Q457+Q456</f>
        <v>16738.804624999997</v>
      </c>
      <c r="R484" s="1212"/>
      <c r="S484" s="1213"/>
      <c r="T484" s="1214">
        <f>+T463+T462+T460+T459+T458+T457+T456</f>
        <v>16738.804624999997</v>
      </c>
      <c r="U484" s="1212"/>
      <c r="V484" s="1213"/>
      <c r="W484" s="1214">
        <f>+W463+W462+W460+W459+W458+W457+W456</f>
        <v>16738.804624999997</v>
      </c>
      <c r="X484" s="1212"/>
      <c r="Y484" s="1213"/>
      <c r="Z484" s="1214">
        <f>+Z463+Z462+Z460+Z459+Z458+Z457+Z456</f>
        <v>16738.804624999997</v>
      </c>
      <c r="AA484" s="1212"/>
      <c r="AB484" s="1213"/>
      <c r="AC484" s="1214">
        <f>+AC463+AC462+AC460+AC459+AC458+AC457+AC456</f>
        <v>16738.804624999997</v>
      </c>
      <c r="AD484" s="1212"/>
      <c r="AE484" s="1213"/>
      <c r="AF484" s="1214">
        <f>+AF463+AF462+AF460+AF459+AF458+AF457+AF456</f>
        <v>16738.804624999997</v>
      </c>
      <c r="AG484" s="1212"/>
      <c r="AH484" s="1213"/>
      <c r="AI484" s="1214">
        <f>+AI463+AI462+AI460+AI459+AI458+AI457+AI456</f>
        <v>16738.804624999997</v>
      </c>
      <c r="AJ484" s="1212"/>
      <c r="AK484" s="1213"/>
      <c r="AL484" s="1214">
        <f>+AL463+AL462+AL460+AL459+AL458+AL457+AL456</f>
        <v>16738.804624999997</v>
      </c>
      <c r="AM484" s="1212"/>
      <c r="AN484" s="1213"/>
      <c r="AO484" s="1214">
        <f>+AO463+AO462+AO460+AO459+AO458+AO457+AO456</f>
        <v>16738.804624999997</v>
      </c>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21.75" thickTop="1" thickBot="1">
      <c r="A485" s="617" t="str">
        <f t="shared" si="1391"/>
        <v>BAIIA OPÉRATIONNEL</v>
      </c>
      <c r="B485" s="904" t="s">
        <v>257</v>
      </c>
      <c r="C485" s="905" t="s">
        <v>258</v>
      </c>
      <c r="D485" s="906">
        <f>IFERROR(E485/E408,0)</f>
        <v>3.9274400551403438E-2</v>
      </c>
      <c r="E485" s="907">
        <f>E409-E470+E483</f>
        <v>2218681.0124610066</v>
      </c>
      <c r="F485" s="908" t="s">
        <v>258</v>
      </c>
      <c r="G485" s="909">
        <f>IFERROR(H485/H408,0)</f>
        <v>4.3690218193368985E-3</v>
      </c>
      <c r="H485" s="910">
        <f>H409-H470+H483</f>
        <v>13164.902082735294</v>
      </c>
      <c r="I485" s="908" t="s">
        <v>258</v>
      </c>
      <c r="J485" s="909">
        <f t="shared" ref="J485" si="1414">IFERROR(K485/K408,0)</f>
        <v>1.2975162809567908E-2</v>
      </c>
      <c r="K485" s="910">
        <f t="shared" ref="K485" si="1415">K409-K470+K483</f>
        <v>39753.422241663997</v>
      </c>
      <c r="L485" s="908" t="s">
        <v>258</v>
      </c>
      <c r="M485" s="909">
        <f t="shared" ref="M485" si="1416">IFERROR(N485/N408,0)</f>
        <v>3.5037656557514972E-2</v>
      </c>
      <c r="N485" s="910">
        <f t="shared" ref="N485" si="1417">N409-N470+N483</f>
        <v>176478.55887499568</v>
      </c>
      <c r="O485" s="908" t="s">
        <v>258</v>
      </c>
      <c r="P485" s="909">
        <f t="shared" ref="P485" si="1418">IFERROR(Q485/Q408,0)</f>
        <v>4.9126838614733187E-2</v>
      </c>
      <c r="Q485" s="910">
        <f t="shared" ref="Q485" si="1419">Q409-Q470+Q483</f>
        <v>268136.19810996123</v>
      </c>
      <c r="R485" s="908" t="s">
        <v>258</v>
      </c>
      <c r="S485" s="909">
        <f t="shared" ref="S485" si="1420">IFERROR(T485/T408,0)</f>
        <v>4.832714958213688E-2</v>
      </c>
      <c r="T485" s="910">
        <f t="shared" ref="T485" si="1421">T409-T470+T483</f>
        <v>291103.21514690842</v>
      </c>
      <c r="U485" s="908" t="s">
        <v>258</v>
      </c>
      <c r="V485" s="909">
        <f t="shared" ref="V485" si="1422">IFERROR(W485/W408,0)</f>
        <v>4.6011216356765056E-2</v>
      </c>
      <c r="W485" s="910">
        <f t="shared" ref="W485" si="1423">W409-W470+W483</f>
        <v>239970.70642762328</v>
      </c>
      <c r="X485" s="908" t="s">
        <v>258</v>
      </c>
      <c r="Y485" s="909">
        <f t="shared" ref="Y485" si="1424">IFERROR(Z485/Z408,0)</f>
        <v>3.8395107036188494E-2</v>
      </c>
      <c r="Z485" s="910">
        <f t="shared" ref="Z485" si="1425">Z409-Z470+Z483</f>
        <v>210962.62942865194</v>
      </c>
      <c r="AA485" s="908" t="s">
        <v>258</v>
      </c>
      <c r="AB485" s="909">
        <f t="shared" ref="AB485" si="1426">IFERROR(AC485/AC408,0)</f>
        <v>4.317478493800108E-2</v>
      </c>
      <c r="AC485" s="910">
        <f t="shared" ref="AC485" si="1427">AC409-AC470+AC483</f>
        <v>228441.38123925062</v>
      </c>
      <c r="AD485" s="908" t="s">
        <v>258</v>
      </c>
      <c r="AE485" s="909">
        <f t="shared" ref="AE485" si="1428">IFERROR(AF485/AF408,0)</f>
        <v>3.4528608844520553E-2</v>
      </c>
      <c r="AF485" s="910">
        <f t="shared" ref="AF485" si="1429">AF409-AF470+AF483</f>
        <v>159704.26656084554</v>
      </c>
      <c r="AG485" s="908" t="s">
        <v>258</v>
      </c>
      <c r="AH485" s="909">
        <f t="shared" ref="AH485" si="1430">IFERROR(AI485/AI408,0)</f>
        <v>4.8737285490391996E-2</v>
      </c>
      <c r="AI485" s="910">
        <f t="shared" ref="AI485" si="1431">AI409-AI470+AI483</f>
        <v>254821.97121469773</v>
      </c>
      <c r="AJ485" s="908" t="s">
        <v>258</v>
      </c>
      <c r="AK485" s="909">
        <f t="shared" ref="AK485" si="1432">IFERROR(AL485/AL408,0)</f>
        <v>6.1296861432675813E-2</v>
      </c>
      <c r="AL485" s="910">
        <f t="shared" ref="AL485" si="1433">AL409-AL470+AL483</f>
        <v>299368.47446076933</v>
      </c>
      <c r="AM485" s="908" t="s">
        <v>258</v>
      </c>
      <c r="AN485" s="909">
        <f t="shared" ref="AN485" si="1434">IFERROR(AO485/AO408,0)</f>
        <v>1.1646863419438878E-2</v>
      </c>
      <c r="AO485" s="910">
        <f t="shared" ref="AO485" si="1435">AO409-AO470+AO483</f>
        <v>36775.286672903181</v>
      </c>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Top="1">
      <c r="A486" s="617"/>
      <c r="B486" s="784"/>
      <c r="C486" s="732"/>
      <c r="D486" s="732"/>
      <c r="E486" s="911"/>
      <c r="F486" s="732"/>
      <c r="G486" s="732"/>
      <c r="H486" s="911"/>
      <c r="I486" s="732"/>
      <c r="J486" s="732"/>
      <c r="K486" s="911"/>
      <c r="L486" s="732"/>
      <c r="M486" s="732"/>
      <c r="N486" s="911"/>
      <c r="O486" s="732"/>
      <c r="P486" s="732"/>
      <c r="Q486" s="911"/>
      <c r="R486" s="732"/>
      <c r="S486" s="732"/>
      <c r="T486" s="911"/>
      <c r="U486" s="732"/>
      <c r="V486" s="732"/>
      <c r="W486" s="911"/>
      <c r="X486" s="732"/>
      <c r="Y486" s="732"/>
      <c r="Z486" s="911"/>
      <c r="AA486" s="732"/>
      <c r="AB486" s="732"/>
      <c r="AC486" s="911"/>
      <c r="AD486" s="732"/>
      <c r="AE486" s="732"/>
      <c r="AF486" s="911"/>
      <c r="AG486" s="732"/>
      <c r="AH486" s="732"/>
      <c r="AI486" s="911"/>
      <c r="AJ486" s="732"/>
      <c r="AK486" s="732"/>
      <c r="AL486" s="911"/>
      <c r="AM486" s="732"/>
      <c r="AN486" s="732"/>
      <c r="AO486" s="911"/>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35.25">
      <c r="A487" s="617"/>
      <c r="B487" s="784" t="str">
        <f>B4</f>
        <v xml:space="preserve">Budget 2022  </v>
      </c>
      <c r="C487" s="785" t="s">
        <v>259</v>
      </c>
      <c r="D487" s="785"/>
      <c r="E487" s="785"/>
      <c r="F487" s="785"/>
      <c r="G487" s="785"/>
      <c r="H487" s="785"/>
      <c r="I487" s="785"/>
      <c r="J487" s="785"/>
      <c r="K487" s="785"/>
      <c r="L487" s="785"/>
      <c r="M487" s="785"/>
      <c r="N487" s="785"/>
      <c r="O487" s="785"/>
      <c r="P487" s="785"/>
      <c r="Q487" s="785"/>
      <c r="R487" s="785"/>
      <c r="S487" s="785"/>
      <c r="T487" s="785"/>
      <c r="U487" s="785"/>
      <c r="V487" s="785"/>
      <c r="W487" s="785"/>
      <c r="X487" s="785"/>
      <c r="Y487" s="785"/>
      <c r="Z487" s="785"/>
      <c r="AA487" s="785"/>
      <c r="AB487" s="785"/>
      <c r="AC487" s="785"/>
      <c r="AD487" s="785"/>
      <c r="AE487" s="785"/>
      <c r="AF487" s="785"/>
      <c r="AG487" s="785"/>
      <c r="AH487" s="785"/>
      <c r="AI487" s="785"/>
      <c r="AJ487" s="785"/>
      <c r="AK487" s="785"/>
      <c r="AL487" s="785"/>
      <c r="AM487" s="785"/>
      <c r="AN487" s="785"/>
      <c r="AO487" s="785"/>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35.25">
      <c r="A488" s="617"/>
      <c r="B488" s="784"/>
      <c r="C488" s="732"/>
      <c r="D488" s="732"/>
      <c r="E488" s="911"/>
      <c r="F488" s="732"/>
      <c r="G488" s="732"/>
      <c r="H488" s="911"/>
      <c r="I488" s="732"/>
      <c r="J488" s="732"/>
      <c r="K488" s="911"/>
      <c r="L488" s="732"/>
      <c r="M488" s="732"/>
      <c r="N488" s="911"/>
      <c r="O488" s="732"/>
      <c r="P488" s="732"/>
      <c r="Q488" s="911"/>
      <c r="R488" s="732"/>
      <c r="S488" s="732"/>
      <c r="T488" s="911"/>
      <c r="U488" s="732"/>
      <c r="V488" s="732"/>
      <c r="W488" s="911"/>
      <c r="X488" s="732"/>
      <c r="Y488" s="732"/>
      <c r="Z488" s="911"/>
      <c r="AA488" s="732"/>
      <c r="AB488" s="732"/>
      <c r="AC488" s="911"/>
      <c r="AD488" s="732"/>
      <c r="AE488" s="732"/>
      <c r="AF488" s="911"/>
      <c r="AG488" s="732"/>
      <c r="AH488" s="732"/>
      <c r="AI488" s="911"/>
      <c r="AJ488" s="732"/>
      <c r="AK488" s="732"/>
      <c r="AL488" s="911"/>
      <c r="AM488" s="732"/>
      <c r="AN488" s="732"/>
      <c r="AO488" s="911"/>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35.25">
      <c r="A489" s="617"/>
      <c r="B489" s="784"/>
      <c r="C489" s="732"/>
      <c r="D489" s="732"/>
      <c r="E489" s="911"/>
      <c r="F489" s="732"/>
      <c r="G489" s="732"/>
      <c r="H489" s="911"/>
      <c r="I489" s="732"/>
      <c r="J489" s="732"/>
      <c r="K489" s="911"/>
      <c r="L489" s="732"/>
      <c r="M489" s="732"/>
      <c r="N489" s="911"/>
      <c r="O489" s="732"/>
      <c r="P489" s="732"/>
      <c r="Q489" s="911"/>
      <c r="R489" s="732"/>
      <c r="S489" s="732"/>
      <c r="T489" s="911"/>
      <c r="U489" s="732"/>
      <c r="V489" s="732"/>
      <c r="W489" s="911"/>
      <c r="X489" s="732"/>
      <c r="Y489" s="732"/>
      <c r="Z489" s="911"/>
      <c r="AA489" s="732"/>
      <c r="AB489" s="732"/>
      <c r="AC489" s="911"/>
      <c r="AD489" s="732"/>
      <c r="AE489" s="732"/>
      <c r="AF489" s="911"/>
      <c r="AG489" s="732"/>
      <c r="AH489" s="732"/>
      <c r="AI489" s="911"/>
      <c r="AJ489" s="732"/>
      <c r="AK489" s="732"/>
      <c r="AL489" s="911"/>
      <c r="AM489" s="732"/>
      <c r="AN489" s="732"/>
      <c r="AO489" s="911"/>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36" thickBot="1">
      <c r="A490" s="617"/>
      <c r="B490" s="784"/>
      <c r="C490" s="732"/>
      <c r="D490" s="732"/>
      <c r="E490" s="911"/>
      <c r="F490" s="732"/>
      <c r="G490" s="732"/>
      <c r="H490" s="911"/>
      <c r="I490" s="732"/>
      <c r="J490" s="732"/>
      <c r="K490" s="911"/>
      <c r="L490" s="732"/>
      <c r="M490" s="732"/>
      <c r="N490" s="911"/>
      <c r="O490" s="732"/>
      <c r="P490" s="732"/>
      <c r="Q490" s="911"/>
      <c r="R490" s="732"/>
      <c r="S490" s="732"/>
      <c r="T490" s="911"/>
      <c r="U490" s="732"/>
      <c r="V490" s="732"/>
      <c r="W490" s="911"/>
      <c r="X490" s="732"/>
      <c r="Y490" s="732"/>
      <c r="Z490" s="911"/>
      <c r="AA490" s="732"/>
      <c r="AB490" s="732"/>
      <c r="AC490" s="911"/>
      <c r="AD490" s="732"/>
      <c r="AE490" s="732"/>
      <c r="AF490" s="911"/>
      <c r="AG490" s="732"/>
      <c r="AH490" s="732"/>
      <c r="AI490" s="911"/>
      <c r="AJ490" s="732"/>
      <c r="AK490" s="732"/>
      <c r="AL490" s="911"/>
      <c r="AM490" s="732"/>
      <c r="AN490" s="732"/>
      <c r="AO490" s="911"/>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1" thickTop="1">
      <c r="A491" s="617"/>
      <c r="B491" s="912" t="s">
        <v>257</v>
      </c>
      <c r="C491" s="930" t="s">
        <v>258</v>
      </c>
      <c r="D491" s="914">
        <f>IFERROR(E491/E408,0)</f>
        <v>3.9274400551403438E-2</v>
      </c>
      <c r="E491" s="931">
        <f>E485</f>
        <v>2218681.0124610066</v>
      </c>
      <c r="F491" s="913" t="s">
        <v>258</v>
      </c>
      <c r="G491" s="914">
        <f>IFERROR(H491/H408,0)</f>
        <v>4.3690218193368985E-3</v>
      </c>
      <c r="H491" s="915">
        <f>H485</f>
        <v>13164.902082735294</v>
      </c>
      <c r="I491" s="913" t="s">
        <v>258</v>
      </c>
      <c r="J491" s="914">
        <f>IFERROR(K491/K408,0)</f>
        <v>1.2975162809567908E-2</v>
      </c>
      <c r="K491" s="915">
        <f>K485</f>
        <v>39753.422241663997</v>
      </c>
      <c r="L491" s="913" t="s">
        <v>258</v>
      </c>
      <c r="M491" s="914">
        <f>IFERROR(N491/N408,0)</f>
        <v>3.5037656557514972E-2</v>
      </c>
      <c r="N491" s="915">
        <f>N485</f>
        <v>176478.55887499568</v>
      </c>
      <c r="O491" s="913" t="s">
        <v>258</v>
      </c>
      <c r="P491" s="914">
        <f>IFERROR(Q491/Q408,0)</f>
        <v>4.9126838614733187E-2</v>
      </c>
      <c r="Q491" s="915">
        <f>Q485</f>
        <v>268136.19810996123</v>
      </c>
      <c r="R491" s="913" t="s">
        <v>258</v>
      </c>
      <c r="S491" s="914">
        <f>IFERROR(T491/T408,0)</f>
        <v>4.832714958213688E-2</v>
      </c>
      <c r="T491" s="915">
        <f>T485</f>
        <v>291103.21514690842</v>
      </c>
      <c r="U491" s="913" t="s">
        <v>258</v>
      </c>
      <c r="V491" s="914">
        <f>IFERROR(W491/W408,0)</f>
        <v>4.6011216356765056E-2</v>
      </c>
      <c r="W491" s="915">
        <f>W485</f>
        <v>239970.70642762328</v>
      </c>
      <c r="X491" s="913" t="s">
        <v>258</v>
      </c>
      <c r="Y491" s="914">
        <f>IFERROR(Z491/Z408,0)</f>
        <v>3.8395107036188494E-2</v>
      </c>
      <c r="Z491" s="915">
        <f>Z485</f>
        <v>210962.62942865194</v>
      </c>
      <c r="AA491" s="913" t="s">
        <v>258</v>
      </c>
      <c r="AB491" s="914">
        <f>IFERROR(AC491/AC408,0)</f>
        <v>4.317478493800108E-2</v>
      </c>
      <c r="AC491" s="915">
        <f>AC485</f>
        <v>228441.38123925062</v>
      </c>
      <c r="AD491" s="913" t="s">
        <v>258</v>
      </c>
      <c r="AE491" s="914">
        <f>IFERROR(AF491/AF408,0)</f>
        <v>3.4528608844520553E-2</v>
      </c>
      <c r="AF491" s="915">
        <f>AF485</f>
        <v>159704.26656084554</v>
      </c>
      <c r="AG491" s="913" t="s">
        <v>258</v>
      </c>
      <c r="AH491" s="914">
        <f>IFERROR(AI491/AI408,0)</f>
        <v>4.8737285490391996E-2</v>
      </c>
      <c r="AI491" s="915">
        <f>AI485</f>
        <v>254821.97121469773</v>
      </c>
      <c r="AJ491" s="913" t="s">
        <v>258</v>
      </c>
      <c r="AK491" s="914">
        <f>IFERROR(AL491/AL408,0)</f>
        <v>6.1296861432675813E-2</v>
      </c>
      <c r="AL491" s="915">
        <f>AL485</f>
        <v>299368.47446076933</v>
      </c>
      <c r="AM491" s="913" t="s">
        <v>258</v>
      </c>
      <c r="AN491" s="914">
        <f>IFERROR(AO491/AO408,0)</f>
        <v>1.1646863419438878E-2</v>
      </c>
      <c r="AO491" s="915">
        <f>AO485</f>
        <v>36775.286672903181</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c r="B492" s="916"/>
      <c r="C492" s="1215"/>
      <c r="D492" s="1215"/>
      <c r="E492" s="1215"/>
      <c r="F492" s="917"/>
      <c r="G492" s="1215"/>
      <c r="H492" s="918"/>
      <c r="I492" s="917"/>
      <c r="J492" s="1215"/>
      <c r="K492" s="918"/>
      <c r="L492" s="917"/>
      <c r="M492" s="1215"/>
      <c r="N492" s="918"/>
      <c r="O492" s="917"/>
      <c r="P492" s="1215"/>
      <c r="Q492" s="918"/>
      <c r="R492" s="917"/>
      <c r="S492" s="1215"/>
      <c r="T492" s="918"/>
      <c r="U492" s="917"/>
      <c r="V492" s="1215"/>
      <c r="W492" s="918"/>
      <c r="X492" s="917"/>
      <c r="Y492" s="1215"/>
      <c r="Z492" s="918"/>
      <c r="AA492" s="917"/>
      <c r="AB492" s="1215"/>
      <c r="AC492" s="918"/>
      <c r="AD492" s="917"/>
      <c r="AE492" s="1215"/>
      <c r="AF492" s="918"/>
      <c r="AG492" s="917"/>
      <c r="AH492" s="1215"/>
      <c r="AI492" s="918"/>
      <c r="AJ492" s="917"/>
      <c r="AK492" s="1215"/>
      <c r="AL492" s="918"/>
      <c r="AM492" s="917"/>
      <c r="AN492" s="1215"/>
      <c r="AO492" s="918"/>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ref="A493:A499" si="1436">B493</f>
        <v>Amortissement</v>
      </c>
      <c r="B493" s="919" t="s">
        <v>260</v>
      </c>
      <c r="C493" s="1199"/>
      <c r="D493" s="1200"/>
      <c r="E493" s="1216">
        <f>+SUM(H493,K493,N493,Q493,T493,W493,Z493,AC493,AF493,AI493,AL493,AO493)</f>
        <v>88649</v>
      </c>
      <c r="F493" s="880"/>
      <c r="G493" s="1200"/>
      <c r="H493" s="890">
        <v>7144.916666666667</v>
      </c>
      <c r="I493" s="880"/>
      <c r="J493" s="1200"/>
      <c r="K493" s="890">
        <v>7144.916666666667</v>
      </c>
      <c r="L493" s="880"/>
      <c r="M493" s="1200"/>
      <c r="N493" s="890">
        <v>7144.916666666667</v>
      </c>
      <c r="O493" s="880"/>
      <c r="P493" s="1200"/>
      <c r="Q493" s="890">
        <v>7468.25</v>
      </c>
      <c r="R493" s="880"/>
      <c r="S493" s="1200"/>
      <c r="T493" s="890">
        <v>7468.25</v>
      </c>
      <c r="U493" s="880"/>
      <c r="V493" s="1200"/>
      <c r="W493" s="890">
        <v>7468.25</v>
      </c>
      <c r="X493" s="880"/>
      <c r="Y493" s="1200"/>
      <c r="Z493" s="890">
        <v>7468.25</v>
      </c>
      <c r="AA493" s="880"/>
      <c r="AB493" s="1200"/>
      <c r="AC493" s="890">
        <v>7468.25</v>
      </c>
      <c r="AD493" s="880"/>
      <c r="AE493" s="1200"/>
      <c r="AF493" s="890">
        <v>7468.25</v>
      </c>
      <c r="AG493" s="880"/>
      <c r="AH493" s="1200"/>
      <c r="AI493" s="890">
        <v>7468.25</v>
      </c>
      <c r="AJ493" s="880"/>
      <c r="AK493" s="1200"/>
      <c r="AL493" s="890">
        <v>7468.25</v>
      </c>
      <c r="AM493" s="880"/>
      <c r="AN493" s="1200"/>
      <c r="AO493" s="890">
        <v>7468.25</v>
      </c>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436"/>
        <v>Intérêts sur marge</v>
      </c>
      <c r="B494" s="919" t="s">
        <v>261</v>
      </c>
      <c r="C494" s="783"/>
      <c r="D494" s="732"/>
      <c r="E494" s="1216">
        <f>+SUM(H494,K494,N494,Q494,T494,W494,Z494,AC494,AF494,AI494,AL494,AO494)</f>
        <v>0</v>
      </c>
      <c r="F494" s="920"/>
      <c r="G494" s="732"/>
      <c r="H494" s="890">
        <v>0</v>
      </c>
      <c r="I494" s="920"/>
      <c r="J494" s="732"/>
      <c r="K494" s="890">
        <v>0</v>
      </c>
      <c r="L494" s="920"/>
      <c r="M494" s="732"/>
      <c r="N494" s="890">
        <v>0</v>
      </c>
      <c r="O494" s="920"/>
      <c r="P494" s="732"/>
      <c r="Q494" s="890">
        <v>0</v>
      </c>
      <c r="R494" s="920"/>
      <c r="S494" s="732"/>
      <c r="T494" s="890">
        <v>0</v>
      </c>
      <c r="U494" s="920"/>
      <c r="V494" s="732"/>
      <c r="W494" s="890">
        <v>0</v>
      </c>
      <c r="X494" s="920"/>
      <c r="Y494" s="732"/>
      <c r="Z494" s="890">
        <v>0</v>
      </c>
      <c r="AA494" s="920"/>
      <c r="AB494" s="732"/>
      <c r="AC494" s="890">
        <v>0</v>
      </c>
      <c r="AD494" s="920"/>
      <c r="AE494" s="732"/>
      <c r="AF494" s="890">
        <v>0</v>
      </c>
      <c r="AG494" s="920"/>
      <c r="AH494" s="732"/>
      <c r="AI494" s="890">
        <v>0</v>
      </c>
      <c r="AJ494" s="920"/>
      <c r="AK494" s="732"/>
      <c r="AL494" s="890">
        <v>0</v>
      </c>
      <c r="AM494" s="920"/>
      <c r="AN494" s="732"/>
      <c r="AO494" s="890">
        <v>0</v>
      </c>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0.25">
      <c r="A495" s="617" t="str">
        <f t="shared" si="1436"/>
        <v>Intérêts sur prêt</v>
      </c>
      <c r="B495" s="919" t="s">
        <v>262</v>
      </c>
      <c r="C495" s="732"/>
      <c r="D495" s="732"/>
      <c r="E495" s="1216">
        <f>+SUM(H495,K495,N495,Q495,T495,W495,Z495,AC495,AF495,AI495,AL495,AO495)</f>
        <v>5121</v>
      </c>
      <c r="F495" s="885"/>
      <c r="G495" s="732"/>
      <c r="H495" s="890">
        <v>450.06</v>
      </c>
      <c r="I495" s="885"/>
      <c r="J495" s="732"/>
      <c r="K495" s="890">
        <v>432.5</v>
      </c>
      <c r="L495" s="885"/>
      <c r="M495" s="732"/>
      <c r="N495" s="890">
        <v>442.84000000000003</v>
      </c>
      <c r="O495" s="885"/>
      <c r="P495" s="732"/>
      <c r="Q495" s="890">
        <v>434.49</v>
      </c>
      <c r="R495" s="885"/>
      <c r="S495" s="732"/>
      <c r="T495" s="890">
        <v>435.12</v>
      </c>
      <c r="U495" s="885"/>
      <c r="V495" s="732"/>
      <c r="W495" s="890">
        <v>427.02</v>
      </c>
      <c r="X495" s="885"/>
      <c r="Y495" s="732"/>
      <c r="Z495" s="890">
        <v>427.39</v>
      </c>
      <c r="AA495" s="885"/>
      <c r="AB495" s="732"/>
      <c r="AC495" s="890">
        <v>423.53</v>
      </c>
      <c r="AD495" s="885"/>
      <c r="AE495" s="732"/>
      <c r="AF495" s="890">
        <v>415.81</v>
      </c>
      <c r="AG495" s="885"/>
      <c r="AH495" s="732"/>
      <c r="AI495" s="890">
        <v>415.81</v>
      </c>
      <c r="AJ495" s="885"/>
      <c r="AK495" s="732"/>
      <c r="AL495" s="890">
        <v>408.34000000000003</v>
      </c>
      <c r="AM495" s="885"/>
      <c r="AN495" s="732"/>
      <c r="AO495" s="890">
        <v>408.09000000000003</v>
      </c>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20.25">
      <c r="A496" s="617" t="str">
        <f t="shared" si="1436"/>
        <v>Intérêts sur avance</v>
      </c>
      <c r="B496" s="919" t="s">
        <v>263</v>
      </c>
      <c r="C496" s="793"/>
      <c r="D496" s="793"/>
      <c r="E496" s="1216">
        <f>+SUM(H496,K496,N496,Q496,T496,W496,Z496,AC496,AF496,AI496,AL496,AO496)</f>
        <v>0</v>
      </c>
      <c r="F496" s="922"/>
      <c r="G496" s="793"/>
      <c r="H496" s="890">
        <v>0</v>
      </c>
      <c r="I496" s="922"/>
      <c r="J496" s="793"/>
      <c r="K496" s="890">
        <v>0</v>
      </c>
      <c r="L496" s="922"/>
      <c r="M496" s="793"/>
      <c r="N496" s="890">
        <v>0</v>
      </c>
      <c r="O496" s="922"/>
      <c r="P496" s="793"/>
      <c r="Q496" s="890">
        <v>0</v>
      </c>
      <c r="R496" s="922"/>
      <c r="S496" s="793"/>
      <c r="T496" s="890">
        <v>0</v>
      </c>
      <c r="U496" s="922"/>
      <c r="V496" s="793"/>
      <c r="W496" s="890">
        <v>0</v>
      </c>
      <c r="X496" s="922"/>
      <c r="Y496" s="793"/>
      <c r="Z496" s="890">
        <v>0</v>
      </c>
      <c r="AA496" s="922"/>
      <c r="AB496" s="793"/>
      <c r="AC496" s="890">
        <v>0</v>
      </c>
      <c r="AD496" s="922"/>
      <c r="AE496" s="793"/>
      <c r="AF496" s="890">
        <v>0</v>
      </c>
      <c r="AG496" s="922"/>
      <c r="AH496" s="793"/>
      <c r="AI496" s="890">
        <v>0</v>
      </c>
      <c r="AJ496" s="922"/>
      <c r="AK496" s="793"/>
      <c r="AL496" s="890">
        <v>0</v>
      </c>
      <c r="AM496" s="922"/>
      <c r="AN496" s="793"/>
      <c r="AO496" s="890">
        <v>0</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1:219" ht="20.25">
      <c r="A497" s="617" t="str">
        <f t="shared" si="1436"/>
        <v>[...]</v>
      </c>
      <c r="B497" s="923" t="s">
        <v>42</v>
      </c>
      <c r="C497" s="793"/>
      <c r="D497" s="793"/>
      <c r="E497" s="1216">
        <f>+SUM(H497,K497,N497,Q497,T497,W497,Z497,AC497,AF497,AI497,AL497,AO497)</f>
        <v>0</v>
      </c>
      <c r="F497" s="922"/>
      <c r="G497" s="793"/>
      <c r="H497" s="890">
        <v>0</v>
      </c>
      <c r="I497" s="922"/>
      <c r="J497" s="793"/>
      <c r="K497" s="890">
        <v>0</v>
      </c>
      <c r="L497" s="922"/>
      <c r="M497" s="793"/>
      <c r="N497" s="890">
        <v>0</v>
      </c>
      <c r="O497" s="922"/>
      <c r="P497" s="793"/>
      <c r="Q497" s="890">
        <v>0</v>
      </c>
      <c r="R497" s="922"/>
      <c r="S497" s="793"/>
      <c r="T497" s="890">
        <v>0</v>
      </c>
      <c r="U497" s="922"/>
      <c r="V497" s="793"/>
      <c r="W497" s="890">
        <v>0</v>
      </c>
      <c r="X497" s="922"/>
      <c r="Y497" s="793"/>
      <c r="Z497" s="890">
        <v>0</v>
      </c>
      <c r="AA497" s="922"/>
      <c r="AB497" s="793"/>
      <c r="AC497" s="890">
        <v>0</v>
      </c>
      <c r="AD497" s="922"/>
      <c r="AE497" s="793"/>
      <c r="AF497" s="890">
        <v>0</v>
      </c>
      <c r="AG497" s="922"/>
      <c r="AH497" s="793"/>
      <c r="AI497" s="890">
        <v>0</v>
      </c>
      <c r="AJ497" s="922"/>
      <c r="AK497" s="793"/>
      <c r="AL497" s="890">
        <v>0</v>
      </c>
      <c r="AM497" s="922"/>
      <c r="AN497" s="793"/>
      <c r="AO497" s="890">
        <v>0</v>
      </c>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1:219" ht="20.25">
      <c r="A498" s="617" t="str">
        <f t="shared" si="1436"/>
        <v>[...]</v>
      </c>
      <c r="B498" s="923" t="s">
        <v>42</v>
      </c>
      <c r="C498" s="793"/>
      <c r="D498" s="793"/>
      <c r="E498" s="1216"/>
      <c r="F498" s="922"/>
      <c r="G498" s="793"/>
      <c r="H498" s="879"/>
      <c r="I498" s="922"/>
      <c r="J498" s="793"/>
      <c r="K498" s="879"/>
      <c r="L498" s="922"/>
      <c r="M498" s="793"/>
      <c r="N498" s="879"/>
      <c r="O498" s="922"/>
      <c r="P498" s="793"/>
      <c r="Q498" s="879"/>
      <c r="R498" s="922"/>
      <c r="S498" s="793"/>
      <c r="T498" s="879"/>
      <c r="U498" s="922"/>
      <c r="V498" s="793"/>
      <c r="W498" s="879"/>
      <c r="X498" s="922"/>
      <c r="Y498" s="793"/>
      <c r="Z498" s="879"/>
      <c r="AA498" s="922"/>
      <c r="AB498" s="793"/>
      <c r="AC498" s="879"/>
      <c r="AD498" s="922"/>
      <c r="AE498" s="793"/>
      <c r="AF498" s="879"/>
      <c r="AG498" s="922"/>
      <c r="AH498" s="793"/>
      <c r="AI498" s="879"/>
      <c r="AJ498" s="922"/>
      <c r="AK498" s="793"/>
      <c r="AL498" s="879"/>
      <c r="AM498" s="922"/>
      <c r="AN498" s="793"/>
      <c r="AO498" s="879"/>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1:219" ht="21" thickBot="1">
      <c r="A499" s="617" t="str">
        <f t="shared" si="1436"/>
        <v>[...]</v>
      </c>
      <c r="B499" s="924" t="s">
        <v>42</v>
      </c>
      <c r="C499" s="793"/>
      <c r="D499" s="793"/>
      <c r="E499" s="1216"/>
      <c r="F499" s="922"/>
      <c r="G499" s="793"/>
      <c r="H499" s="879"/>
      <c r="I499" s="922"/>
      <c r="J499" s="793"/>
      <c r="K499" s="879"/>
      <c r="L499" s="922"/>
      <c r="M499" s="793"/>
      <c r="N499" s="879"/>
      <c r="O499" s="922"/>
      <c r="P499" s="793"/>
      <c r="Q499" s="879"/>
      <c r="R499" s="922"/>
      <c r="S499" s="793"/>
      <c r="T499" s="879"/>
      <c r="U499" s="922"/>
      <c r="V499" s="793"/>
      <c r="W499" s="879"/>
      <c r="X499" s="922"/>
      <c r="Y499" s="793"/>
      <c r="Z499" s="879"/>
      <c r="AA499" s="922"/>
      <c r="AB499" s="793"/>
      <c r="AC499" s="879"/>
      <c r="AD499" s="922"/>
      <c r="AE499" s="793"/>
      <c r="AF499" s="879"/>
      <c r="AG499" s="922"/>
      <c r="AH499" s="793"/>
      <c r="AI499" s="879"/>
      <c r="AJ499" s="922"/>
      <c r="AK499" s="793"/>
      <c r="AL499" s="879"/>
      <c r="AM499" s="922"/>
      <c r="AN499" s="793"/>
      <c r="AO499" s="879"/>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1:219" ht="19.5" thickTop="1" thickBot="1">
      <c r="B500" s="925" t="s">
        <v>264</v>
      </c>
      <c r="C500" s="932" t="s">
        <v>258</v>
      </c>
      <c r="D500" s="927">
        <f>IFERROR(E500/E408,0)</f>
        <v>3.7614513204362009E-2</v>
      </c>
      <c r="E500" s="933">
        <f>E491-E493-E494-E495-E496-E497</f>
        <v>2124911.0124610066</v>
      </c>
      <c r="F500" s="926" t="s">
        <v>258</v>
      </c>
      <c r="G500" s="927">
        <f>IFERROR(H500/H408,0)</f>
        <v>1.8484851252176446E-3</v>
      </c>
      <c r="H500" s="928">
        <f>H491-H493-H494-H495-H496-H497</f>
        <v>5569.9254160686269</v>
      </c>
      <c r="I500" s="926" t="s">
        <v>258</v>
      </c>
      <c r="J500" s="927">
        <f t="shared" ref="J500" si="1437">IFERROR(K500/K408,0)</f>
        <v>1.0501961525707372E-2</v>
      </c>
      <c r="K500" s="928">
        <f t="shared" ref="K500" si="1438">K491-K493-K494-K495-K496-K497</f>
        <v>32176.005574997329</v>
      </c>
      <c r="L500" s="926" t="s">
        <v>258</v>
      </c>
      <c r="M500" s="927">
        <f t="shared" ref="M500" si="1439">IFERROR(N500/N408,0)</f>
        <v>3.3531200397495138E-2</v>
      </c>
      <c r="N500" s="928">
        <f t="shared" ref="N500" si="1440">N491-N493-N494-N495-N496-N497</f>
        <v>168890.80220832903</v>
      </c>
      <c r="O500" s="926" t="s">
        <v>258</v>
      </c>
      <c r="P500" s="927">
        <f t="shared" ref="P500" si="1441">IFERROR(Q500/Q408,0)</f>
        <v>4.7678930293026535E-2</v>
      </c>
      <c r="Q500" s="928">
        <f t="shared" ref="Q500" si="1442">Q491-Q493-Q494-Q495-Q496-Q497</f>
        <v>260233.45810996124</v>
      </c>
      <c r="R500" s="926" t="s">
        <v>258</v>
      </c>
      <c r="S500" s="927">
        <f t="shared" ref="S500" si="1443">IFERROR(T500/T408,0)</f>
        <v>4.7015081132462701E-2</v>
      </c>
      <c r="T500" s="928">
        <f t="shared" ref="T500" si="1444">T491-T493-T494-T495-T496-T497</f>
        <v>283199.84514690842</v>
      </c>
      <c r="U500" s="926" t="s">
        <v>258</v>
      </c>
      <c r="V500" s="927">
        <f t="shared" ref="V500" si="1445">IFERROR(W500/W408,0)</f>
        <v>4.4497402518513751E-2</v>
      </c>
      <c r="W500" s="928">
        <f t="shared" ref="W500" si="1446">W491-W493-W494-W495-W496-W497</f>
        <v>232075.4364276233</v>
      </c>
      <c r="X500" s="926" t="s">
        <v>258</v>
      </c>
      <c r="Y500" s="927">
        <f t="shared" ref="Y500" si="1447">IFERROR(Z500/Z408,0)</f>
        <v>3.6958103981475719E-2</v>
      </c>
      <c r="Z500" s="928">
        <f t="shared" ref="Z500" si="1448">Z491-Z493-Z494-Z495-Z496-Z497</f>
        <v>203066.98942865193</v>
      </c>
      <c r="AA500" s="926" t="s">
        <v>258</v>
      </c>
      <c r="AB500" s="927">
        <f t="shared" ref="AB500" si="1449">IFERROR(AC500/AC408,0)</f>
        <v>4.1683260493394568E-2</v>
      </c>
      <c r="AC500" s="928">
        <f t="shared" ref="AC500" si="1450">AC491-AC493-AC494-AC495-AC496-AC497</f>
        <v>220549.60123925062</v>
      </c>
      <c r="AD500" s="926" t="s">
        <v>258</v>
      </c>
      <c r="AE500" s="927">
        <f t="shared" ref="AE500" si="1451">IFERROR(AF500/AF408,0)</f>
        <v>3.2824048097904457E-2</v>
      </c>
      <c r="AF500" s="928">
        <f t="shared" ref="AF500" si="1452">AF491-AF493-AF494-AF495-AF496-AF497</f>
        <v>151820.20656084555</v>
      </c>
      <c r="AG500" s="926" t="s">
        <v>258</v>
      </c>
      <c r="AH500" s="927">
        <f t="shared" ref="AH500" si="1453">IFERROR(AI500/AI408,0)</f>
        <v>4.7229379083374851E-2</v>
      </c>
      <c r="AI500" s="928">
        <f t="shared" ref="AI500" si="1454">AI491-AI493-AI494-AI495-AI496-AI497</f>
        <v>246937.91121469773</v>
      </c>
      <c r="AJ500" s="926" t="s">
        <v>258</v>
      </c>
      <c r="AK500" s="927">
        <f t="shared" ref="AK500" si="1455">IFERROR(AL500/AL408,0)</f>
        <v>5.968409894436888E-2</v>
      </c>
      <c r="AL500" s="928">
        <f t="shared" ref="AL500" si="1456">AL491-AL493-AL494-AL495-AL496-AL497</f>
        <v>291491.8844607693</v>
      </c>
      <c r="AM500" s="926" t="s">
        <v>258</v>
      </c>
      <c r="AN500" s="927">
        <f t="shared" ref="AN500" si="1457">IFERROR(AO500/AO408,0)</f>
        <v>9.1523986708430417E-3</v>
      </c>
      <c r="AO500" s="928">
        <f t="shared" ref="AO500" si="1458">AO491-AO493-AO494-AO495-AO496-AO497</f>
        <v>28898.946672903181</v>
      </c>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1:219" ht="16.5" thickTop="1">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1:219" ht="15.75">
      <c r="B502" s="594"/>
      <c r="C502" s="594"/>
      <c r="D502" s="594"/>
      <c r="E502" s="594"/>
      <c r="F502" s="594"/>
      <c r="G502" s="594"/>
      <c r="H502" s="1146">
        <f>H500</f>
        <v>5569.9254160686269</v>
      </c>
      <c r="I502" s="594"/>
      <c r="J502" s="594"/>
      <c r="K502" s="1146">
        <f>K500+H502</f>
        <v>37745.930991065958</v>
      </c>
      <c r="L502" s="594"/>
      <c r="M502" s="594"/>
      <c r="N502" s="1146">
        <f>N500+K502</f>
        <v>206636.73319939498</v>
      </c>
      <c r="O502" s="594"/>
      <c r="P502" s="594"/>
      <c r="Q502" s="1146">
        <f>Q500+N502</f>
        <v>466870.19130935625</v>
      </c>
      <c r="R502" s="594"/>
      <c r="S502" s="594"/>
      <c r="T502" s="1146">
        <f>T500+Q502</f>
        <v>750070.03645626467</v>
      </c>
      <c r="U502" s="594"/>
      <c r="V502" s="594"/>
      <c r="W502" s="1146">
        <f>W500+T502</f>
        <v>982145.47288388794</v>
      </c>
      <c r="X502" s="594"/>
      <c r="Y502" s="594"/>
      <c r="Z502" s="1146">
        <f>Z500+W502</f>
        <v>1185212.4623125398</v>
      </c>
      <c r="AA502" s="594"/>
      <c r="AB502" s="594"/>
      <c r="AC502" s="1146">
        <f>AC500+Z502</f>
        <v>1405762.0635517905</v>
      </c>
      <c r="AD502" s="594"/>
      <c r="AE502" s="594"/>
      <c r="AF502" s="1146">
        <f>AF500+AC502</f>
        <v>1557582.270112636</v>
      </c>
      <c r="AG502" s="594"/>
      <c r="AH502" s="594"/>
      <c r="AI502" s="1146">
        <f>AI500+AF502</f>
        <v>1804520.1813273337</v>
      </c>
      <c r="AJ502" s="594"/>
      <c r="AK502" s="594"/>
      <c r="AL502" s="1146">
        <f>AL500+AI502</f>
        <v>2096012.065788103</v>
      </c>
      <c r="AM502" s="594"/>
      <c r="AN502" s="594"/>
      <c r="AO502" s="1146">
        <f>AO500+AL502</f>
        <v>2124911.0124610062</v>
      </c>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1: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1: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1: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1: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1: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1: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1: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1: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1: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1:219" ht="15.75">
      <c r="B512" s="594"/>
      <c r="C512" s="594"/>
      <c r="D512" s="594"/>
      <c r="E512" s="594"/>
      <c r="F512" s="594"/>
      <c r="G512" s="594"/>
      <c r="H512" s="594"/>
      <c r="I512" s="594"/>
      <c r="J512" s="594"/>
      <c r="K512" s="594"/>
      <c r="L512" s="594"/>
      <c r="M512" s="594"/>
      <c r="N512" s="594"/>
      <c r="O512" s="594"/>
      <c r="P512" s="594"/>
      <c r="Q512" s="594"/>
      <c r="R512" s="594"/>
      <c r="S512" s="594"/>
      <c r="T512" s="594"/>
      <c r="U512" s="594"/>
      <c r="V512" s="594"/>
      <c r="W512" s="594"/>
      <c r="X512" s="594"/>
      <c r="Y512" s="594"/>
      <c r="Z512" s="594"/>
      <c r="AA512" s="594"/>
      <c r="AB512" s="594"/>
      <c r="AC512" s="594"/>
      <c r="AD512" s="594"/>
      <c r="AE512" s="594"/>
      <c r="AF512" s="594"/>
      <c r="AG512" s="594"/>
      <c r="AH512" s="594"/>
      <c r="AI512" s="594"/>
      <c r="AJ512" s="594"/>
      <c r="AK512" s="594"/>
      <c r="AL512" s="594"/>
      <c r="AM512" s="594"/>
      <c r="AN512" s="594"/>
      <c r="AO512" s="594"/>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4"/>
      <c r="C513" s="594"/>
      <c r="D513" s="594"/>
      <c r="E513" s="594"/>
      <c r="F513" s="594"/>
      <c r="G513" s="594"/>
      <c r="H513" s="594"/>
      <c r="I513" s="594"/>
      <c r="J513" s="594"/>
      <c r="K513" s="594"/>
      <c r="L513" s="594"/>
      <c r="M513" s="594"/>
      <c r="N513" s="594"/>
      <c r="O513" s="594"/>
      <c r="P513" s="594"/>
      <c r="Q513" s="594"/>
      <c r="R513" s="594"/>
      <c r="S513" s="594"/>
      <c r="T513" s="594"/>
      <c r="U513" s="594"/>
      <c r="V513" s="594"/>
      <c r="W513" s="594"/>
      <c r="X513" s="594"/>
      <c r="Y513" s="594"/>
      <c r="Z513" s="594"/>
      <c r="AA513" s="594"/>
      <c r="AB513" s="594"/>
      <c r="AC513" s="594"/>
      <c r="AD513" s="594"/>
      <c r="AE513" s="594"/>
      <c r="AF513" s="594"/>
      <c r="AG513" s="594"/>
      <c r="AH513" s="594"/>
      <c r="AI513" s="594"/>
      <c r="AJ513" s="594"/>
      <c r="AK513" s="594"/>
      <c r="AL513" s="594"/>
      <c r="AM513" s="594"/>
      <c r="AN513" s="594"/>
      <c r="AO513" s="594"/>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4"/>
      <c r="C514" s="594"/>
      <c r="D514" s="594"/>
      <c r="E514" s="594"/>
      <c r="F514" s="594"/>
      <c r="G514" s="594"/>
      <c r="H514" s="594"/>
      <c r="I514" s="594"/>
      <c r="J514" s="594"/>
      <c r="K514" s="594"/>
      <c r="L514" s="594"/>
      <c r="M514" s="594"/>
      <c r="N514" s="594"/>
      <c r="O514" s="594"/>
      <c r="P514" s="594"/>
      <c r="Q514" s="594"/>
      <c r="R514" s="594"/>
      <c r="S514" s="594"/>
      <c r="T514" s="594"/>
      <c r="U514" s="594"/>
      <c r="V514" s="594"/>
      <c r="W514" s="594"/>
      <c r="X514" s="594"/>
      <c r="Y514" s="594"/>
      <c r="Z514" s="594"/>
      <c r="AA514" s="594"/>
      <c r="AB514" s="594"/>
      <c r="AC514" s="594"/>
      <c r="AD514" s="594"/>
      <c r="AE514" s="594"/>
      <c r="AF514" s="594"/>
      <c r="AG514" s="594"/>
      <c r="AH514" s="594"/>
      <c r="AI514" s="594"/>
      <c r="AJ514" s="594"/>
      <c r="AK514" s="594"/>
      <c r="AL514" s="594"/>
      <c r="AM514" s="594"/>
      <c r="AN514" s="594"/>
      <c r="AO514" s="594"/>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4"/>
      <c r="C515" s="594"/>
      <c r="D515" s="594"/>
      <c r="E515" s="594"/>
      <c r="F515" s="594"/>
      <c r="G515" s="594"/>
      <c r="H515" s="594"/>
      <c r="I515" s="594"/>
      <c r="J515" s="594"/>
      <c r="K515" s="594"/>
      <c r="L515" s="594"/>
      <c r="M515" s="594"/>
      <c r="N515" s="594"/>
      <c r="O515" s="594"/>
      <c r="P515" s="594"/>
      <c r="Q515" s="594"/>
      <c r="R515" s="594"/>
      <c r="S515" s="594"/>
      <c r="T515" s="594"/>
      <c r="U515" s="594"/>
      <c r="V515" s="594"/>
      <c r="W515" s="594"/>
      <c r="X515" s="594"/>
      <c r="Y515" s="594"/>
      <c r="Z515" s="594"/>
      <c r="AA515" s="594"/>
      <c r="AB515" s="594"/>
      <c r="AC515" s="594"/>
      <c r="AD515" s="594"/>
      <c r="AE515" s="594"/>
      <c r="AF515" s="594"/>
      <c r="AG515" s="594"/>
      <c r="AH515" s="594"/>
      <c r="AI515" s="594"/>
      <c r="AJ515" s="594"/>
      <c r="AK515" s="594"/>
      <c r="AL515" s="594"/>
      <c r="AM515" s="594"/>
      <c r="AN515" s="594"/>
      <c r="AO515" s="594"/>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5"/>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7"/>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5"/>
      <c r="D519" s="595"/>
      <c r="E519" s="595"/>
      <c r="F519" s="595"/>
      <c r="G519" s="595"/>
      <c r="H519" s="595"/>
      <c r="I519" s="595"/>
      <c r="J519" s="595"/>
      <c r="K519" s="595"/>
      <c r="L519" s="595"/>
      <c r="M519" s="595"/>
      <c r="N519" s="595"/>
      <c r="O519" s="595"/>
      <c r="P519" s="595"/>
      <c r="Q519" s="595"/>
      <c r="R519" s="595"/>
      <c r="S519" s="595"/>
      <c r="T519" s="595"/>
      <c r="U519" s="595"/>
      <c r="V519" s="595"/>
      <c r="W519" s="595"/>
      <c r="X519" s="595"/>
      <c r="Y519" s="595"/>
      <c r="Z519" s="595"/>
      <c r="AA519" s="595"/>
      <c r="AB519" s="595"/>
      <c r="AC519" s="595"/>
      <c r="AD519" s="595"/>
      <c r="AE519" s="595"/>
      <c r="AF519" s="595"/>
      <c r="AG519" s="595"/>
      <c r="AH519" s="595"/>
      <c r="AI519" s="595"/>
      <c r="AJ519" s="595"/>
      <c r="AK519" s="595"/>
      <c r="AL519" s="595"/>
      <c r="AM519" s="595"/>
      <c r="AN519" s="595"/>
      <c r="AO519" s="595"/>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5.75">
      <c r="B524" s="596"/>
      <c r="C524" s="595"/>
      <c r="D524" s="595"/>
      <c r="E524" s="595"/>
      <c r="F524" s="595"/>
      <c r="G524" s="595"/>
      <c r="H524" s="595"/>
      <c r="I524" s="595"/>
      <c r="J524" s="595"/>
      <c r="K524" s="595"/>
      <c r="L524" s="595"/>
      <c r="M524" s="595"/>
      <c r="N524" s="595"/>
      <c r="O524" s="595"/>
      <c r="P524" s="595"/>
      <c r="Q524" s="595"/>
      <c r="R524" s="595"/>
      <c r="S524" s="595"/>
      <c r="T524" s="595"/>
      <c r="U524" s="595"/>
      <c r="V524" s="595"/>
      <c r="W524" s="595"/>
      <c r="X524" s="595"/>
      <c r="Y524" s="595"/>
      <c r="Z524" s="595"/>
      <c r="AA524" s="595"/>
      <c r="AB524" s="595"/>
      <c r="AC524" s="595"/>
      <c r="AD524" s="595"/>
      <c r="AE524" s="595"/>
      <c r="AF524" s="595"/>
      <c r="AG524" s="595"/>
      <c r="AH524" s="595"/>
      <c r="AI524" s="595"/>
      <c r="AJ524" s="595"/>
      <c r="AK524" s="595"/>
      <c r="AL524" s="595"/>
      <c r="AM524" s="595"/>
      <c r="AN524" s="595"/>
      <c r="AO524" s="595"/>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c r="AA526" s="596"/>
      <c r="AB526" s="596"/>
      <c r="AC526" s="596"/>
      <c r="AD526" s="596"/>
      <c r="AE526" s="596"/>
      <c r="AF526" s="596"/>
      <c r="AG526" s="596"/>
      <c r="AH526" s="596"/>
      <c r="AI526" s="596"/>
      <c r="AJ526" s="596"/>
      <c r="AK526" s="596"/>
      <c r="AL526" s="596"/>
      <c r="AM526" s="596"/>
      <c r="AN526" s="596"/>
      <c r="AO526" s="596"/>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c r="AA527" s="596"/>
      <c r="AB527" s="596"/>
      <c r="AC527" s="596"/>
      <c r="AD527" s="596"/>
      <c r="AE527" s="596"/>
      <c r="AF527" s="596"/>
      <c r="AG527" s="596"/>
      <c r="AH527" s="596"/>
      <c r="AI527" s="596"/>
      <c r="AJ527" s="596"/>
      <c r="AK527" s="596"/>
      <c r="AL527" s="596"/>
      <c r="AM527" s="596"/>
      <c r="AN527" s="596"/>
      <c r="AO527" s="596"/>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8.75">
      <c r="B528" s="598"/>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c r="AJ528" s="599"/>
      <c r="AK528" s="599"/>
      <c r="AL528" s="599"/>
      <c r="AM528" s="599"/>
      <c r="AN528" s="599"/>
      <c r="AO528" s="599"/>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600"/>
      <c r="F530" s="596"/>
      <c r="G530" s="596"/>
      <c r="H530" s="600"/>
      <c r="I530" s="596"/>
      <c r="J530" s="596"/>
      <c r="K530" s="600"/>
      <c r="L530" s="596"/>
      <c r="M530" s="596"/>
      <c r="N530" s="600"/>
      <c r="O530" s="596"/>
      <c r="P530" s="596"/>
      <c r="Q530" s="600"/>
      <c r="R530" s="596"/>
      <c r="S530" s="596"/>
      <c r="T530" s="600"/>
      <c r="U530" s="596"/>
      <c r="V530" s="596"/>
      <c r="W530" s="600"/>
      <c r="X530" s="596"/>
      <c r="Y530" s="596"/>
      <c r="Z530" s="600"/>
      <c r="AA530" s="596"/>
      <c r="AB530" s="596"/>
      <c r="AC530" s="600"/>
      <c r="AD530" s="596"/>
      <c r="AE530" s="596"/>
      <c r="AF530" s="600"/>
      <c r="AG530" s="596"/>
      <c r="AH530" s="596"/>
      <c r="AI530" s="600"/>
      <c r="AJ530" s="596"/>
      <c r="AK530" s="596"/>
      <c r="AL530" s="600"/>
      <c r="AM530" s="596"/>
      <c r="AN530" s="596"/>
      <c r="AO530" s="600"/>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1"/>
      <c r="D531" s="595"/>
      <c r="E531" s="600"/>
      <c r="F531" s="601"/>
      <c r="G531" s="595"/>
      <c r="H531" s="600"/>
      <c r="I531" s="601"/>
      <c r="J531" s="595"/>
      <c r="K531" s="600"/>
      <c r="L531" s="601"/>
      <c r="M531" s="595"/>
      <c r="N531" s="600"/>
      <c r="O531" s="601"/>
      <c r="P531" s="595"/>
      <c r="Q531" s="600"/>
      <c r="R531" s="601"/>
      <c r="S531" s="595"/>
      <c r="T531" s="600"/>
      <c r="U531" s="601"/>
      <c r="V531" s="595"/>
      <c r="W531" s="600"/>
      <c r="X531" s="601"/>
      <c r="Y531" s="595"/>
      <c r="Z531" s="600"/>
      <c r="AA531" s="601"/>
      <c r="AB531" s="595"/>
      <c r="AC531" s="600"/>
      <c r="AD531" s="601"/>
      <c r="AE531" s="595"/>
      <c r="AF531" s="600"/>
      <c r="AG531" s="601"/>
      <c r="AH531" s="595"/>
      <c r="AI531" s="600"/>
      <c r="AJ531" s="601"/>
      <c r="AK531" s="595"/>
      <c r="AL531" s="600"/>
      <c r="AM531" s="601"/>
      <c r="AN531" s="595"/>
      <c r="AO531" s="600"/>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2"/>
      <c r="D532" s="602"/>
      <c r="E532" s="602"/>
      <c r="F532" s="602"/>
      <c r="G532" s="602"/>
      <c r="H532" s="602"/>
      <c r="I532" s="602"/>
      <c r="J532" s="602"/>
      <c r="K532" s="602"/>
      <c r="L532" s="602"/>
      <c r="M532" s="602"/>
      <c r="N532" s="602"/>
      <c r="O532" s="602"/>
      <c r="P532" s="602"/>
      <c r="Q532" s="602"/>
      <c r="R532" s="602"/>
      <c r="S532" s="602"/>
      <c r="T532" s="602"/>
      <c r="U532" s="602"/>
      <c r="V532" s="602"/>
      <c r="W532" s="602"/>
      <c r="X532" s="602"/>
      <c r="Y532" s="602"/>
      <c r="Z532" s="602"/>
      <c r="AA532" s="602"/>
      <c r="AB532" s="602"/>
      <c r="AC532" s="602"/>
      <c r="AD532" s="602"/>
      <c r="AE532" s="602"/>
      <c r="AF532" s="602"/>
      <c r="AG532" s="602"/>
      <c r="AH532" s="602"/>
      <c r="AI532" s="602"/>
      <c r="AJ532" s="602"/>
      <c r="AK532" s="602"/>
      <c r="AL532" s="602"/>
      <c r="AM532" s="602"/>
      <c r="AN532" s="602"/>
      <c r="AO532" s="602"/>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6"/>
      <c r="C538" s="603"/>
      <c r="D538" s="604"/>
      <c r="E538" s="603"/>
      <c r="F538" s="603"/>
      <c r="G538" s="604"/>
      <c r="H538" s="603"/>
      <c r="I538" s="603"/>
      <c r="J538" s="604"/>
      <c r="K538" s="603"/>
      <c r="L538" s="603"/>
      <c r="M538" s="604"/>
      <c r="N538" s="603"/>
      <c r="O538" s="603"/>
      <c r="P538" s="604"/>
      <c r="Q538" s="603"/>
      <c r="R538" s="603"/>
      <c r="S538" s="604"/>
      <c r="T538" s="603"/>
      <c r="U538" s="603"/>
      <c r="V538" s="604"/>
      <c r="W538" s="603"/>
      <c r="X538" s="603"/>
      <c r="Y538" s="604"/>
      <c r="Z538" s="603"/>
      <c r="AA538" s="603"/>
      <c r="AB538" s="604"/>
      <c r="AC538" s="603"/>
      <c r="AD538" s="603"/>
      <c r="AE538" s="604"/>
      <c r="AF538" s="603"/>
      <c r="AG538" s="603"/>
      <c r="AH538" s="604"/>
      <c r="AI538" s="603"/>
      <c r="AJ538" s="603"/>
      <c r="AK538" s="604"/>
      <c r="AL538" s="603"/>
      <c r="AM538" s="603"/>
      <c r="AN538" s="604"/>
      <c r="AO538" s="603"/>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6"/>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5"/>
      <c r="C542" s="605"/>
      <c r="D542" s="606"/>
      <c r="E542" s="605"/>
      <c r="F542" s="605"/>
      <c r="G542" s="606"/>
      <c r="H542" s="605"/>
      <c r="I542" s="605"/>
      <c r="J542" s="606"/>
      <c r="K542" s="605"/>
      <c r="L542" s="605"/>
      <c r="M542" s="606"/>
      <c r="N542" s="605"/>
      <c r="O542" s="605"/>
      <c r="P542" s="606"/>
      <c r="Q542" s="605"/>
      <c r="R542" s="605"/>
      <c r="S542" s="606"/>
      <c r="T542" s="605"/>
      <c r="U542" s="605"/>
      <c r="V542" s="606"/>
      <c r="W542" s="605"/>
      <c r="X542" s="605"/>
      <c r="Y542" s="606"/>
      <c r="Z542" s="605"/>
      <c r="AA542" s="605"/>
      <c r="AB542" s="606"/>
      <c r="AC542" s="605"/>
      <c r="AD542" s="605"/>
      <c r="AE542" s="606"/>
      <c r="AF542" s="605"/>
      <c r="AG542" s="605"/>
      <c r="AH542" s="606"/>
      <c r="AI542" s="605"/>
      <c r="AJ542" s="605"/>
      <c r="AK542" s="606"/>
      <c r="AL542" s="605"/>
      <c r="AM542" s="605"/>
      <c r="AN542" s="606"/>
      <c r="AO542" s="605"/>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604"/>
      <c r="E543" s="603"/>
      <c r="F543" s="603"/>
      <c r="G543" s="604"/>
      <c r="H543" s="603"/>
      <c r="I543" s="603"/>
      <c r="J543" s="604"/>
      <c r="K543" s="603"/>
      <c r="L543" s="603"/>
      <c r="M543" s="604"/>
      <c r="N543" s="603"/>
      <c r="O543" s="603"/>
      <c r="P543" s="604"/>
      <c r="Q543" s="603"/>
      <c r="R543" s="603"/>
      <c r="S543" s="604"/>
      <c r="T543" s="603"/>
      <c r="U543" s="603"/>
      <c r="V543" s="604"/>
      <c r="W543" s="603"/>
      <c r="X543" s="603"/>
      <c r="Y543" s="604"/>
      <c r="Z543" s="603"/>
      <c r="AA543" s="603"/>
      <c r="AB543" s="604"/>
      <c r="AC543" s="603"/>
      <c r="AD543" s="603"/>
      <c r="AE543" s="604"/>
      <c r="AF543" s="603"/>
      <c r="AG543" s="603"/>
      <c r="AH543" s="604"/>
      <c r="AI543" s="603"/>
      <c r="AJ543" s="603"/>
      <c r="AK543" s="604"/>
      <c r="AL543" s="603"/>
      <c r="AM543" s="603"/>
      <c r="AN543" s="604"/>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5"/>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c r="AA546" s="596"/>
      <c r="AB546" s="596"/>
      <c r="AC546" s="596"/>
      <c r="AD546" s="596"/>
      <c r="AE546" s="596"/>
      <c r="AF546" s="596"/>
      <c r="AG546" s="596"/>
      <c r="AH546" s="596"/>
      <c r="AI546" s="596"/>
      <c r="AJ546" s="596"/>
      <c r="AK546" s="596"/>
      <c r="AL546" s="596"/>
      <c r="AM546" s="596"/>
      <c r="AN546" s="596"/>
      <c r="AO546" s="596"/>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6"/>
      <c r="C547" s="603"/>
      <c r="D547" s="596"/>
      <c r="E547" s="603"/>
      <c r="F547" s="603"/>
      <c r="G547" s="596"/>
      <c r="H547" s="603"/>
      <c r="I547" s="603"/>
      <c r="J547" s="596"/>
      <c r="K547" s="603"/>
      <c r="L547" s="603"/>
      <c r="M547" s="596"/>
      <c r="N547" s="603"/>
      <c r="O547" s="603"/>
      <c r="P547" s="596"/>
      <c r="Q547" s="603"/>
      <c r="R547" s="603"/>
      <c r="S547" s="596"/>
      <c r="T547" s="603"/>
      <c r="U547" s="603"/>
      <c r="V547" s="596"/>
      <c r="W547" s="603"/>
      <c r="X547" s="603"/>
      <c r="Y547" s="596"/>
      <c r="Z547" s="603"/>
      <c r="AA547" s="603"/>
      <c r="AB547" s="596"/>
      <c r="AC547" s="603"/>
      <c r="AD547" s="603"/>
      <c r="AE547" s="596"/>
      <c r="AF547" s="603"/>
      <c r="AG547" s="603"/>
      <c r="AH547" s="596"/>
      <c r="AI547" s="603"/>
      <c r="AJ547" s="603"/>
      <c r="AK547" s="596"/>
      <c r="AL547" s="603"/>
      <c r="AM547" s="603"/>
      <c r="AN547" s="596"/>
      <c r="AO547" s="603"/>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603"/>
      <c r="D548" s="604"/>
      <c r="E548" s="603"/>
      <c r="F548" s="603"/>
      <c r="G548" s="604"/>
      <c r="H548" s="603"/>
      <c r="I548" s="603"/>
      <c r="J548" s="604"/>
      <c r="K548" s="603"/>
      <c r="L548" s="603"/>
      <c r="M548" s="604"/>
      <c r="N548" s="603"/>
      <c r="O548" s="603"/>
      <c r="P548" s="604"/>
      <c r="Q548" s="603"/>
      <c r="R548" s="603"/>
      <c r="S548" s="604"/>
      <c r="T548" s="603"/>
      <c r="U548" s="603"/>
      <c r="V548" s="604"/>
      <c r="W548" s="603"/>
      <c r="X548" s="603"/>
      <c r="Y548" s="604"/>
      <c r="Z548" s="603"/>
      <c r="AA548" s="603"/>
      <c r="AB548" s="604"/>
      <c r="AC548" s="603"/>
      <c r="AD548" s="603"/>
      <c r="AE548" s="604"/>
      <c r="AF548" s="603"/>
      <c r="AG548" s="603"/>
      <c r="AH548" s="604"/>
      <c r="AI548" s="603"/>
      <c r="AJ548" s="603"/>
      <c r="AK548" s="604"/>
      <c r="AL548" s="603"/>
      <c r="AM548" s="603"/>
      <c r="AN548" s="604"/>
      <c r="AO548" s="603"/>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6"/>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5"/>
      <c r="C551" s="605"/>
      <c r="D551" s="606"/>
      <c r="E551" s="605"/>
      <c r="F551" s="605"/>
      <c r="G551" s="606"/>
      <c r="H551" s="605"/>
      <c r="I551" s="605"/>
      <c r="J551" s="606"/>
      <c r="K551" s="605"/>
      <c r="L551" s="605"/>
      <c r="M551" s="606"/>
      <c r="N551" s="605"/>
      <c r="O551" s="605"/>
      <c r="P551" s="606"/>
      <c r="Q551" s="605"/>
      <c r="R551" s="605"/>
      <c r="S551" s="606"/>
      <c r="T551" s="605"/>
      <c r="U551" s="605"/>
      <c r="V551" s="606"/>
      <c r="W551" s="605"/>
      <c r="X551" s="605"/>
      <c r="Y551" s="606"/>
      <c r="Z551" s="605"/>
      <c r="AA551" s="605"/>
      <c r="AB551" s="606"/>
      <c r="AC551" s="605"/>
      <c r="AD551" s="605"/>
      <c r="AE551" s="606"/>
      <c r="AF551" s="605"/>
      <c r="AG551" s="605"/>
      <c r="AH551" s="606"/>
      <c r="AI551" s="605"/>
      <c r="AJ551" s="605"/>
      <c r="AK551" s="606"/>
      <c r="AL551" s="605"/>
      <c r="AM551" s="605"/>
      <c r="AN551" s="606"/>
      <c r="AO551" s="605"/>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603"/>
      <c r="D553" s="604"/>
      <c r="E553" s="603"/>
      <c r="F553" s="603"/>
      <c r="G553" s="604"/>
      <c r="H553" s="603"/>
      <c r="I553" s="603"/>
      <c r="J553" s="604"/>
      <c r="K553" s="603"/>
      <c r="L553" s="603"/>
      <c r="M553" s="604"/>
      <c r="N553" s="603"/>
      <c r="O553" s="603"/>
      <c r="P553" s="604"/>
      <c r="Q553" s="603"/>
      <c r="R553" s="603"/>
      <c r="S553" s="604"/>
      <c r="T553" s="603"/>
      <c r="U553" s="603"/>
      <c r="V553" s="604"/>
      <c r="W553" s="603"/>
      <c r="X553" s="603"/>
      <c r="Y553" s="604"/>
      <c r="Z553" s="603"/>
      <c r="AA553" s="603"/>
      <c r="AB553" s="604"/>
      <c r="AC553" s="603"/>
      <c r="AD553" s="603"/>
      <c r="AE553" s="604"/>
      <c r="AF553" s="603"/>
      <c r="AG553" s="603"/>
      <c r="AH553" s="604"/>
      <c r="AI553" s="603"/>
      <c r="AJ553" s="603"/>
      <c r="AK553" s="604"/>
      <c r="AL553" s="603"/>
      <c r="AM553" s="603"/>
      <c r="AN553" s="604"/>
      <c r="AO553" s="603"/>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5"/>
      <c r="C554" s="603"/>
      <c r="D554" s="604"/>
      <c r="E554" s="603"/>
      <c r="F554" s="603"/>
      <c r="G554" s="604"/>
      <c r="H554" s="603"/>
      <c r="I554" s="603"/>
      <c r="J554" s="604"/>
      <c r="K554" s="603"/>
      <c r="L554" s="603"/>
      <c r="M554" s="604"/>
      <c r="N554" s="603"/>
      <c r="O554" s="603"/>
      <c r="P554" s="604"/>
      <c r="Q554" s="603"/>
      <c r="R554" s="603"/>
      <c r="S554" s="604"/>
      <c r="T554" s="603"/>
      <c r="U554" s="603"/>
      <c r="V554" s="604"/>
      <c r="W554" s="603"/>
      <c r="X554" s="603"/>
      <c r="Y554" s="604"/>
      <c r="Z554" s="603"/>
      <c r="AA554" s="603"/>
      <c r="AB554" s="604"/>
      <c r="AC554" s="603"/>
      <c r="AD554" s="603"/>
      <c r="AE554" s="604"/>
      <c r="AF554" s="603"/>
      <c r="AG554" s="603"/>
      <c r="AH554" s="604"/>
      <c r="AI554" s="603"/>
      <c r="AJ554" s="603"/>
      <c r="AK554" s="604"/>
      <c r="AL554" s="603"/>
      <c r="AM554" s="603"/>
      <c r="AN554" s="604"/>
      <c r="AO554" s="603"/>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603"/>
      <c r="D555" s="604"/>
      <c r="E555" s="603"/>
      <c r="F555" s="603"/>
      <c r="G555" s="604"/>
      <c r="H555" s="603"/>
      <c r="I555" s="603"/>
      <c r="J555" s="604"/>
      <c r="K555" s="603"/>
      <c r="L555" s="603"/>
      <c r="M555" s="604"/>
      <c r="N555" s="603"/>
      <c r="O555" s="603"/>
      <c r="P555" s="604"/>
      <c r="Q555" s="603"/>
      <c r="R555" s="603"/>
      <c r="S555" s="604"/>
      <c r="T555" s="603"/>
      <c r="U555" s="603"/>
      <c r="V555" s="604"/>
      <c r="W555" s="603"/>
      <c r="X555" s="603"/>
      <c r="Y555" s="604"/>
      <c r="Z555" s="603"/>
      <c r="AA555" s="603"/>
      <c r="AB555" s="604"/>
      <c r="AC555" s="603"/>
      <c r="AD555" s="603"/>
      <c r="AE555" s="604"/>
      <c r="AF555" s="603"/>
      <c r="AG555" s="603"/>
      <c r="AH555" s="604"/>
      <c r="AI555" s="603"/>
      <c r="AJ555" s="603"/>
      <c r="AK555" s="604"/>
      <c r="AL555" s="603"/>
      <c r="AM555" s="603"/>
      <c r="AN555" s="604"/>
      <c r="AO555" s="603"/>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5"/>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c r="AA569" s="596"/>
      <c r="AB569" s="596"/>
      <c r="AC569" s="596"/>
      <c r="AD569" s="596"/>
      <c r="AE569" s="596"/>
      <c r="AF569" s="596"/>
      <c r="AG569" s="596"/>
      <c r="AH569" s="596"/>
      <c r="AI569" s="596"/>
      <c r="AJ569" s="596"/>
      <c r="AK569" s="596"/>
      <c r="AL569" s="596"/>
      <c r="AM569" s="596"/>
      <c r="AN569" s="596"/>
      <c r="AO569" s="596"/>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c r="AA570" s="596"/>
      <c r="AB570" s="596"/>
      <c r="AC570" s="596"/>
      <c r="AD570" s="596"/>
      <c r="AE570" s="596"/>
      <c r="AF570" s="596"/>
      <c r="AG570" s="596"/>
      <c r="AH570" s="596"/>
      <c r="AI570" s="596"/>
      <c r="AJ570" s="596"/>
      <c r="AK570" s="596"/>
      <c r="AL570" s="596"/>
      <c r="AM570" s="596"/>
      <c r="AN570" s="596"/>
      <c r="AO570" s="596"/>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5"/>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c r="AA571" s="596"/>
      <c r="AB571" s="596"/>
      <c r="AC571" s="596"/>
      <c r="AD571" s="596"/>
      <c r="AE571" s="596"/>
      <c r="AF571" s="596"/>
      <c r="AG571" s="596"/>
      <c r="AH571" s="596"/>
      <c r="AI571" s="596"/>
      <c r="AJ571" s="596"/>
      <c r="AK571" s="596"/>
      <c r="AL571" s="596"/>
      <c r="AM571" s="596"/>
      <c r="AN571" s="596"/>
      <c r="AO571" s="596"/>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c r="AA572" s="596"/>
      <c r="AB572" s="596"/>
      <c r="AC572" s="596"/>
      <c r="AD572" s="596"/>
      <c r="AE572" s="596"/>
      <c r="AF572" s="596"/>
      <c r="AG572" s="596"/>
      <c r="AH572" s="596"/>
      <c r="AI572" s="596"/>
      <c r="AJ572" s="596"/>
      <c r="AK572" s="596"/>
      <c r="AL572" s="596"/>
      <c r="AM572" s="596"/>
      <c r="AN572" s="596"/>
      <c r="AO572" s="596"/>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603"/>
      <c r="D573" s="604"/>
      <c r="E573" s="603"/>
      <c r="F573" s="603"/>
      <c r="G573" s="604"/>
      <c r="H573" s="603"/>
      <c r="I573" s="603"/>
      <c r="J573" s="604"/>
      <c r="K573" s="603"/>
      <c r="L573" s="603"/>
      <c r="M573" s="604"/>
      <c r="N573" s="603"/>
      <c r="O573" s="603"/>
      <c r="P573" s="604"/>
      <c r="Q573" s="603"/>
      <c r="R573" s="603"/>
      <c r="S573" s="604"/>
      <c r="T573" s="603"/>
      <c r="U573" s="603"/>
      <c r="V573" s="604"/>
      <c r="W573" s="603"/>
      <c r="X573" s="603"/>
      <c r="Y573" s="604"/>
      <c r="Z573" s="603"/>
      <c r="AA573" s="603"/>
      <c r="AB573" s="604"/>
      <c r="AC573" s="603"/>
      <c r="AD573" s="603"/>
      <c r="AE573" s="604"/>
      <c r="AF573" s="603"/>
      <c r="AG573" s="603"/>
      <c r="AH573" s="604"/>
      <c r="AI573" s="603"/>
      <c r="AJ573" s="603"/>
      <c r="AK573" s="604"/>
      <c r="AL573" s="603"/>
      <c r="AM573" s="603"/>
      <c r="AN573" s="604"/>
      <c r="AO573" s="603"/>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5"/>
      <c r="C574" s="605"/>
      <c r="D574" s="606"/>
      <c r="E574" s="605"/>
      <c r="F574" s="605"/>
      <c r="G574" s="606"/>
      <c r="H574" s="605"/>
      <c r="I574" s="605"/>
      <c r="J574" s="606"/>
      <c r="K574" s="605"/>
      <c r="L574" s="605"/>
      <c r="M574" s="606"/>
      <c r="N574" s="605"/>
      <c r="O574" s="605"/>
      <c r="P574" s="606"/>
      <c r="Q574" s="605"/>
      <c r="R574" s="605"/>
      <c r="S574" s="606"/>
      <c r="T574" s="605"/>
      <c r="U574" s="605"/>
      <c r="V574" s="606"/>
      <c r="W574" s="605"/>
      <c r="X574" s="605"/>
      <c r="Y574" s="606"/>
      <c r="Z574" s="605"/>
      <c r="AA574" s="605"/>
      <c r="AB574" s="606"/>
      <c r="AC574" s="605"/>
      <c r="AD574" s="605"/>
      <c r="AE574" s="606"/>
      <c r="AF574" s="605"/>
      <c r="AG574" s="605"/>
      <c r="AH574" s="606"/>
      <c r="AI574" s="605"/>
      <c r="AJ574" s="605"/>
      <c r="AK574" s="606"/>
      <c r="AL574" s="605"/>
      <c r="AM574" s="605"/>
      <c r="AN574" s="606"/>
      <c r="AO574" s="605"/>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c r="AA577" s="596"/>
      <c r="AB577" s="596"/>
      <c r="AC577" s="596"/>
      <c r="AD577" s="596"/>
      <c r="AE577" s="596"/>
      <c r="AF577" s="596"/>
      <c r="AG577" s="596"/>
      <c r="AH577" s="596"/>
      <c r="AI577" s="596"/>
      <c r="AJ577" s="596"/>
      <c r="AK577" s="596"/>
      <c r="AL577" s="596"/>
      <c r="AM577" s="596"/>
      <c r="AN577" s="596"/>
      <c r="AO577" s="596"/>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604"/>
      <c r="D581" s="603"/>
      <c r="E581" s="604"/>
      <c r="F581" s="604"/>
      <c r="G581" s="603"/>
      <c r="H581" s="604"/>
      <c r="I581" s="604"/>
      <c r="J581" s="603"/>
      <c r="K581" s="604"/>
      <c r="L581" s="604"/>
      <c r="M581" s="603"/>
      <c r="N581" s="604"/>
      <c r="O581" s="604"/>
      <c r="P581" s="603"/>
      <c r="Q581" s="604"/>
      <c r="R581" s="604"/>
      <c r="S581" s="603"/>
      <c r="T581" s="604"/>
      <c r="U581" s="604"/>
      <c r="V581" s="603"/>
      <c r="W581" s="604"/>
      <c r="X581" s="604"/>
      <c r="Y581" s="603"/>
      <c r="Z581" s="604"/>
      <c r="AA581" s="604"/>
      <c r="AB581" s="603"/>
      <c r="AC581" s="604"/>
      <c r="AD581" s="604"/>
      <c r="AE581" s="603"/>
      <c r="AF581" s="604"/>
      <c r="AG581" s="604"/>
      <c r="AH581" s="603"/>
      <c r="AI581" s="604"/>
      <c r="AJ581" s="604"/>
      <c r="AK581" s="603"/>
      <c r="AL581" s="604"/>
      <c r="AM581" s="604"/>
      <c r="AN581" s="603"/>
      <c r="AO581" s="604"/>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604"/>
      <c r="D582" s="603"/>
      <c r="E582" s="604"/>
      <c r="F582" s="604"/>
      <c r="G582" s="603"/>
      <c r="H582" s="604"/>
      <c r="I582" s="604"/>
      <c r="J582" s="603"/>
      <c r="K582" s="604"/>
      <c r="L582" s="604"/>
      <c r="M582" s="603"/>
      <c r="N582" s="604"/>
      <c r="O582" s="604"/>
      <c r="P582" s="603"/>
      <c r="Q582" s="604"/>
      <c r="R582" s="604"/>
      <c r="S582" s="603"/>
      <c r="T582" s="604"/>
      <c r="U582" s="604"/>
      <c r="V582" s="603"/>
      <c r="W582" s="604"/>
      <c r="X582" s="604"/>
      <c r="Y582" s="603"/>
      <c r="Z582" s="604"/>
      <c r="AA582" s="604"/>
      <c r="AB582" s="603"/>
      <c r="AC582" s="604"/>
      <c r="AD582" s="604"/>
      <c r="AE582" s="603"/>
      <c r="AF582" s="604"/>
      <c r="AG582" s="604"/>
      <c r="AH582" s="603"/>
      <c r="AI582" s="604"/>
      <c r="AJ582" s="604"/>
      <c r="AK582" s="603"/>
      <c r="AL582" s="604"/>
      <c r="AM582" s="604"/>
      <c r="AN582" s="603"/>
      <c r="AO582" s="604"/>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604"/>
      <c r="D583" s="603"/>
      <c r="E583" s="604"/>
      <c r="F583" s="604"/>
      <c r="G583" s="603"/>
      <c r="H583" s="604"/>
      <c r="I583" s="604"/>
      <c r="J583" s="603"/>
      <c r="K583" s="604"/>
      <c r="L583" s="604"/>
      <c r="M583" s="603"/>
      <c r="N583" s="604"/>
      <c r="O583" s="604"/>
      <c r="P583" s="603"/>
      <c r="Q583" s="604"/>
      <c r="R583" s="604"/>
      <c r="S583" s="603"/>
      <c r="T583" s="604"/>
      <c r="U583" s="604"/>
      <c r="V583" s="603"/>
      <c r="W583" s="604"/>
      <c r="X583" s="604"/>
      <c r="Y583" s="603"/>
      <c r="Z583" s="604"/>
      <c r="AA583" s="604"/>
      <c r="AB583" s="603"/>
      <c r="AC583" s="604"/>
      <c r="AD583" s="604"/>
      <c r="AE583" s="603"/>
      <c r="AF583" s="604"/>
      <c r="AG583" s="604"/>
      <c r="AH583" s="603"/>
      <c r="AI583" s="604"/>
      <c r="AJ583" s="604"/>
      <c r="AK583" s="603"/>
      <c r="AL583" s="604"/>
      <c r="AM583" s="604"/>
      <c r="AN583" s="603"/>
      <c r="AO583" s="604"/>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604"/>
      <c r="D584" s="603"/>
      <c r="E584" s="604"/>
      <c r="F584" s="604"/>
      <c r="G584" s="603"/>
      <c r="H584" s="604"/>
      <c r="I584" s="604"/>
      <c r="J584" s="603"/>
      <c r="K584" s="604"/>
      <c r="L584" s="604"/>
      <c r="M584" s="603"/>
      <c r="N584" s="604"/>
      <c r="O584" s="604"/>
      <c r="P584" s="603"/>
      <c r="Q584" s="604"/>
      <c r="R584" s="604"/>
      <c r="S584" s="603"/>
      <c r="T584" s="604"/>
      <c r="U584" s="604"/>
      <c r="V584" s="603"/>
      <c r="W584" s="604"/>
      <c r="X584" s="604"/>
      <c r="Y584" s="603"/>
      <c r="Z584" s="604"/>
      <c r="AA584" s="604"/>
      <c r="AB584" s="603"/>
      <c r="AC584" s="604"/>
      <c r="AD584" s="604"/>
      <c r="AE584" s="603"/>
      <c r="AF584" s="604"/>
      <c r="AG584" s="604"/>
      <c r="AH584" s="603"/>
      <c r="AI584" s="604"/>
      <c r="AJ584" s="604"/>
      <c r="AK584" s="603"/>
      <c r="AL584" s="604"/>
      <c r="AM584" s="604"/>
      <c r="AN584" s="603"/>
      <c r="AO584" s="604"/>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15.75">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5.75">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c r="AA645" s="596"/>
      <c r="AB645" s="596"/>
      <c r="AC645" s="596"/>
      <c r="AD645" s="596"/>
      <c r="AE645" s="596"/>
      <c r="AF645" s="596"/>
      <c r="AG645" s="596"/>
      <c r="AH645" s="596"/>
      <c r="AI645" s="596"/>
      <c r="AJ645" s="596"/>
      <c r="AK645" s="596"/>
      <c r="AL645" s="596"/>
      <c r="AM645" s="596"/>
      <c r="AN645" s="596"/>
      <c r="AO645" s="596"/>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c r="AA646" s="596"/>
      <c r="AB646" s="596"/>
      <c r="AC646" s="596"/>
      <c r="AD646" s="596"/>
      <c r="AE646" s="596"/>
      <c r="AF646" s="596"/>
      <c r="AG646" s="596"/>
      <c r="AH646" s="596"/>
      <c r="AI646" s="596"/>
      <c r="AJ646" s="596"/>
      <c r="AK646" s="596"/>
      <c r="AL646" s="596"/>
      <c r="AM646" s="596"/>
      <c r="AN646" s="596"/>
      <c r="AO646" s="596"/>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c r="AA647" s="596"/>
      <c r="AB647" s="596"/>
      <c r="AC647" s="596"/>
      <c r="AD647" s="596"/>
      <c r="AE647" s="596"/>
      <c r="AF647" s="596"/>
      <c r="AG647" s="596"/>
      <c r="AH647" s="596"/>
      <c r="AI647" s="596"/>
      <c r="AJ647" s="596"/>
      <c r="AK647" s="596"/>
      <c r="AL647" s="596"/>
      <c r="AM647" s="596"/>
      <c r="AN647" s="596"/>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30">
      <c r="B648" s="607"/>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c r="AA648" s="596"/>
      <c r="AB648" s="596"/>
      <c r="AC648" s="596"/>
      <c r="AD648" s="596"/>
      <c r="AE648" s="596"/>
      <c r="AF648" s="596"/>
      <c r="AG648" s="596"/>
      <c r="AH648" s="596"/>
      <c r="AI648" s="596"/>
      <c r="AJ648" s="596"/>
      <c r="AK648" s="596"/>
      <c r="AL648" s="596"/>
      <c r="AM648" s="596"/>
      <c r="AN648" s="596"/>
      <c r="AO648" s="596"/>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8.75">
      <c r="B649" s="598"/>
      <c r="C649" s="601"/>
      <c r="D649" s="601"/>
      <c r="E649" s="601"/>
      <c r="F649" s="601"/>
      <c r="G649" s="601"/>
      <c r="H649" s="601"/>
      <c r="I649" s="601"/>
      <c r="J649" s="601"/>
      <c r="K649" s="601"/>
      <c r="L649" s="601"/>
      <c r="M649" s="601"/>
      <c r="N649" s="601"/>
      <c r="O649" s="601"/>
      <c r="P649" s="601"/>
      <c r="Q649" s="601"/>
      <c r="R649" s="601"/>
      <c r="S649" s="601"/>
      <c r="T649" s="601"/>
      <c r="U649" s="601"/>
      <c r="V649" s="601"/>
      <c r="W649" s="601"/>
      <c r="X649" s="601"/>
      <c r="Y649" s="601"/>
      <c r="Z649" s="601"/>
      <c r="AA649" s="601"/>
      <c r="AB649" s="601"/>
      <c r="AC649" s="601"/>
      <c r="AD649" s="601"/>
      <c r="AE649" s="601"/>
      <c r="AF649" s="601"/>
      <c r="AG649" s="601"/>
      <c r="AH649" s="601"/>
      <c r="AI649" s="601"/>
      <c r="AJ649" s="601"/>
      <c r="AK649" s="601"/>
      <c r="AL649" s="601"/>
      <c r="AM649" s="601"/>
      <c r="AN649" s="601"/>
      <c r="AO649" s="601"/>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8"/>
      <c r="D650" s="608"/>
      <c r="E650" s="609"/>
      <c r="F650" s="608"/>
      <c r="G650" s="608"/>
      <c r="H650" s="609"/>
      <c r="I650" s="608"/>
      <c r="J650" s="608"/>
      <c r="K650" s="609"/>
      <c r="L650" s="608"/>
      <c r="M650" s="608"/>
      <c r="N650" s="609"/>
      <c r="O650" s="608"/>
      <c r="P650" s="608"/>
      <c r="Q650" s="609"/>
      <c r="R650" s="608"/>
      <c r="S650" s="608"/>
      <c r="T650" s="609"/>
      <c r="U650" s="608"/>
      <c r="V650" s="608"/>
      <c r="W650" s="609"/>
      <c r="X650" s="608"/>
      <c r="Y650" s="608"/>
      <c r="Z650" s="609"/>
      <c r="AA650" s="608"/>
      <c r="AB650" s="608"/>
      <c r="AC650" s="609"/>
      <c r="AD650" s="608"/>
      <c r="AE650" s="608"/>
      <c r="AF650" s="609"/>
      <c r="AG650" s="608"/>
      <c r="AH650" s="608"/>
      <c r="AI650" s="609"/>
      <c r="AJ650" s="608"/>
      <c r="AK650" s="608"/>
      <c r="AL650" s="609"/>
      <c r="AM650" s="608"/>
      <c r="AN650" s="608"/>
      <c r="AO650" s="609"/>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610"/>
      <c r="C651" s="611"/>
      <c r="D651" s="611"/>
      <c r="E651" s="596"/>
      <c r="F651" s="611"/>
      <c r="G651" s="611"/>
      <c r="H651" s="596"/>
      <c r="I651" s="611"/>
      <c r="J651" s="611"/>
      <c r="K651" s="596"/>
      <c r="L651" s="611"/>
      <c r="M651" s="611"/>
      <c r="N651" s="596"/>
      <c r="O651" s="611"/>
      <c r="P651" s="611"/>
      <c r="Q651" s="596"/>
      <c r="R651" s="611"/>
      <c r="S651" s="611"/>
      <c r="T651" s="596"/>
      <c r="U651" s="611"/>
      <c r="V651" s="611"/>
      <c r="W651" s="596"/>
      <c r="X651" s="611"/>
      <c r="Y651" s="611"/>
      <c r="Z651" s="596"/>
      <c r="AA651" s="611"/>
      <c r="AB651" s="611"/>
      <c r="AC651" s="596"/>
      <c r="AD651" s="611"/>
      <c r="AE651" s="611"/>
      <c r="AF651" s="596"/>
      <c r="AG651" s="611"/>
      <c r="AH651" s="611"/>
      <c r="AI651" s="596"/>
      <c r="AJ651" s="611"/>
      <c r="AK651" s="611"/>
      <c r="AL651" s="596"/>
      <c r="AM651" s="611"/>
      <c r="AN651" s="611"/>
      <c r="AO651" s="596"/>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604"/>
      <c r="D652" s="604"/>
      <c r="E652" s="604"/>
      <c r="F652" s="604"/>
      <c r="G652" s="604"/>
      <c r="H652" s="604"/>
      <c r="I652" s="604"/>
      <c r="J652" s="604"/>
      <c r="K652" s="604"/>
      <c r="L652" s="604"/>
      <c r="M652" s="604"/>
      <c r="N652" s="604"/>
      <c r="O652" s="604"/>
      <c r="P652" s="604"/>
      <c r="Q652" s="604"/>
      <c r="R652" s="604"/>
      <c r="S652" s="604"/>
      <c r="T652" s="604"/>
      <c r="U652" s="604"/>
      <c r="V652" s="604"/>
      <c r="W652" s="604"/>
      <c r="X652" s="604"/>
      <c r="Y652" s="604"/>
      <c r="Z652" s="604"/>
      <c r="AA652" s="604"/>
      <c r="AB652" s="604"/>
      <c r="AC652" s="604"/>
      <c r="AD652" s="604"/>
      <c r="AE652" s="604"/>
      <c r="AF652" s="604"/>
      <c r="AG652" s="604"/>
      <c r="AH652" s="604"/>
      <c r="AI652" s="604"/>
      <c r="AJ652" s="604"/>
      <c r="AK652" s="604"/>
      <c r="AL652" s="604"/>
      <c r="AM652" s="604"/>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5"/>
      <c r="C653" s="606"/>
      <c r="D653" s="606"/>
      <c r="E653" s="606"/>
      <c r="F653" s="606"/>
      <c r="G653" s="606"/>
      <c r="H653" s="606"/>
      <c r="I653" s="606"/>
      <c r="J653" s="606"/>
      <c r="K653" s="606"/>
      <c r="L653" s="606"/>
      <c r="M653" s="606"/>
      <c r="N653" s="606"/>
      <c r="O653" s="606"/>
      <c r="P653" s="606"/>
      <c r="Q653" s="606"/>
      <c r="R653" s="606"/>
      <c r="S653" s="606"/>
      <c r="T653" s="606"/>
      <c r="U653" s="606"/>
      <c r="V653" s="606"/>
      <c r="W653" s="606"/>
      <c r="X653" s="606"/>
      <c r="Y653" s="606"/>
      <c r="Z653" s="606"/>
      <c r="AA653" s="606"/>
      <c r="AB653" s="606"/>
      <c r="AC653" s="606"/>
      <c r="AD653" s="606"/>
      <c r="AE653" s="606"/>
      <c r="AF653" s="606"/>
      <c r="AG653" s="606"/>
      <c r="AH653" s="606"/>
      <c r="AI653" s="606"/>
      <c r="AJ653" s="606"/>
      <c r="AK653" s="606"/>
      <c r="AL653" s="606"/>
      <c r="AM653" s="606"/>
      <c r="AN653" s="606"/>
      <c r="AO653" s="606"/>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604"/>
      <c r="D654" s="604"/>
      <c r="E654" s="604"/>
      <c r="F654" s="604"/>
      <c r="G654" s="604"/>
      <c r="H654" s="604"/>
      <c r="I654" s="604"/>
      <c r="J654" s="604"/>
      <c r="K654" s="604"/>
      <c r="L654" s="604"/>
      <c r="M654" s="604"/>
      <c r="N654" s="604"/>
      <c r="O654" s="604"/>
      <c r="P654" s="604"/>
      <c r="Q654" s="604"/>
      <c r="R654" s="604"/>
      <c r="S654" s="604"/>
      <c r="T654" s="604"/>
      <c r="U654" s="604"/>
      <c r="V654" s="604"/>
      <c r="W654" s="604"/>
      <c r="X654" s="604"/>
      <c r="Y654" s="604"/>
      <c r="Z654" s="604"/>
      <c r="AA654" s="604"/>
      <c r="AB654" s="604"/>
      <c r="AC654" s="604"/>
      <c r="AD654" s="604"/>
      <c r="AE654" s="604"/>
      <c r="AF654" s="604"/>
      <c r="AG654" s="604"/>
      <c r="AH654" s="604"/>
      <c r="AI654" s="604"/>
      <c r="AJ654" s="604"/>
      <c r="AK654" s="604"/>
      <c r="AL654" s="604"/>
      <c r="AM654" s="604"/>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4"/>
      <c r="F656" s="596"/>
      <c r="G656" s="604"/>
      <c r="H656" s="604"/>
      <c r="I656" s="596"/>
      <c r="J656" s="604"/>
      <c r="K656" s="604"/>
      <c r="L656" s="596"/>
      <c r="M656" s="604"/>
      <c r="N656" s="604"/>
      <c r="O656" s="596"/>
      <c r="P656" s="604"/>
      <c r="Q656" s="604"/>
      <c r="R656" s="596"/>
      <c r="S656" s="604"/>
      <c r="T656" s="604"/>
      <c r="U656" s="596"/>
      <c r="V656" s="604"/>
      <c r="W656" s="604"/>
      <c r="X656" s="596"/>
      <c r="Y656" s="604"/>
      <c r="Z656" s="604"/>
      <c r="AA656" s="596"/>
      <c r="AB656" s="604"/>
      <c r="AC656" s="604"/>
      <c r="AD656" s="596"/>
      <c r="AE656" s="604"/>
      <c r="AF656" s="604"/>
      <c r="AG656" s="596"/>
      <c r="AH656" s="604"/>
      <c r="AI656" s="604"/>
      <c r="AJ656" s="596"/>
      <c r="AK656" s="604"/>
      <c r="AL656" s="604"/>
      <c r="AM656" s="596"/>
      <c r="AN656" s="604"/>
      <c r="AO656" s="604"/>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604"/>
      <c r="E658" s="604"/>
      <c r="F658" s="596"/>
      <c r="G658" s="604"/>
      <c r="H658" s="604"/>
      <c r="I658" s="596"/>
      <c r="J658" s="604"/>
      <c r="K658" s="604"/>
      <c r="L658" s="596"/>
      <c r="M658" s="604"/>
      <c r="N658" s="604"/>
      <c r="O658" s="596"/>
      <c r="P658" s="604"/>
      <c r="Q658" s="604"/>
      <c r="R658" s="596"/>
      <c r="S658" s="604"/>
      <c r="T658" s="604"/>
      <c r="U658" s="596"/>
      <c r="V658" s="604"/>
      <c r="W658" s="604"/>
      <c r="X658" s="596"/>
      <c r="Y658" s="604"/>
      <c r="Z658" s="604"/>
      <c r="AA658" s="596"/>
      <c r="AB658" s="604"/>
      <c r="AC658" s="604"/>
      <c r="AD658" s="596"/>
      <c r="AE658" s="604"/>
      <c r="AF658" s="604"/>
      <c r="AG658" s="596"/>
      <c r="AH658" s="604"/>
      <c r="AI658" s="604"/>
      <c r="AJ658" s="596"/>
      <c r="AK658" s="604"/>
      <c r="AL658" s="604"/>
      <c r="AM658" s="596"/>
      <c r="AN658" s="604"/>
      <c r="AO658" s="604"/>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4"/>
      <c r="E659" s="604"/>
      <c r="F659" s="596"/>
      <c r="G659" s="604"/>
      <c r="H659" s="604"/>
      <c r="I659" s="596"/>
      <c r="J659" s="604"/>
      <c r="K659" s="604"/>
      <c r="L659" s="596"/>
      <c r="M659" s="604"/>
      <c r="N659" s="604"/>
      <c r="O659" s="596"/>
      <c r="P659" s="604"/>
      <c r="Q659" s="604"/>
      <c r="R659" s="596"/>
      <c r="S659" s="604"/>
      <c r="T659" s="604"/>
      <c r="U659" s="596"/>
      <c r="V659" s="604"/>
      <c r="W659" s="604"/>
      <c r="X659" s="596"/>
      <c r="Y659" s="604"/>
      <c r="Z659" s="604"/>
      <c r="AA659" s="596"/>
      <c r="AB659" s="604"/>
      <c r="AC659" s="604"/>
      <c r="AD659" s="596"/>
      <c r="AE659" s="604"/>
      <c r="AF659" s="604"/>
      <c r="AG659" s="596"/>
      <c r="AH659" s="604"/>
      <c r="AI659" s="604"/>
      <c r="AJ659" s="596"/>
      <c r="AK659" s="604"/>
      <c r="AL659" s="604"/>
      <c r="AM659" s="596"/>
      <c r="AN659" s="604"/>
      <c r="AO659" s="604"/>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6"/>
      <c r="F660" s="596"/>
      <c r="G660" s="604"/>
      <c r="H660" s="606"/>
      <c r="I660" s="596"/>
      <c r="J660" s="604"/>
      <c r="K660" s="606"/>
      <c r="L660" s="596"/>
      <c r="M660" s="604"/>
      <c r="N660" s="606"/>
      <c r="O660" s="596"/>
      <c r="P660" s="604"/>
      <c r="Q660" s="606"/>
      <c r="R660" s="596"/>
      <c r="S660" s="604"/>
      <c r="T660" s="606"/>
      <c r="U660" s="596"/>
      <c r="V660" s="604"/>
      <c r="W660" s="606"/>
      <c r="X660" s="596"/>
      <c r="Y660" s="604"/>
      <c r="Z660" s="606"/>
      <c r="AA660" s="596"/>
      <c r="AB660" s="604"/>
      <c r="AC660" s="606"/>
      <c r="AD660" s="596"/>
      <c r="AE660" s="604"/>
      <c r="AF660" s="606"/>
      <c r="AG660" s="596"/>
      <c r="AH660" s="604"/>
      <c r="AI660" s="606"/>
      <c r="AJ660" s="596"/>
      <c r="AK660" s="604"/>
      <c r="AL660" s="606"/>
      <c r="AM660" s="596"/>
      <c r="AN660" s="604"/>
      <c r="AO660" s="606"/>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c r="AA662" s="596"/>
      <c r="AB662" s="596"/>
      <c r="AC662" s="596"/>
      <c r="AD662" s="596"/>
      <c r="AE662" s="596"/>
      <c r="AF662" s="596"/>
      <c r="AG662" s="596"/>
      <c r="AH662" s="596"/>
      <c r="AI662" s="596"/>
      <c r="AJ662" s="596"/>
      <c r="AK662" s="596"/>
      <c r="AL662" s="596"/>
      <c r="AM662" s="596"/>
      <c r="AN662" s="596"/>
      <c r="AO662" s="596"/>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6"/>
      <c r="E663" s="606"/>
      <c r="F663" s="596"/>
      <c r="G663" s="606"/>
      <c r="H663" s="606"/>
      <c r="I663" s="596"/>
      <c r="J663" s="606"/>
      <c r="K663" s="606"/>
      <c r="L663" s="596"/>
      <c r="M663" s="606"/>
      <c r="N663" s="606"/>
      <c r="O663" s="596"/>
      <c r="P663" s="606"/>
      <c r="Q663" s="606"/>
      <c r="R663" s="596"/>
      <c r="S663" s="606"/>
      <c r="T663" s="606"/>
      <c r="U663" s="596"/>
      <c r="V663" s="606"/>
      <c r="W663" s="606"/>
      <c r="X663" s="596"/>
      <c r="Y663" s="606"/>
      <c r="Z663" s="606"/>
      <c r="AA663" s="596"/>
      <c r="AB663" s="606"/>
      <c r="AC663" s="606"/>
      <c r="AD663" s="596"/>
      <c r="AE663" s="606"/>
      <c r="AF663" s="606"/>
      <c r="AG663" s="596"/>
      <c r="AH663" s="606"/>
      <c r="AI663" s="606"/>
      <c r="AJ663" s="596"/>
      <c r="AK663" s="606"/>
      <c r="AL663" s="606"/>
      <c r="AM663" s="596"/>
      <c r="AN663" s="606"/>
      <c r="AO663" s="606"/>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4"/>
      <c r="E669" s="604"/>
      <c r="F669" s="596"/>
      <c r="G669" s="604"/>
      <c r="H669" s="604"/>
      <c r="I669" s="596"/>
      <c r="J669" s="604"/>
      <c r="K669" s="604"/>
      <c r="L669" s="596"/>
      <c r="M669" s="604"/>
      <c r="N669" s="604"/>
      <c r="O669" s="596"/>
      <c r="P669" s="604"/>
      <c r="Q669" s="604"/>
      <c r="R669" s="596"/>
      <c r="S669" s="604"/>
      <c r="T669" s="604"/>
      <c r="U669" s="596"/>
      <c r="V669" s="604"/>
      <c r="W669" s="604"/>
      <c r="X669" s="596"/>
      <c r="Y669" s="604"/>
      <c r="Z669" s="604"/>
      <c r="AA669" s="596"/>
      <c r="AB669" s="604"/>
      <c r="AC669" s="604"/>
      <c r="AD669" s="596"/>
      <c r="AE669" s="604"/>
      <c r="AF669" s="604"/>
      <c r="AG669" s="596"/>
      <c r="AH669" s="604"/>
      <c r="AI669" s="604"/>
      <c r="AJ669" s="596"/>
      <c r="AK669" s="604"/>
      <c r="AL669" s="604"/>
      <c r="AM669" s="596"/>
      <c r="AN669" s="604"/>
      <c r="AO669" s="604"/>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6"/>
      <c r="E673" s="606"/>
      <c r="F673" s="596"/>
      <c r="G673" s="606"/>
      <c r="H673" s="606"/>
      <c r="I673" s="596"/>
      <c r="J673" s="606"/>
      <c r="K673" s="606"/>
      <c r="L673" s="596"/>
      <c r="M673" s="606"/>
      <c r="N673" s="606"/>
      <c r="O673" s="596"/>
      <c r="P673" s="606"/>
      <c r="Q673" s="606"/>
      <c r="R673" s="596"/>
      <c r="S673" s="606"/>
      <c r="T673" s="606"/>
      <c r="U673" s="596"/>
      <c r="V673" s="606"/>
      <c r="W673" s="606"/>
      <c r="X673" s="596"/>
      <c r="Y673" s="606"/>
      <c r="Z673" s="606"/>
      <c r="AA673" s="596"/>
      <c r="AB673" s="606"/>
      <c r="AC673" s="606"/>
      <c r="AD673" s="596"/>
      <c r="AE673" s="606"/>
      <c r="AF673" s="606"/>
      <c r="AG673" s="596"/>
      <c r="AH673" s="606"/>
      <c r="AI673" s="606"/>
      <c r="AJ673" s="596"/>
      <c r="AK673" s="606"/>
      <c r="AL673" s="606"/>
      <c r="AM673" s="596"/>
      <c r="AN673" s="606"/>
      <c r="AO673" s="606"/>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604"/>
      <c r="E685" s="604"/>
      <c r="F685" s="596"/>
      <c r="G685" s="604"/>
      <c r="H685" s="604"/>
      <c r="I685" s="596"/>
      <c r="J685" s="604"/>
      <c r="K685" s="604"/>
      <c r="L685" s="596"/>
      <c r="M685" s="604"/>
      <c r="N685" s="604"/>
      <c r="O685" s="596"/>
      <c r="P685" s="604"/>
      <c r="Q685" s="604"/>
      <c r="R685" s="596"/>
      <c r="S685" s="604"/>
      <c r="T685" s="604"/>
      <c r="U685" s="596"/>
      <c r="V685" s="604"/>
      <c r="W685" s="604"/>
      <c r="X685" s="596"/>
      <c r="Y685" s="604"/>
      <c r="Z685" s="604"/>
      <c r="AA685" s="596"/>
      <c r="AB685" s="604"/>
      <c r="AC685" s="604"/>
      <c r="AD685" s="596"/>
      <c r="AE685" s="604"/>
      <c r="AF685" s="604"/>
      <c r="AG685" s="596"/>
      <c r="AH685" s="604"/>
      <c r="AI685" s="604"/>
      <c r="AJ685" s="596"/>
      <c r="AK685" s="604"/>
      <c r="AL685" s="604"/>
      <c r="AM685" s="596"/>
      <c r="AN685" s="604"/>
      <c r="AO685" s="604"/>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4"/>
      <c r="E686" s="604"/>
      <c r="F686" s="596"/>
      <c r="G686" s="604"/>
      <c r="H686" s="604"/>
      <c r="I686" s="596"/>
      <c r="J686" s="604"/>
      <c r="K686" s="604"/>
      <c r="L686" s="596"/>
      <c r="M686" s="604"/>
      <c r="N686" s="604"/>
      <c r="O686" s="596"/>
      <c r="P686" s="604"/>
      <c r="Q686" s="604"/>
      <c r="R686" s="596"/>
      <c r="S686" s="604"/>
      <c r="T686" s="604"/>
      <c r="U686" s="596"/>
      <c r="V686" s="604"/>
      <c r="W686" s="604"/>
      <c r="X686" s="596"/>
      <c r="Y686" s="604"/>
      <c r="Z686" s="604"/>
      <c r="AA686" s="596"/>
      <c r="AB686" s="604"/>
      <c r="AC686" s="604"/>
      <c r="AD686" s="596"/>
      <c r="AE686" s="604"/>
      <c r="AF686" s="604"/>
      <c r="AG686" s="596"/>
      <c r="AH686" s="604"/>
      <c r="AI686" s="604"/>
      <c r="AJ686" s="596"/>
      <c r="AK686" s="604"/>
      <c r="AL686" s="604"/>
      <c r="AM686" s="596"/>
      <c r="AN686" s="604"/>
      <c r="AO686" s="604"/>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6"/>
      <c r="E690" s="606"/>
      <c r="F690" s="596"/>
      <c r="G690" s="606"/>
      <c r="H690" s="606"/>
      <c r="I690" s="596"/>
      <c r="J690" s="606"/>
      <c r="K690" s="606"/>
      <c r="L690" s="596"/>
      <c r="M690" s="606"/>
      <c r="N690" s="606"/>
      <c r="O690" s="596"/>
      <c r="P690" s="606"/>
      <c r="Q690" s="606"/>
      <c r="R690" s="596"/>
      <c r="S690" s="606"/>
      <c r="T690" s="606"/>
      <c r="U690" s="596"/>
      <c r="V690" s="606"/>
      <c r="W690" s="606"/>
      <c r="X690" s="596"/>
      <c r="Y690" s="606"/>
      <c r="Z690" s="606"/>
      <c r="AA690" s="596"/>
      <c r="AB690" s="606"/>
      <c r="AC690" s="606"/>
      <c r="AD690" s="596"/>
      <c r="AE690" s="606"/>
      <c r="AF690" s="606"/>
      <c r="AG690" s="596"/>
      <c r="AH690" s="606"/>
      <c r="AI690" s="606"/>
      <c r="AJ690" s="596"/>
      <c r="AK690" s="606"/>
      <c r="AL690" s="606"/>
      <c r="AM690" s="596"/>
      <c r="AN690" s="606"/>
      <c r="AO690" s="606"/>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4"/>
      <c r="F693" s="596"/>
      <c r="G693" s="604"/>
      <c r="H693" s="604"/>
      <c r="I693" s="596"/>
      <c r="J693" s="604"/>
      <c r="K693" s="604"/>
      <c r="L693" s="596"/>
      <c r="M693" s="604"/>
      <c r="N693" s="604"/>
      <c r="O693" s="596"/>
      <c r="P693" s="604"/>
      <c r="Q693" s="604"/>
      <c r="R693" s="596"/>
      <c r="S693" s="604"/>
      <c r="T693" s="604"/>
      <c r="U693" s="596"/>
      <c r="V693" s="604"/>
      <c r="W693" s="604"/>
      <c r="X693" s="596"/>
      <c r="Y693" s="604"/>
      <c r="Z693" s="604"/>
      <c r="AA693" s="596"/>
      <c r="AB693" s="604"/>
      <c r="AC693" s="604"/>
      <c r="AD693" s="596"/>
      <c r="AE693" s="604"/>
      <c r="AF693" s="604"/>
      <c r="AG693" s="596"/>
      <c r="AH693" s="604"/>
      <c r="AI693" s="604"/>
      <c r="AJ693" s="596"/>
      <c r="AK693" s="604"/>
      <c r="AL693" s="604"/>
      <c r="AM693" s="596"/>
      <c r="AN693" s="604"/>
      <c r="AO693" s="604"/>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6"/>
      <c r="F697" s="596"/>
      <c r="G697" s="604"/>
      <c r="H697" s="606"/>
      <c r="I697" s="596"/>
      <c r="J697" s="604"/>
      <c r="K697" s="606"/>
      <c r="L697" s="596"/>
      <c r="M697" s="604"/>
      <c r="N697" s="606"/>
      <c r="O697" s="596"/>
      <c r="P697" s="604"/>
      <c r="Q697" s="606"/>
      <c r="R697" s="596"/>
      <c r="S697" s="604"/>
      <c r="T697" s="606"/>
      <c r="U697" s="596"/>
      <c r="V697" s="604"/>
      <c r="W697" s="606"/>
      <c r="X697" s="596"/>
      <c r="Y697" s="604"/>
      <c r="Z697" s="606"/>
      <c r="AA697" s="596"/>
      <c r="AB697" s="604"/>
      <c r="AC697" s="606"/>
      <c r="AD697" s="596"/>
      <c r="AE697" s="604"/>
      <c r="AF697" s="606"/>
      <c r="AG697" s="596"/>
      <c r="AH697" s="604"/>
      <c r="AI697" s="606"/>
      <c r="AJ697" s="596"/>
      <c r="AK697" s="604"/>
      <c r="AL697" s="606"/>
      <c r="AM697" s="596"/>
      <c r="AN697" s="604"/>
      <c r="AO697" s="606"/>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4"/>
      <c r="E700" s="604"/>
      <c r="F700" s="596"/>
      <c r="G700" s="604"/>
      <c r="H700" s="604"/>
      <c r="I700" s="596"/>
      <c r="J700" s="604"/>
      <c r="K700" s="604"/>
      <c r="L700" s="596"/>
      <c r="M700" s="604"/>
      <c r="N700" s="604"/>
      <c r="O700" s="596"/>
      <c r="P700" s="604"/>
      <c r="Q700" s="604"/>
      <c r="R700" s="596"/>
      <c r="S700" s="604"/>
      <c r="T700" s="604"/>
      <c r="U700" s="596"/>
      <c r="V700" s="604"/>
      <c r="W700" s="604"/>
      <c r="X700" s="596"/>
      <c r="Y700" s="604"/>
      <c r="Z700" s="604"/>
      <c r="AA700" s="596"/>
      <c r="AB700" s="604"/>
      <c r="AC700" s="604"/>
      <c r="AD700" s="596"/>
      <c r="AE700" s="604"/>
      <c r="AF700" s="604"/>
      <c r="AG700" s="596"/>
      <c r="AH700" s="604"/>
      <c r="AI700" s="604"/>
      <c r="AJ700" s="596"/>
      <c r="AK700" s="604"/>
      <c r="AL700" s="604"/>
      <c r="AM700" s="596"/>
      <c r="AN700" s="604"/>
      <c r="AO700" s="604"/>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604"/>
      <c r="E701" s="604"/>
      <c r="F701" s="596"/>
      <c r="G701" s="604"/>
      <c r="H701" s="604"/>
      <c r="I701" s="596"/>
      <c r="J701" s="604"/>
      <c r="K701" s="604"/>
      <c r="L701" s="596"/>
      <c r="M701" s="604"/>
      <c r="N701" s="604"/>
      <c r="O701" s="596"/>
      <c r="P701" s="604"/>
      <c r="Q701" s="604"/>
      <c r="R701" s="596"/>
      <c r="S701" s="604"/>
      <c r="T701" s="604"/>
      <c r="U701" s="596"/>
      <c r="V701" s="604"/>
      <c r="W701" s="604"/>
      <c r="X701" s="596"/>
      <c r="Y701" s="604"/>
      <c r="Z701" s="604"/>
      <c r="AA701" s="596"/>
      <c r="AB701" s="604"/>
      <c r="AC701" s="604"/>
      <c r="AD701" s="596"/>
      <c r="AE701" s="604"/>
      <c r="AF701" s="604"/>
      <c r="AG701" s="596"/>
      <c r="AH701" s="604"/>
      <c r="AI701" s="604"/>
      <c r="AJ701" s="596"/>
      <c r="AK701" s="604"/>
      <c r="AL701" s="604"/>
      <c r="AM701" s="596"/>
      <c r="AN701" s="604"/>
      <c r="AO701" s="604"/>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4"/>
      <c r="E702" s="604"/>
      <c r="F702" s="596"/>
      <c r="G702" s="604"/>
      <c r="H702" s="604"/>
      <c r="I702" s="596"/>
      <c r="J702" s="604"/>
      <c r="K702" s="604"/>
      <c r="L702" s="596"/>
      <c r="M702" s="604"/>
      <c r="N702" s="604"/>
      <c r="O702" s="596"/>
      <c r="P702" s="604"/>
      <c r="Q702" s="604"/>
      <c r="R702" s="596"/>
      <c r="S702" s="604"/>
      <c r="T702" s="604"/>
      <c r="U702" s="596"/>
      <c r="V702" s="604"/>
      <c r="W702" s="604"/>
      <c r="X702" s="596"/>
      <c r="Y702" s="604"/>
      <c r="Z702" s="604"/>
      <c r="AA702" s="596"/>
      <c r="AB702" s="604"/>
      <c r="AC702" s="604"/>
      <c r="AD702" s="596"/>
      <c r="AE702" s="604"/>
      <c r="AF702" s="604"/>
      <c r="AG702" s="596"/>
      <c r="AH702" s="604"/>
      <c r="AI702" s="604"/>
      <c r="AJ702" s="596"/>
      <c r="AK702" s="604"/>
      <c r="AL702" s="604"/>
      <c r="AM702" s="596"/>
      <c r="AN702" s="604"/>
      <c r="AO702" s="604"/>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15.75">
      <c r="B706" s="596"/>
      <c r="C706" s="596"/>
      <c r="D706" s="606"/>
      <c r="E706" s="606"/>
      <c r="F706" s="596"/>
      <c r="G706" s="606"/>
      <c r="H706" s="606"/>
      <c r="I706" s="596"/>
      <c r="J706" s="606"/>
      <c r="K706" s="606"/>
      <c r="L706" s="596"/>
      <c r="M706" s="606"/>
      <c r="N706" s="606"/>
      <c r="O706" s="596"/>
      <c r="P706" s="606"/>
      <c r="Q706" s="606"/>
      <c r="R706" s="596"/>
      <c r="S706" s="606"/>
      <c r="T706" s="606"/>
      <c r="U706" s="596"/>
      <c r="V706" s="606"/>
      <c r="W706" s="606"/>
      <c r="X706" s="596"/>
      <c r="Y706" s="606"/>
      <c r="Z706" s="606"/>
      <c r="AA706" s="596"/>
      <c r="AB706" s="606"/>
      <c r="AC706" s="606"/>
      <c r="AD706" s="596"/>
      <c r="AE706" s="606"/>
      <c r="AF706" s="606"/>
      <c r="AG706" s="596"/>
      <c r="AH706" s="606"/>
      <c r="AI706" s="606"/>
      <c r="AJ706" s="596"/>
      <c r="AK706" s="606"/>
      <c r="AL706" s="606"/>
      <c r="AM706" s="596"/>
      <c r="AN706" s="606"/>
      <c r="AO706" s="60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5.75">
      <c r="B707" s="596"/>
      <c r="C707" s="596"/>
      <c r="D707" s="604"/>
      <c r="E707" s="604"/>
      <c r="F707" s="596"/>
      <c r="G707" s="604"/>
      <c r="H707" s="604"/>
      <c r="I707" s="596"/>
      <c r="J707" s="604"/>
      <c r="K707" s="604"/>
      <c r="L707" s="596"/>
      <c r="M707" s="604"/>
      <c r="N707" s="604"/>
      <c r="O707" s="596"/>
      <c r="P707" s="604"/>
      <c r="Q707" s="604"/>
      <c r="R707" s="596"/>
      <c r="S707" s="604"/>
      <c r="T707" s="604"/>
      <c r="U707" s="596"/>
      <c r="V707" s="604"/>
      <c r="W707" s="604"/>
      <c r="X707" s="596"/>
      <c r="Y707" s="604"/>
      <c r="Z707" s="604"/>
      <c r="AA707" s="596"/>
      <c r="AB707" s="604"/>
      <c r="AC707" s="604"/>
      <c r="AD707" s="596"/>
      <c r="AE707" s="604"/>
      <c r="AF707" s="604"/>
      <c r="AG707" s="596"/>
      <c r="AH707" s="604"/>
      <c r="AI707" s="604"/>
      <c r="AJ707" s="596"/>
      <c r="AK707" s="604"/>
      <c r="AL707" s="604"/>
      <c r="AM707" s="596"/>
      <c r="AN707" s="604"/>
      <c r="AO707" s="604"/>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596"/>
      <c r="D708" s="606"/>
      <c r="E708" s="606"/>
      <c r="F708" s="596"/>
      <c r="G708" s="606"/>
      <c r="H708" s="606"/>
      <c r="I708" s="596"/>
      <c r="J708" s="606"/>
      <c r="K708" s="606"/>
      <c r="L708" s="596"/>
      <c r="M708" s="606"/>
      <c r="N708" s="606"/>
      <c r="O708" s="596"/>
      <c r="P708" s="606"/>
      <c r="Q708" s="606"/>
      <c r="R708" s="596"/>
      <c r="S708" s="606"/>
      <c r="T708" s="606"/>
      <c r="U708" s="596"/>
      <c r="V708" s="606"/>
      <c r="W708" s="606"/>
      <c r="X708" s="596"/>
      <c r="Y708" s="606"/>
      <c r="Z708" s="606"/>
      <c r="AA708" s="596"/>
      <c r="AB708" s="606"/>
      <c r="AC708" s="606"/>
      <c r="AD708" s="596"/>
      <c r="AE708" s="606"/>
      <c r="AF708" s="606"/>
      <c r="AG708" s="596"/>
      <c r="AH708" s="606"/>
      <c r="AI708" s="606"/>
      <c r="AJ708" s="596"/>
      <c r="AK708" s="606"/>
      <c r="AL708" s="606"/>
      <c r="AM708" s="596"/>
      <c r="AN708" s="606"/>
      <c r="AO708" s="606"/>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c r="AA709" s="596"/>
      <c r="AB709" s="596"/>
      <c r="AC709" s="596"/>
      <c r="AD709" s="596"/>
      <c r="AE709" s="596"/>
      <c r="AF709" s="596"/>
      <c r="AG709" s="596"/>
      <c r="AH709" s="596"/>
      <c r="AI709" s="596"/>
      <c r="AJ709" s="596"/>
      <c r="AK709" s="596"/>
      <c r="AL709" s="596"/>
      <c r="AM709" s="596"/>
      <c r="AN709" s="596"/>
      <c r="AO709" s="596"/>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30">
      <c r="B710" s="607"/>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c r="AA710" s="596"/>
      <c r="AB710" s="596"/>
      <c r="AC710" s="596"/>
      <c r="AD710" s="596"/>
      <c r="AE710" s="596"/>
      <c r="AF710" s="596"/>
      <c r="AG710" s="596"/>
      <c r="AH710" s="596"/>
      <c r="AI710" s="596"/>
      <c r="AJ710" s="596"/>
      <c r="AK710" s="596"/>
      <c r="AL710" s="596"/>
      <c r="AM710" s="596"/>
      <c r="AN710" s="596"/>
      <c r="AO710" s="596"/>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8.75">
      <c r="B711" s="598"/>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c r="AJ711" s="599"/>
      <c r="AK711" s="599"/>
      <c r="AL711" s="599"/>
      <c r="AM711" s="599"/>
      <c r="AN711" s="599"/>
      <c r="AO711" s="599"/>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596"/>
      <c r="C712" s="612"/>
      <c r="D712" s="600"/>
      <c r="E712" s="612"/>
      <c r="F712" s="612"/>
      <c r="G712" s="600"/>
      <c r="H712" s="612"/>
      <c r="I712" s="612"/>
      <c r="J712" s="600"/>
      <c r="K712" s="612"/>
      <c r="L712" s="612"/>
      <c r="M712" s="600"/>
      <c r="N712" s="612"/>
      <c r="O712" s="612"/>
      <c r="P712" s="600"/>
      <c r="Q712" s="612"/>
      <c r="R712" s="612"/>
      <c r="S712" s="600"/>
      <c r="T712" s="612"/>
      <c r="U712" s="612"/>
      <c r="V712" s="600"/>
      <c r="W712" s="612"/>
      <c r="X712" s="612"/>
      <c r="Y712" s="600"/>
      <c r="Z712" s="612"/>
      <c r="AA712" s="612"/>
      <c r="AB712" s="600"/>
      <c r="AC712" s="612"/>
      <c r="AD712" s="612"/>
      <c r="AE712" s="600"/>
      <c r="AF712" s="612"/>
      <c r="AG712" s="612"/>
      <c r="AH712" s="600"/>
      <c r="AI712" s="612"/>
      <c r="AJ712" s="612"/>
      <c r="AK712" s="600"/>
      <c r="AL712" s="612"/>
      <c r="AM712" s="612"/>
      <c r="AN712" s="600"/>
      <c r="AO712" s="612"/>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11"/>
      <c r="D713" s="611"/>
      <c r="E713" s="611"/>
      <c r="F713" s="611"/>
      <c r="G713" s="611"/>
      <c r="H713" s="611"/>
      <c r="I713" s="611"/>
      <c r="J713" s="611"/>
      <c r="K713" s="611"/>
      <c r="L713" s="611"/>
      <c r="M713" s="611"/>
      <c r="N713" s="611"/>
      <c r="O713" s="611"/>
      <c r="P713" s="611"/>
      <c r="Q713" s="611"/>
      <c r="R713" s="611"/>
      <c r="S713" s="611"/>
      <c r="T713" s="611"/>
      <c r="U713" s="611"/>
      <c r="V713" s="611"/>
      <c r="W713" s="611"/>
      <c r="X713" s="611"/>
      <c r="Y713" s="611"/>
      <c r="Z713" s="611"/>
      <c r="AA713" s="611"/>
      <c r="AB713" s="611"/>
      <c r="AC713" s="611"/>
      <c r="AD713" s="611"/>
      <c r="AE713" s="611"/>
      <c r="AF713" s="611"/>
      <c r="AG713" s="611"/>
      <c r="AH713" s="611"/>
      <c r="AI713" s="611"/>
      <c r="AJ713" s="611"/>
      <c r="AK713" s="611"/>
      <c r="AL713" s="611"/>
      <c r="AM713" s="611"/>
      <c r="AN713" s="611"/>
      <c r="AO713" s="611"/>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5"/>
      <c r="C715" s="606"/>
      <c r="D715" s="606"/>
      <c r="E715" s="606"/>
      <c r="F715" s="606"/>
      <c r="G715" s="606"/>
      <c r="H715" s="606"/>
      <c r="I715" s="606"/>
      <c r="J715" s="606"/>
      <c r="K715" s="606"/>
      <c r="L715" s="606"/>
      <c r="M715" s="606"/>
      <c r="N715" s="606"/>
      <c r="O715" s="606"/>
      <c r="P715" s="606"/>
      <c r="Q715" s="606"/>
      <c r="R715" s="606"/>
      <c r="S715" s="606"/>
      <c r="T715" s="606"/>
      <c r="U715" s="606"/>
      <c r="V715" s="606"/>
      <c r="W715" s="606"/>
      <c r="X715" s="606"/>
      <c r="Y715" s="606"/>
      <c r="Z715" s="606"/>
      <c r="AA715" s="606"/>
      <c r="AB715" s="606"/>
      <c r="AC715" s="606"/>
      <c r="AD715" s="606"/>
      <c r="AE715" s="606"/>
      <c r="AF715" s="606"/>
      <c r="AG715" s="606"/>
      <c r="AH715" s="606"/>
      <c r="AI715" s="606"/>
      <c r="AJ715" s="606"/>
      <c r="AK715" s="606"/>
      <c r="AL715" s="606"/>
      <c r="AM715" s="606"/>
      <c r="AN715" s="606"/>
      <c r="AO715" s="606"/>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613"/>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604"/>
      <c r="D718" s="604"/>
      <c r="E718" s="604"/>
      <c r="F718" s="604"/>
      <c r="G718" s="604"/>
      <c r="H718" s="604"/>
      <c r="I718" s="604"/>
      <c r="J718" s="604"/>
      <c r="K718" s="604"/>
      <c r="L718" s="604"/>
      <c r="M718" s="604"/>
      <c r="N718" s="604"/>
      <c r="O718" s="604"/>
      <c r="P718" s="604"/>
      <c r="Q718" s="604"/>
      <c r="R718" s="604"/>
      <c r="S718" s="604"/>
      <c r="T718" s="604"/>
      <c r="U718" s="604"/>
      <c r="V718" s="604"/>
      <c r="W718" s="604"/>
      <c r="X718" s="604"/>
      <c r="Y718" s="604"/>
      <c r="Z718" s="604"/>
      <c r="AA718" s="604"/>
      <c r="AB718" s="604"/>
      <c r="AC718" s="604"/>
      <c r="AD718" s="604"/>
      <c r="AE718" s="604"/>
      <c r="AF718" s="604"/>
      <c r="AG718" s="604"/>
      <c r="AH718" s="604"/>
      <c r="AI718" s="604"/>
      <c r="AJ718" s="604"/>
      <c r="AK718" s="604"/>
      <c r="AL718" s="604"/>
      <c r="AM718" s="604"/>
      <c r="AN718" s="604"/>
      <c r="AO718" s="604"/>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604"/>
      <c r="D719" s="604"/>
      <c r="E719" s="604"/>
      <c r="F719" s="604"/>
      <c r="G719" s="604"/>
      <c r="H719" s="604"/>
      <c r="I719" s="604"/>
      <c r="J719" s="604"/>
      <c r="K719" s="604"/>
      <c r="L719" s="604"/>
      <c r="M719" s="604"/>
      <c r="N719" s="604"/>
      <c r="O719" s="604"/>
      <c r="P719" s="604"/>
      <c r="Q719" s="604"/>
      <c r="R719" s="604"/>
      <c r="S719" s="604"/>
      <c r="T719" s="604"/>
      <c r="U719" s="604"/>
      <c r="V719" s="604"/>
      <c r="W719" s="604"/>
      <c r="X719" s="604"/>
      <c r="Y719" s="604"/>
      <c r="Z719" s="604"/>
      <c r="AA719" s="604"/>
      <c r="AB719" s="604"/>
      <c r="AC719" s="604"/>
      <c r="AD719" s="604"/>
      <c r="AE719" s="604"/>
      <c r="AF719" s="604"/>
      <c r="AG719" s="604"/>
      <c r="AH719" s="604"/>
      <c r="AI719" s="604"/>
      <c r="AJ719" s="604"/>
      <c r="AK719" s="604"/>
      <c r="AL719" s="604"/>
      <c r="AM719" s="604"/>
      <c r="AN719" s="604"/>
      <c r="AO719" s="604"/>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4"/>
      <c r="D720" s="604"/>
      <c r="E720" s="604"/>
      <c r="F720" s="604"/>
      <c r="G720" s="604"/>
      <c r="H720" s="604"/>
      <c r="I720" s="604"/>
      <c r="J720" s="604"/>
      <c r="K720" s="604"/>
      <c r="L720" s="604"/>
      <c r="M720" s="604"/>
      <c r="N720" s="604"/>
      <c r="O720" s="604"/>
      <c r="P720" s="604"/>
      <c r="Q720" s="604"/>
      <c r="R720" s="604"/>
      <c r="S720" s="604"/>
      <c r="T720" s="604"/>
      <c r="U720" s="604"/>
      <c r="V720" s="604"/>
      <c r="W720" s="604"/>
      <c r="X720" s="604"/>
      <c r="Y720" s="604"/>
      <c r="Z720" s="604"/>
      <c r="AA720" s="604"/>
      <c r="AB720" s="604"/>
      <c r="AC720" s="604"/>
      <c r="AD720" s="604"/>
      <c r="AE720" s="604"/>
      <c r="AF720" s="604"/>
      <c r="AG720" s="604"/>
      <c r="AH720" s="604"/>
      <c r="AI720" s="604"/>
      <c r="AJ720" s="604"/>
      <c r="AK720" s="604"/>
      <c r="AL720" s="604"/>
      <c r="AM720" s="604"/>
      <c r="AN720" s="604"/>
      <c r="AO720" s="604"/>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6"/>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c r="AA722" s="596"/>
      <c r="AB722" s="596"/>
      <c r="AC722" s="596"/>
      <c r="AD722" s="596"/>
      <c r="AE722" s="596"/>
      <c r="AF722" s="596"/>
      <c r="AG722" s="596"/>
      <c r="AH722" s="596"/>
      <c r="AI722" s="596"/>
      <c r="AJ722" s="596"/>
      <c r="AK722" s="596"/>
      <c r="AL722" s="596"/>
      <c r="AM722" s="596"/>
      <c r="AN722" s="596"/>
      <c r="AO722" s="596"/>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c r="AA723" s="596"/>
      <c r="AB723" s="596"/>
      <c r="AC723" s="596"/>
      <c r="AD723" s="596"/>
      <c r="AE723" s="596"/>
      <c r="AF723" s="596"/>
      <c r="AG723" s="596"/>
      <c r="AH723" s="596"/>
      <c r="AI723" s="596"/>
      <c r="AJ723" s="596"/>
      <c r="AK723" s="596"/>
      <c r="AL723" s="596"/>
      <c r="AM723" s="596"/>
      <c r="AN723" s="596"/>
      <c r="AO723" s="596"/>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606"/>
      <c r="D724" s="606"/>
      <c r="E724" s="606"/>
      <c r="F724" s="606"/>
      <c r="G724" s="606"/>
      <c r="H724" s="606"/>
      <c r="I724" s="606"/>
      <c r="J724" s="606"/>
      <c r="K724" s="606"/>
      <c r="L724" s="606"/>
      <c r="M724" s="606"/>
      <c r="N724" s="606"/>
      <c r="O724" s="606"/>
      <c r="P724" s="606"/>
      <c r="Q724" s="606"/>
      <c r="R724" s="606"/>
      <c r="S724" s="606"/>
      <c r="T724" s="606"/>
      <c r="U724" s="606"/>
      <c r="V724" s="606"/>
      <c r="W724" s="606"/>
      <c r="X724" s="606"/>
      <c r="Y724" s="606"/>
      <c r="Z724" s="606"/>
      <c r="AA724" s="606"/>
      <c r="AB724" s="606"/>
      <c r="AC724" s="606"/>
      <c r="AD724" s="606"/>
      <c r="AE724" s="606"/>
      <c r="AF724" s="606"/>
      <c r="AG724" s="606"/>
      <c r="AH724" s="606"/>
      <c r="AI724" s="606"/>
      <c r="AJ724" s="606"/>
      <c r="AK724" s="606"/>
      <c r="AL724" s="606"/>
      <c r="AM724" s="606"/>
      <c r="AN724" s="606"/>
      <c r="AO724" s="606"/>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5"/>
      <c r="C725" s="604"/>
      <c r="D725" s="604"/>
      <c r="E725" s="604"/>
      <c r="F725" s="604"/>
      <c r="G725" s="604"/>
      <c r="H725" s="604"/>
      <c r="I725" s="604"/>
      <c r="J725" s="604"/>
      <c r="K725" s="604"/>
      <c r="L725" s="604"/>
      <c r="M725" s="604"/>
      <c r="N725" s="604"/>
      <c r="O725" s="604"/>
      <c r="P725" s="604"/>
      <c r="Q725" s="604"/>
      <c r="R725" s="604"/>
      <c r="S725" s="604"/>
      <c r="T725" s="604"/>
      <c r="U725" s="604"/>
      <c r="V725" s="604"/>
      <c r="W725" s="604"/>
      <c r="X725" s="604"/>
      <c r="Y725" s="604"/>
      <c r="Z725" s="604"/>
      <c r="AA725" s="604"/>
      <c r="AB725" s="604"/>
      <c r="AC725" s="604"/>
      <c r="AD725" s="604"/>
      <c r="AE725" s="604"/>
      <c r="AF725" s="604"/>
      <c r="AG725" s="604"/>
      <c r="AH725" s="604"/>
      <c r="AI725" s="604"/>
      <c r="AJ725" s="604"/>
      <c r="AK725" s="604"/>
      <c r="AL725" s="604"/>
      <c r="AM725" s="604"/>
      <c r="AN725" s="604"/>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6"/>
      <c r="C731" s="596"/>
      <c r="D731" s="596"/>
      <c r="E731" s="604"/>
      <c r="F731" s="596"/>
      <c r="G731" s="596"/>
      <c r="H731" s="604"/>
      <c r="I731" s="596"/>
      <c r="J731" s="596"/>
      <c r="K731" s="604"/>
      <c r="L731" s="596"/>
      <c r="M731" s="596"/>
      <c r="N731" s="604"/>
      <c r="O731" s="596"/>
      <c r="P731" s="596"/>
      <c r="Q731" s="604"/>
      <c r="R731" s="596"/>
      <c r="S731" s="596"/>
      <c r="T731" s="604"/>
      <c r="U731" s="596"/>
      <c r="V731" s="596"/>
      <c r="W731" s="604"/>
      <c r="X731" s="596"/>
      <c r="Y731" s="596"/>
      <c r="Z731" s="604"/>
      <c r="AA731" s="596"/>
      <c r="AB731" s="596"/>
      <c r="AC731" s="604"/>
      <c r="AD731" s="596"/>
      <c r="AE731" s="596"/>
      <c r="AF731" s="604"/>
      <c r="AG731" s="596"/>
      <c r="AH731" s="596"/>
      <c r="AI731" s="604"/>
      <c r="AJ731" s="596"/>
      <c r="AK731" s="596"/>
      <c r="AL731" s="604"/>
      <c r="AM731" s="596"/>
      <c r="AN731" s="596"/>
      <c r="AO731" s="604"/>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5"/>
      <c r="C735" s="596"/>
      <c r="D735" s="596"/>
      <c r="E735" s="606"/>
      <c r="F735" s="596"/>
      <c r="G735" s="596"/>
      <c r="H735" s="606"/>
      <c r="I735" s="596"/>
      <c r="J735" s="596"/>
      <c r="K735" s="606"/>
      <c r="L735" s="596"/>
      <c r="M735" s="596"/>
      <c r="N735" s="606"/>
      <c r="O735" s="596"/>
      <c r="P735" s="596"/>
      <c r="Q735" s="606"/>
      <c r="R735" s="596"/>
      <c r="S735" s="596"/>
      <c r="T735" s="606"/>
      <c r="U735" s="596"/>
      <c r="V735" s="596"/>
      <c r="W735" s="606"/>
      <c r="X735" s="596"/>
      <c r="Y735" s="596"/>
      <c r="Z735" s="606"/>
      <c r="AA735" s="596"/>
      <c r="AB735" s="596"/>
      <c r="AC735" s="606"/>
      <c r="AD735" s="596"/>
      <c r="AE735" s="596"/>
      <c r="AF735" s="606"/>
      <c r="AG735" s="596"/>
      <c r="AH735" s="596"/>
      <c r="AI735" s="606"/>
      <c r="AJ735" s="596"/>
      <c r="AK735" s="596"/>
      <c r="AL735" s="606"/>
      <c r="AM735" s="596"/>
      <c r="AN735" s="596"/>
      <c r="AO735" s="606"/>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6"/>
      <c r="C746" s="596"/>
      <c r="D746" s="596"/>
      <c r="E746" s="604"/>
      <c r="F746" s="596"/>
      <c r="G746" s="596"/>
      <c r="H746" s="604"/>
      <c r="I746" s="596"/>
      <c r="J746" s="596"/>
      <c r="K746" s="604"/>
      <c r="L746" s="596"/>
      <c r="M746" s="596"/>
      <c r="N746" s="604"/>
      <c r="O746" s="596"/>
      <c r="P746" s="596"/>
      <c r="Q746" s="604"/>
      <c r="R746" s="596"/>
      <c r="S746" s="596"/>
      <c r="T746" s="604"/>
      <c r="U746" s="596"/>
      <c r="V746" s="596"/>
      <c r="W746" s="604"/>
      <c r="X746" s="596"/>
      <c r="Y746" s="596"/>
      <c r="Z746" s="604"/>
      <c r="AA746" s="596"/>
      <c r="AB746" s="596"/>
      <c r="AC746" s="604"/>
      <c r="AD746" s="596"/>
      <c r="AE746" s="596"/>
      <c r="AF746" s="604"/>
      <c r="AG746" s="596"/>
      <c r="AH746" s="596"/>
      <c r="AI746" s="604"/>
      <c r="AJ746" s="596"/>
      <c r="AK746" s="596"/>
      <c r="AL746" s="604"/>
      <c r="AM746" s="596"/>
      <c r="AN746" s="596"/>
      <c r="AO746" s="604"/>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596"/>
      <c r="D747" s="596"/>
      <c r="E747" s="604"/>
      <c r="F747" s="596"/>
      <c r="G747" s="596"/>
      <c r="H747" s="604"/>
      <c r="I747" s="596"/>
      <c r="J747" s="596"/>
      <c r="K747" s="604"/>
      <c r="L747" s="596"/>
      <c r="M747" s="596"/>
      <c r="N747" s="604"/>
      <c r="O747" s="596"/>
      <c r="P747" s="596"/>
      <c r="Q747" s="604"/>
      <c r="R747" s="596"/>
      <c r="S747" s="596"/>
      <c r="T747" s="604"/>
      <c r="U747" s="596"/>
      <c r="V747" s="596"/>
      <c r="W747" s="604"/>
      <c r="X747" s="596"/>
      <c r="Y747" s="596"/>
      <c r="Z747" s="604"/>
      <c r="AA747" s="596"/>
      <c r="AB747" s="596"/>
      <c r="AC747" s="604"/>
      <c r="AD747" s="596"/>
      <c r="AE747" s="596"/>
      <c r="AF747" s="604"/>
      <c r="AG747" s="596"/>
      <c r="AH747" s="596"/>
      <c r="AI747" s="604"/>
      <c r="AJ747" s="596"/>
      <c r="AK747" s="596"/>
      <c r="AL747" s="604"/>
      <c r="AM747" s="596"/>
      <c r="AN747" s="596"/>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596"/>
      <c r="D748" s="596"/>
      <c r="E748" s="604"/>
      <c r="F748" s="596"/>
      <c r="G748" s="596"/>
      <c r="H748" s="604"/>
      <c r="I748" s="596"/>
      <c r="J748" s="596"/>
      <c r="K748" s="604"/>
      <c r="L748" s="596"/>
      <c r="M748" s="596"/>
      <c r="N748" s="604"/>
      <c r="O748" s="596"/>
      <c r="P748" s="596"/>
      <c r="Q748" s="604"/>
      <c r="R748" s="596"/>
      <c r="S748" s="596"/>
      <c r="T748" s="604"/>
      <c r="U748" s="596"/>
      <c r="V748" s="596"/>
      <c r="W748" s="604"/>
      <c r="X748" s="596"/>
      <c r="Y748" s="596"/>
      <c r="Z748" s="604"/>
      <c r="AA748" s="596"/>
      <c r="AB748" s="596"/>
      <c r="AC748" s="604"/>
      <c r="AD748" s="596"/>
      <c r="AE748" s="596"/>
      <c r="AF748" s="604"/>
      <c r="AG748" s="596"/>
      <c r="AH748" s="596"/>
      <c r="AI748" s="604"/>
      <c r="AJ748" s="596"/>
      <c r="AK748" s="596"/>
      <c r="AL748" s="604"/>
      <c r="AM748" s="596"/>
      <c r="AN748" s="596"/>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596"/>
      <c r="D749" s="596"/>
      <c r="E749" s="604"/>
      <c r="F749" s="596"/>
      <c r="G749" s="596"/>
      <c r="H749" s="604"/>
      <c r="I749" s="596"/>
      <c r="J749" s="596"/>
      <c r="K749" s="604"/>
      <c r="L749" s="596"/>
      <c r="M749" s="596"/>
      <c r="N749" s="604"/>
      <c r="O749" s="596"/>
      <c r="P749" s="596"/>
      <c r="Q749" s="604"/>
      <c r="R749" s="596"/>
      <c r="S749" s="596"/>
      <c r="T749" s="604"/>
      <c r="U749" s="596"/>
      <c r="V749" s="596"/>
      <c r="W749" s="604"/>
      <c r="X749" s="596"/>
      <c r="Y749" s="596"/>
      <c r="Z749" s="604"/>
      <c r="AA749" s="596"/>
      <c r="AB749" s="596"/>
      <c r="AC749" s="604"/>
      <c r="AD749" s="596"/>
      <c r="AE749" s="596"/>
      <c r="AF749" s="604"/>
      <c r="AG749" s="596"/>
      <c r="AH749" s="596"/>
      <c r="AI749" s="604"/>
      <c r="AJ749" s="596"/>
      <c r="AK749" s="596"/>
      <c r="AL749" s="604"/>
      <c r="AM749" s="596"/>
      <c r="AN749" s="596"/>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5"/>
      <c r="C750" s="596"/>
      <c r="D750" s="596"/>
      <c r="E750" s="606"/>
      <c r="F750" s="596"/>
      <c r="G750" s="596"/>
      <c r="H750" s="606"/>
      <c r="I750" s="596"/>
      <c r="J750" s="596"/>
      <c r="K750" s="606"/>
      <c r="L750" s="596"/>
      <c r="M750" s="596"/>
      <c r="N750" s="606"/>
      <c r="O750" s="596"/>
      <c r="P750" s="596"/>
      <c r="Q750" s="606"/>
      <c r="R750" s="596"/>
      <c r="S750" s="596"/>
      <c r="T750" s="606"/>
      <c r="U750" s="596"/>
      <c r="V750" s="596"/>
      <c r="W750" s="606"/>
      <c r="X750" s="596"/>
      <c r="Y750" s="596"/>
      <c r="Z750" s="606"/>
      <c r="AA750" s="596"/>
      <c r="AB750" s="596"/>
      <c r="AC750" s="606"/>
      <c r="AD750" s="596"/>
      <c r="AE750" s="596"/>
      <c r="AF750" s="606"/>
      <c r="AG750" s="596"/>
      <c r="AH750" s="596"/>
      <c r="AI750" s="606"/>
      <c r="AJ750" s="596"/>
      <c r="AK750" s="596"/>
      <c r="AL750" s="606"/>
      <c r="AM750" s="596"/>
      <c r="AN750" s="596"/>
      <c r="AO750" s="606"/>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6"/>
      <c r="C760" s="604"/>
      <c r="D760" s="604"/>
      <c r="E760" s="604"/>
      <c r="F760" s="604"/>
      <c r="G760" s="604"/>
      <c r="H760" s="604"/>
      <c r="I760" s="604"/>
      <c r="J760" s="604"/>
      <c r="K760" s="604"/>
      <c r="L760" s="604"/>
      <c r="M760" s="604"/>
      <c r="N760" s="604"/>
      <c r="O760" s="604"/>
      <c r="P760" s="604"/>
      <c r="Q760" s="604"/>
      <c r="R760" s="604"/>
      <c r="S760" s="604"/>
      <c r="T760" s="604"/>
      <c r="U760" s="604"/>
      <c r="V760" s="604"/>
      <c r="W760" s="604"/>
      <c r="X760" s="604"/>
      <c r="Y760" s="604"/>
      <c r="Z760" s="604"/>
      <c r="AA760" s="604"/>
      <c r="AB760" s="604"/>
      <c r="AC760" s="604"/>
      <c r="AD760" s="604"/>
      <c r="AE760" s="604"/>
      <c r="AF760" s="604"/>
      <c r="AG760" s="604"/>
      <c r="AH760" s="604"/>
      <c r="AI760" s="604"/>
      <c r="AJ760" s="604"/>
      <c r="AK760" s="604"/>
      <c r="AL760" s="604"/>
      <c r="AM760" s="604"/>
      <c r="AN760" s="604"/>
      <c r="AO760" s="604"/>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6"/>
      <c r="C762" s="604"/>
      <c r="D762" s="604"/>
      <c r="E762" s="604"/>
      <c r="F762" s="604"/>
      <c r="G762" s="604"/>
      <c r="H762" s="604"/>
      <c r="I762" s="604"/>
      <c r="J762" s="604"/>
      <c r="K762" s="604"/>
      <c r="L762" s="604"/>
      <c r="M762" s="604"/>
      <c r="N762" s="604"/>
      <c r="O762" s="604"/>
      <c r="P762" s="604"/>
      <c r="Q762" s="604"/>
      <c r="R762" s="604"/>
      <c r="S762" s="604"/>
      <c r="T762" s="604"/>
      <c r="U762" s="604"/>
      <c r="V762" s="604"/>
      <c r="W762" s="604"/>
      <c r="X762" s="604"/>
      <c r="Y762" s="604"/>
      <c r="Z762" s="604"/>
      <c r="AA762" s="604"/>
      <c r="AB762" s="604"/>
      <c r="AC762" s="604"/>
      <c r="AD762" s="604"/>
      <c r="AE762" s="604"/>
      <c r="AF762" s="604"/>
      <c r="AG762" s="604"/>
      <c r="AH762" s="604"/>
      <c r="AI762" s="604"/>
      <c r="AJ762" s="604"/>
      <c r="AK762" s="604"/>
      <c r="AL762" s="604"/>
      <c r="AM762" s="604"/>
      <c r="AN762" s="604"/>
      <c r="AO762" s="604"/>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4"/>
      <c r="D763" s="604"/>
      <c r="E763" s="604"/>
      <c r="F763" s="604"/>
      <c r="G763" s="604"/>
      <c r="H763" s="604"/>
      <c r="I763" s="604"/>
      <c r="J763" s="604"/>
      <c r="K763" s="604"/>
      <c r="L763" s="604"/>
      <c r="M763" s="604"/>
      <c r="N763" s="604"/>
      <c r="O763" s="604"/>
      <c r="P763" s="604"/>
      <c r="Q763" s="604"/>
      <c r="R763" s="604"/>
      <c r="S763" s="604"/>
      <c r="T763" s="604"/>
      <c r="U763" s="604"/>
      <c r="V763" s="604"/>
      <c r="W763" s="604"/>
      <c r="X763" s="604"/>
      <c r="Y763" s="604"/>
      <c r="Z763" s="604"/>
      <c r="AA763" s="604"/>
      <c r="AB763" s="604"/>
      <c r="AC763" s="604"/>
      <c r="AD763" s="604"/>
      <c r="AE763" s="604"/>
      <c r="AF763" s="604"/>
      <c r="AG763" s="604"/>
      <c r="AH763" s="604"/>
      <c r="AI763" s="604"/>
      <c r="AJ763" s="604"/>
      <c r="AK763" s="604"/>
      <c r="AL763" s="604"/>
      <c r="AM763" s="604"/>
      <c r="AN763" s="604"/>
      <c r="AO763" s="604"/>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604"/>
      <c r="D765" s="604"/>
      <c r="E765" s="604"/>
      <c r="F765" s="604"/>
      <c r="G765" s="604"/>
      <c r="H765" s="604"/>
      <c r="I765" s="604"/>
      <c r="J765" s="604"/>
      <c r="K765" s="604"/>
      <c r="L765" s="604"/>
      <c r="M765" s="604"/>
      <c r="N765" s="604"/>
      <c r="O765" s="604"/>
      <c r="P765" s="604"/>
      <c r="Q765" s="604"/>
      <c r="R765" s="604"/>
      <c r="S765" s="604"/>
      <c r="T765" s="604"/>
      <c r="U765" s="604"/>
      <c r="V765" s="604"/>
      <c r="W765" s="604"/>
      <c r="X765" s="604"/>
      <c r="Y765" s="604"/>
      <c r="Z765" s="604"/>
      <c r="AA765" s="604"/>
      <c r="AB765" s="604"/>
      <c r="AC765" s="604"/>
      <c r="AD765" s="604"/>
      <c r="AE765" s="604"/>
      <c r="AF765" s="604"/>
      <c r="AG765" s="604"/>
      <c r="AH765" s="604"/>
      <c r="AI765" s="604"/>
      <c r="AJ765" s="604"/>
      <c r="AK765" s="604"/>
      <c r="AL765" s="604"/>
      <c r="AM765" s="604"/>
      <c r="AN765" s="604"/>
      <c r="AO765" s="604"/>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5"/>
      <c r="C766" s="606"/>
      <c r="D766" s="606"/>
      <c r="E766" s="606"/>
      <c r="F766" s="606"/>
      <c r="G766" s="606"/>
      <c r="H766" s="606"/>
      <c r="I766" s="606"/>
      <c r="J766" s="606"/>
      <c r="K766" s="606"/>
      <c r="L766" s="606"/>
      <c r="M766" s="606"/>
      <c r="N766" s="606"/>
      <c r="O766" s="606"/>
      <c r="P766" s="606"/>
      <c r="Q766" s="606"/>
      <c r="R766" s="606"/>
      <c r="S766" s="606"/>
      <c r="T766" s="606"/>
      <c r="U766" s="606"/>
      <c r="V766" s="606"/>
      <c r="W766" s="606"/>
      <c r="X766" s="606"/>
      <c r="Y766" s="606"/>
      <c r="Z766" s="606"/>
      <c r="AA766" s="606"/>
      <c r="AB766" s="606"/>
      <c r="AC766" s="606"/>
      <c r="AD766" s="606"/>
      <c r="AE766" s="606"/>
      <c r="AF766" s="606"/>
      <c r="AG766" s="606"/>
      <c r="AH766" s="606"/>
      <c r="AI766" s="606"/>
      <c r="AJ766" s="606"/>
      <c r="AK766" s="606"/>
      <c r="AL766" s="606"/>
      <c r="AM766" s="606"/>
      <c r="AN766" s="606"/>
      <c r="AO766" s="60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606"/>
      <c r="D767" s="606"/>
      <c r="E767" s="606"/>
      <c r="F767" s="606"/>
      <c r="G767" s="606"/>
      <c r="H767" s="606"/>
      <c r="I767" s="606"/>
      <c r="J767" s="606"/>
      <c r="K767" s="606"/>
      <c r="L767" s="606"/>
      <c r="M767" s="606"/>
      <c r="N767" s="606"/>
      <c r="O767" s="606"/>
      <c r="P767" s="606"/>
      <c r="Q767" s="606"/>
      <c r="R767" s="606"/>
      <c r="S767" s="606"/>
      <c r="T767" s="606"/>
      <c r="U767" s="606"/>
      <c r="V767" s="606"/>
      <c r="W767" s="606"/>
      <c r="X767" s="606"/>
      <c r="Y767" s="606"/>
      <c r="Z767" s="606"/>
      <c r="AA767" s="606"/>
      <c r="AB767" s="606"/>
      <c r="AC767" s="606"/>
      <c r="AD767" s="606"/>
      <c r="AE767" s="606"/>
      <c r="AF767" s="606"/>
      <c r="AG767" s="606"/>
      <c r="AH767" s="606"/>
      <c r="AI767" s="606"/>
      <c r="AJ767" s="606"/>
      <c r="AK767" s="606"/>
      <c r="AL767" s="606"/>
      <c r="AM767" s="606"/>
      <c r="AN767" s="606"/>
      <c r="AO767" s="60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5"/>
      <c r="C768" s="606"/>
      <c r="D768" s="606"/>
      <c r="E768" s="606"/>
      <c r="F768" s="606"/>
      <c r="G768" s="606"/>
      <c r="H768" s="606"/>
      <c r="I768" s="606"/>
      <c r="J768" s="606"/>
      <c r="K768" s="606"/>
      <c r="L768" s="606"/>
      <c r="M768" s="606"/>
      <c r="N768" s="606"/>
      <c r="O768" s="606"/>
      <c r="P768" s="606"/>
      <c r="Q768" s="606"/>
      <c r="R768" s="606"/>
      <c r="S768" s="606"/>
      <c r="T768" s="606"/>
      <c r="U768" s="606"/>
      <c r="V768" s="606"/>
      <c r="W768" s="606"/>
      <c r="X768" s="606"/>
      <c r="Y768" s="606"/>
      <c r="Z768" s="606"/>
      <c r="AA768" s="606"/>
      <c r="AB768" s="606"/>
      <c r="AC768" s="606"/>
      <c r="AD768" s="606"/>
      <c r="AE768" s="606"/>
      <c r="AF768" s="606"/>
      <c r="AG768" s="606"/>
      <c r="AH768" s="606"/>
      <c r="AI768" s="606"/>
      <c r="AJ768" s="606"/>
      <c r="AK768" s="606"/>
      <c r="AL768" s="606"/>
      <c r="AM768" s="606"/>
      <c r="AN768" s="606"/>
      <c r="AO768" s="60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4"/>
      <c r="AQ1104" s="594"/>
      <c r="AR1104" s="594"/>
      <c r="AS1104" s="594"/>
      <c r="AT1104" s="594"/>
      <c r="AU1104" s="594"/>
      <c r="AV1104" s="594"/>
      <c r="AW1104" s="594"/>
      <c r="AX1104" s="594"/>
      <c r="AY1104" s="594"/>
      <c r="AZ1104" s="594"/>
      <c r="BA1104" s="594"/>
      <c r="BB1104" s="594"/>
      <c r="BC1104" s="594"/>
      <c r="BD1104" s="594"/>
      <c r="BE1104" s="594"/>
      <c r="BF1104" s="594"/>
      <c r="BG1104" s="594"/>
      <c r="BH1104" s="594"/>
      <c r="BI1104" s="594"/>
      <c r="BJ1104" s="594"/>
      <c r="BK1104" s="594"/>
      <c r="BL1104" s="594"/>
      <c r="BM1104" s="594"/>
      <c r="BN1104" s="594"/>
      <c r="BO1104" s="594"/>
      <c r="BP1104" s="594"/>
      <c r="BQ1104" s="594"/>
      <c r="BR1104" s="594"/>
      <c r="BS1104" s="594"/>
      <c r="BT1104" s="594"/>
      <c r="BU1104" s="594"/>
      <c r="BV1104" s="594"/>
      <c r="BW1104" s="594"/>
      <c r="BX1104" s="594"/>
      <c r="BY1104" s="594"/>
      <c r="BZ1104" s="594"/>
      <c r="CA1104" s="594"/>
      <c r="CB1104" s="594"/>
      <c r="CC1104" s="594"/>
      <c r="CD1104" s="594"/>
      <c r="CE1104" s="594"/>
      <c r="CF1104" s="594"/>
      <c r="CG1104" s="594"/>
      <c r="CH1104" s="594"/>
      <c r="CI1104" s="594"/>
      <c r="CJ1104" s="594"/>
      <c r="CK1104" s="594"/>
      <c r="CL1104" s="594"/>
      <c r="CM1104" s="594"/>
      <c r="CN1104" s="594"/>
      <c r="CO1104" s="594"/>
      <c r="CP1104" s="594"/>
      <c r="CQ1104" s="594"/>
      <c r="CR1104" s="594"/>
      <c r="CS1104" s="594"/>
      <c r="CT1104" s="594"/>
      <c r="CU1104" s="594"/>
      <c r="CV1104" s="594"/>
      <c r="CW1104" s="594"/>
      <c r="CX1104" s="594"/>
      <c r="CY1104" s="594"/>
      <c r="CZ1104" s="594"/>
      <c r="DA1104" s="594"/>
      <c r="DB1104" s="594"/>
      <c r="DC1104" s="594"/>
      <c r="DD1104" s="594"/>
      <c r="DE1104" s="594"/>
      <c r="DF1104" s="594"/>
      <c r="DG1104" s="594"/>
      <c r="DH1104" s="594"/>
      <c r="DI1104" s="594"/>
      <c r="DJ1104" s="594"/>
      <c r="DK1104" s="594"/>
      <c r="DL1104" s="594"/>
      <c r="DM1104" s="594"/>
      <c r="DN1104" s="594"/>
      <c r="DO1104" s="594"/>
      <c r="DP1104" s="594"/>
      <c r="DQ1104" s="594"/>
      <c r="DR1104" s="594"/>
      <c r="DS1104" s="594"/>
      <c r="DT1104" s="594"/>
      <c r="DU1104" s="594"/>
      <c r="DV1104" s="594"/>
      <c r="DW1104" s="594"/>
      <c r="DX1104" s="594"/>
      <c r="DY1104" s="594"/>
      <c r="DZ1104" s="594"/>
      <c r="EA1104" s="594"/>
      <c r="EB1104" s="594"/>
      <c r="EC1104" s="594"/>
      <c r="ED1104" s="594"/>
      <c r="EE1104" s="594"/>
      <c r="EF1104" s="594"/>
      <c r="EG1104" s="594"/>
      <c r="EH1104" s="594"/>
      <c r="EI1104" s="594"/>
      <c r="EJ1104" s="594"/>
      <c r="EK1104" s="594"/>
      <c r="EL1104" s="594"/>
      <c r="EM1104" s="594"/>
      <c r="EN1104" s="594"/>
      <c r="EO1104" s="594"/>
      <c r="EP1104" s="594"/>
      <c r="EQ1104" s="594"/>
      <c r="ER1104" s="594"/>
      <c r="ES1104" s="594"/>
      <c r="ET1104" s="594"/>
      <c r="EU1104" s="594"/>
      <c r="EV1104" s="594"/>
      <c r="EW1104" s="594"/>
      <c r="EX1104" s="594"/>
      <c r="EY1104" s="594"/>
      <c r="EZ1104" s="594"/>
      <c r="FA1104" s="594"/>
      <c r="FB1104" s="594"/>
      <c r="FC1104" s="594"/>
      <c r="FD1104" s="594"/>
      <c r="FE1104" s="594"/>
      <c r="FF1104" s="594"/>
      <c r="FG1104" s="594"/>
      <c r="FH1104" s="594"/>
      <c r="FI1104" s="594"/>
      <c r="FJ1104" s="594"/>
      <c r="FK1104" s="594"/>
      <c r="FL1104" s="594"/>
      <c r="FM1104" s="594"/>
      <c r="FN1104" s="594"/>
      <c r="FO1104" s="594"/>
      <c r="FP1104" s="594"/>
      <c r="FQ1104" s="594"/>
      <c r="FR1104" s="594"/>
      <c r="FS1104" s="594"/>
      <c r="FT1104" s="594"/>
      <c r="FU1104" s="594"/>
      <c r="FV1104" s="594"/>
      <c r="FW1104" s="594"/>
      <c r="FX1104" s="594"/>
      <c r="FY1104" s="594"/>
      <c r="FZ1104" s="594"/>
      <c r="GA1104" s="594"/>
      <c r="GB1104" s="594"/>
      <c r="GC1104" s="594"/>
      <c r="GD1104" s="594"/>
      <c r="GE1104" s="594"/>
      <c r="GF1104" s="594"/>
      <c r="GG1104" s="594"/>
      <c r="GH1104" s="594"/>
      <c r="GI1104" s="594"/>
      <c r="GJ1104" s="594"/>
      <c r="GK1104" s="594"/>
      <c r="GL1104" s="594"/>
      <c r="GM1104" s="594"/>
      <c r="GN1104" s="594"/>
      <c r="GO1104" s="594"/>
      <c r="GP1104" s="594"/>
      <c r="GQ1104" s="594"/>
      <c r="GR1104" s="594"/>
      <c r="GS1104" s="594"/>
      <c r="GT1104" s="594"/>
      <c r="GU1104" s="594"/>
      <c r="GV1104" s="594"/>
      <c r="GW1104" s="594"/>
      <c r="GX1104" s="594"/>
      <c r="GY1104" s="594"/>
      <c r="GZ1104" s="594"/>
      <c r="HA1104" s="594"/>
      <c r="HB1104" s="594"/>
      <c r="HC1104" s="594"/>
      <c r="HD1104" s="594"/>
      <c r="HE1104" s="594"/>
      <c r="HF1104" s="594"/>
      <c r="HG1104" s="594"/>
      <c r="HH1104" s="594"/>
      <c r="HI1104" s="594"/>
      <c r="HJ1104" s="594"/>
      <c r="HK1104" s="594"/>
    </row>
    <row r="1105" spans="2:219"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4"/>
      <c r="AQ1105" s="594"/>
      <c r="AR1105" s="594"/>
      <c r="AS1105" s="594"/>
      <c r="AT1105" s="594"/>
      <c r="AU1105" s="594"/>
      <c r="AV1105" s="594"/>
      <c r="AW1105" s="594"/>
      <c r="AX1105" s="594"/>
      <c r="AY1105" s="594"/>
      <c r="AZ1105" s="594"/>
      <c r="BA1105" s="594"/>
      <c r="BB1105" s="594"/>
      <c r="BC1105" s="594"/>
      <c r="BD1105" s="594"/>
      <c r="BE1105" s="594"/>
      <c r="BF1105" s="594"/>
      <c r="BG1105" s="594"/>
      <c r="BH1105" s="594"/>
      <c r="BI1105" s="594"/>
      <c r="BJ1105" s="594"/>
      <c r="BK1105" s="594"/>
      <c r="BL1105" s="594"/>
      <c r="BM1105" s="594"/>
      <c r="BN1105" s="594"/>
      <c r="BO1105" s="594"/>
      <c r="BP1105" s="594"/>
      <c r="BQ1105" s="594"/>
      <c r="BR1105" s="594"/>
      <c r="BS1105" s="594"/>
      <c r="BT1105" s="594"/>
      <c r="BU1105" s="594"/>
      <c r="BV1105" s="594"/>
      <c r="BW1105" s="594"/>
      <c r="BX1105" s="594"/>
      <c r="BY1105" s="594"/>
      <c r="BZ1105" s="594"/>
      <c r="CA1105" s="594"/>
      <c r="CB1105" s="594"/>
      <c r="CC1105" s="594"/>
      <c r="CD1105" s="594"/>
      <c r="CE1105" s="594"/>
      <c r="CF1105" s="594"/>
      <c r="CG1105" s="594"/>
      <c r="CH1105" s="594"/>
      <c r="CI1105" s="594"/>
      <c r="CJ1105" s="594"/>
      <c r="CK1105" s="594"/>
      <c r="CL1105" s="594"/>
      <c r="CM1105" s="594"/>
      <c r="CN1105" s="594"/>
      <c r="CO1105" s="594"/>
      <c r="CP1105" s="594"/>
      <c r="CQ1105" s="594"/>
      <c r="CR1105" s="594"/>
      <c r="CS1105" s="594"/>
      <c r="CT1105" s="594"/>
      <c r="CU1105" s="594"/>
      <c r="CV1105" s="594"/>
      <c r="CW1105" s="594"/>
      <c r="CX1105" s="594"/>
      <c r="CY1105" s="594"/>
      <c r="CZ1105" s="594"/>
      <c r="DA1105" s="594"/>
      <c r="DB1105" s="594"/>
      <c r="DC1105" s="594"/>
      <c r="DD1105" s="594"/>
      <c r="DE1105" s="594"/>
      <c r="DF1105" s="594"/>
      <c r="DG1105" s="594"/>
      <c r="DH1105" s="594"/>
      <c r="DI1105" s="594"/>
      <c r="DJ1105" s="594"/>
      <c r="DK1105" s="594"/>
      <c r="DL1105" s="594"/>
      <c r="DM1105" s="594"/>
      <c r="DN1105" s="594"/>
      <c r="DO1105" s="594"/>
      <c r="DP1105" s="594"/>
      <c r="DQ1105" s="594"/>
      <c r="DR1105" s="594"/>
      <c r="DS1105" s="594"/>
      <c r="DT1105" s="594"/>
      <c r="DU1105" s="594"/>
      <c r="DV1105" s="594"/>
      <c r="DW1105" s="594"/>
      <c r="DX1105" s="594"/>
      <c r="DY1105" s="594"/>
      <c r="DZ1105" s="594"/>
      <c r="EA1105" s="594"/>
      <c r="EB1105" s="594"/>
      <c r="EC1105" s="594"/>
      <c r="ED1105" s="594"/>
      <c r="EE1105" s="594"/>
      <c r="EF1105" s="594"/>
      <c r="EG1105" s="594"/>
      <c r="EH1105" s="594"/>
      <c r="EI1105" s="594"/>
      <c r="EJ1105" s="594"/>
      <c r="EK1105" s="594"/>
      <c r="EL1105" s="594"/>
      <c r="EM1105" s="594"/>
      <c r="EN1105" s="594"/>
      <c r="EO1105" s="594"/>
      <c r="EP1105" s="594"/>
      <c r="EQ1105" s="594"/>
      <c r="ER1105" s="594"/>
      <c r="ES1105" s="594"/>
      <c r="ET1105" s="594"/>
      <c r="EU1105" s="594"/>
      <c r="EV1105" s="594"/>
      <c r="EW1105" s="594"/>
      <c r="EX1105" s="594"/>
      <c r="EY1105" s="594"/>
      <c r="EZ1105" s="594"/>
      <c r="FA1105" s="594"/>
      <c r="FB1105" s="594"/>
      <c r="FC1105" s="594"/>
      <c r="FD1105" s="594"/>
      <c r="FE1105" s="594"/>
      <c r="FF1105" s="594"/>
      <c r="FG1105" s="594"/>
      <c r="FH1105" s="594"/>
      <c r="FI1105" s="594"/>
      <c r="FJ1105" s="594"/>
      <c r="FK1105" s="594"/>
      <c r="FL1105" s="594"/>
      <c r="FM1105" s="594"/>
      <c r="FN1105" s="594"/>
      <c r="FO1105" s="594"/>
      <c r="FP1105" s="594"/>
      <c r="FQ1105" s="594"/>
      <c r="FR1105" s="594"/>
      <c r="FS1105" s="594"/>
      <c r="FT1105" s="594"/>
      <c r="FU1105" s="594"/>
      <c r="FV1105" s="594"/>
      <c r="FW1105" s="594"/>
      <c r="FX1105" s="594"/>
      <c r="FY1105" s="594"/>
      <c r="FZ1105" s="594"/>
      <c r="GA1105" s="594"/>
      <c r="GB1105" s="594"/>
      <c r="GC1105" s="594"/>
      <c r="GD1105" s="594"/>
      <c r="GE1105" s="594"/>
      <c r="GF1105" s="594"/>
      <c r="GG1105" s="594"/>
      <c r="GH1105" s="594"/>
      <c r="GI1105" s="594"/>
      <c r="GJ1105" s="594"/>
      <c r="GK1105" s="594"/>
      <c r="GL1105" s="594"/>
      <c r="GM1105" s="594"/>
      <c r="GN1105" s="594"/>
      <c r="GO1105" s="594"/>
      <c r="GP1105" s="594"/>
      <c r="GQ1105" s="594"/>
      <c r="GR1105" s="594"/>
      <c r="GS1105" s="594"/>
      <c r="GT1105" s="594"/>
      <c r="GU1105" s="594"/>
      <c r="GV1105" s="594"/>
      <c r="GW1105" s="594"/>
      <c r="GX1105" s="594"/>
      <c r="GY1105" s="594"/>
      <c r="GZ1105" s="594"/>
      <c r="HA1105" s="594"/>
      <c r="HB1105" s="594"/>
      <c r="HC1105" s="594"/>
      <c r="HD1105" s="594"/>
      <c r="HE1105" s="594"/>
      <c r="HF1105" s="594"/>
      <c r="HG1105" s="594"/>
      <c r="HH1105" s="594"/>
      <c r="HI1105" s="594"/>
      <c r="HJ1105" s="594"/>
      <c r="HK1105" s="594"/>
    </row>
    <row r="1106" spans="2:219"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4"/>
      <c r="AQ1106" s="594"/>
      <c r="AR1106" s="594"/>
      <c r="AS1106" s="594"/>
      <c r="AT1106" s="594"/>
      <c r="AU1106" s="594"/>
      <c r="AV1106" s="594"/>
      <c r="AW1106" s="594"/>
      <c r="AX1106" s="594"/>
      <c r="AY1106" s="594"/>
      <c r="AZ1106" s="594"/>
      <c r="BA1106" s="594"/>
      <c r="BB1106" s="594"/>
      <c r="BC1106" s="594"/>
      <c r="BD1106" s="594"/>
      <c r="BE1106" s="594"/>
      <c r="BF1106" s="594"/>
      <c r="BG1106" s="594"/>
      <c r="BH1106" s="594"/>
      <c r="BI1106" s="594"/>
      <c r="BJ1106" s="594"/>
      <c r="BK1106" s="594"/>
      <c r="BL1106" s="594"/>
      <c r="BM1106" s="594"/>
      <c r="BN1106" s="594"/>
      <c r="BO1106" s="594"/>
      <c r="BP1106" s="594"/>
      <c r="BQ1106" s="594"/>
      <c r="BR1106" s="594"/>
      <c r="BS1106" s="594"/>
      <c r="BT1106" s="594"/>
      <c r="BU1106" s="594"/>
      <c r="BV1106" s="594"/>
      <c r="BW1106" s="594"/>
      <c r="BX1106" s="594"/>
      <c r="BY1106" s="594"/>
      <c r="BZ1106" s="594"/>
      <c r="CA1106" s="594"/>
      <c r="CB1106" s="594"/>
      <c r="CC1106" s="594"/>
      <c r="CD1106" s="594"/>
      <c r="CE1106" s="594"/>
      <c r="CF1106" s="594"/>
      <c r="CG1106" s="594"/>
      <c r="CH1106" s="594"/>
      <c r="CI1106" s="594"/>
      <c r="CJ1106" s="594"/>
      <c r="CK1106" s="594"/>
      <c r="CL1106" s="594"/>
      <c r="CM1106" s="594"/>
      <c r="CN1106" s="594"/>
      <c r="CO1106" s="594"/>
      <c r="CP1106" s="594"/>
      <c r="CQ1106" s="594"/>
      <c r="CR1106" s="594"/>
      <c r="CS1106" s="594"/>
      <c r="CT1106" s="594"/>
      <c r="CU1106" s="594"/>
      <c r="CV1106" s="594"/>
      <c r="CW1106" s="594"/>
      <c r="CX1106" s="594"/>
      <c r="CY1106" s="594"/>
      <c r="CZ1106" s="594"/>
      <c r="DA1106" s="594"/>
      <c r="DB1106" s="594"/>
      <c r="DC1106" s="594"/>
      <c r="DD1106" s="594"/>
      <c r="DE1106" s="594"/>
      <c r="DF1106" s="594"/>
      <c r="DG1106" s="594"/>
      <c r="DH1106" s="594"/>
      <c r="DI1106" s="594"/>
      <c r="DJ1106" s="594"/>
      <c r="DK1106" s="594"/>
      <c r="DL1106" s="594"/>
      <c r="DM1106" s="594"/>
      <c r="DN1106" s="594"/>
      <c r="DO1106" s="594"/>
      <c r="DP1106" s="594"/>
      <c r="DQ1106" s="594"/>
      <c r="DR1106" s="594"/>
      <c r="DS1106" s="594"/>
      <c r="DT1106" s="594"/>
      <c r="DU1106" s="594"/>
      <c r="DV1106" s="594"/>
      <c r="DW1106" s="594"/>
      <c r="DX1106" s="594"/>
      <c r="DY1106" s="594"/>
      <c r="DZ1106" s="594"/>
      <c r="EA1106" s="594"/>
      <c r="EB1106" s="594"/>
      <c r="EC1106" s="594"/>
      <c r="ED1106" s="594"/>
      <c r="EE1106" s="594"/>
      <c r="EF1106" s="594"/>
      <c r="EG1106" s="594"/>
      <c r="EH1106" s="594"/>
      <c r="EI1106" s="594"/>
      <c r="EJ1106" s="594"/>
      <c r="EK1106" s="594"/>
      <c r="EL1106" s="594"/>
      <c r="EM1106" s="594"/>
      <c r="EN1106" s="594"/>
      <c r="EO1106" s="594"/>
      <c r="EP1106" s="594"/>
      <c r="EQ1106" s="594"/>
      <c r="ER1106" s="594"/>
      <c r="ES1106" s="594"/>
      <c r="ET1106" s="594"/>
      <c r="EU1106" s="594"/>
      <c r="EV1106" s="594"/>
      <c r="EW1106" s="594"/>
      <c r="EX1106" s="594"/>
      <c r="EY1106" s="594"/>
      <c r="EZ1106" s="594"/>
      <c r="FA1106" s="594"/>
      <c r="FB1106" s="594"/>
      <c r="FC1106" s="594"/>
      <c r="FD1106" s="594"/>
      <c r="FE1106" s="594"/>
      <c r="FF1106" s="594"/>
      <c r="FG1106" s="594"/>
      <c r="FH1106" s="594"/>
      <c r="FI1106" s="594"/>
      <c r="FJ1106" s="594"/>
      <c r="FK1106" s="594"/>
      <c r="FL1106" s="594"/>
      <c r="FM1106" s="594"/>
      <c r="FN1106" s="594"/>
      <c r="FO1106" s="594"/>
      <c r="FP1106" s="594"/>
      <c r="FQ1106" s="594"/>
      <c r="FR1106" s="594"/>
      <c r="FS1106" s="594"/>
      <c r="FT1106" s="594"/>
      <c r="FU1106" s="594"/>
      <c r="FV1106" s="594"/>
      <c r="FW1106" s="594"/>
      <c r="FX1106" s="594"/>
      <c r="FY1106" s="594"/>
      <c r="FZ1106" s="594"/>
      <c r="GA1106" s="594"/>
      <c r="GB1106" s="594"/>
      <c r="GC1106" s="594"/>
      <c r="GD1106" s="594"/>
      <c r="GE1106" s="594"/>
      <c r="GF1106" s="594"/>
      <c r="GG1106" s="594"/>
      <c r="GH1106" s="594"/>
      <c r="GI1106" s="594"/>
      <c r="GJ1106" s="594"/>
      <c r="GK1106" s="594"/>
      <c r="GL1106" s="594"/>
      <c r="GM1106" s="594"/>
      <c r="GN1106" s="594"/>
      <c r="GO1106" s="594"/>
      <c r="GP1106" s="594"/>
      <c r="GQ1106" s="594"/>
      <c r="GR1106" s="594"/>
      <c r="GS1106" s="594"/>
      <c r="GT1106" s="594"/>
      <c r="GU1106" s="594"/>
      <c r="GV1106" s="594"/>
      <c r="GW1106" s="594"/>
      <c r="GX1106" s="594"/>
      <c r="GY1106" s="594"/>
      <c r="GZ1106" s="594"/>
      <c r="HA1106" s="594"/>
      <c r="HB1106" s="594"/>
      <c r="HC1106" s="594"/>
      <c r="HD1106" s="594"/>
      <c r="HE1106" s="594"/>
      <c r="HF1106" s="594"/>
      <c r="HG1106" s="594"/>
      <c r="HH1106" s="594"/>
      <c r="HI1106" s="594"/>
      <c r="HJ1106" s="594"/>
      <c r="HK1106" s="594"/>
    </row>
    <row r="1107" spans="2:219"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4"/>
      <c r="AQ1107" s="594"/>
      <c r="AR1107" s="594"/>
      <c r="AS1107" s="594"/>
      <c r="AT1107" s="594"/>
      <c r="AU1107" s="594"/>
      <c r="AV1107" s="594"/>
      <c r="AW1107" s="594"/>
      <c r="AX1107" s="594"/>
      <c r="AY1107" s="594"/>
      <c r="AZ1107" s="594"/>
      <c r="BA1107" s="594"/>
      <c r="BB1107" s="594"/>
      <c r="BC1107" s="594"/>
      <c r="BD1107" s="594"/>
      <c r="BE1107" s="594"/>
      <c r="BF1107" s="594"/>
      <c r="BG1107" s="594"/>
      <c r="BH1107" s="594"/>
      <c r="BI1107" s="594"/>
      <c r="BJ1107" s="594"/>
      <c r="BK1107" s="594"/>
      <c r="BL1107" s="594"/>
      <c r="BM1107" s="594"/>
      <c r="BN1107" s="594"/>
      <c r="BO1107" s="594"/>
      <c r="BP1107" s="594"/>
      <c r="BQ1107" s="594"/>
      <c r="BR1107" s="594"/>
      <c r="BS1107" s="594"/>
      <c r="BT1107" s="594"/>
      <c r="BU1107" s="594"/>
      <c r="BV1107" s="594"/>
      <c r="BW1107" s="594"/>
      <c r="BX1107" s="594"/>
      <c r="BY1107" s="594"/>
      <c r="BZ1107" s="594"/>
      <c r="CA1107" s="594"/>
      <c r="CB1107" s="594"/>
      <c r="CC1107" s="594"/>
      <c r="CD1107" s="594"/>
      <c r="CE1107" s="594"/>
      <c r="CF1107" s="594"/>
      <c r="CG1107" s="594"/>
      <c r="CH1107" s="594"/>
      <c r="CI1107" s="594"/>
      <c r="CJ1107" s="594"/>
      <c r="CK1107" s="594"/>
      <c r="CL1107" s="594"/>
      <c r="CM1107" s="594"/>
      <c r="CN1107" s="594"/>
      <c r="CO1107" s="594"/>
      <c r="CP1107" s="594"/>
      <c r="CQ1107" s="594"/>
      <c r="CR1107" s="594"/>
      <c r="CS1107" s="594"/>
      <c r="CT1107" s="594"/>
      <c r="CU1107" s="594"/>
      <c r="CV1107" s="594"/>
      <c r="CW1107" s="594"/>
      <c r="CX1107" s="594"/>
      <c r="CY1107" s="594"/>
      <c r="CZ1107" s="594"/>
      <c r="DA1107" s="594"/>
      <c r="DB1107" s="594"/>
      <c r="DC1107" s="594"/>
      <c r="DD1107" s="594"/>
      <c r="DE1107" s="594"/>
      <c r="DF1107" s="594"/>
      <c r="DG1107" s="594"/>
      <c r="DH1107" s="594"/>
      <c r="DI1107" s="594"/>
      <c r="DJ1107" s="594"/>
      <c r="DK1107" s="594"/>
      <c r="DL1107" s="594"/>
      <c r="DM1107" s="594"/>
      <c r="DN1107" s="594"/>
      <c r="DO1107" s="594"/>
      <c r="DP1107" s="594"/>
      <c r="DQ1107" s="594"/>
      <c r="DR1107" s="594"/>
      <c r="DS1107" s="594"/>
      <c r="DT1107" s="594"/>
      <c r="DU1107" s="594"/>
      <c r="DV1107" s="594"/>
      <c r="DW1107" s="594"/>
      <c r="DX1107" s="594"/>
      <c r="DY1107" s="594"/>
      <c r="DZ1107" s="594"/>
      <c r="EA1107" s="594"/>
      <c r="EB1107" s="594"/>
      <c r="EC1107" s="594"/>
      <c r="ED1107" s="594"/>
      <c r="EE1107" s="594"/>
      <c r="EF1107" s="594"/>
      <c r="EG1107" s="594"/>
      <c r="EH1107" s="594"/>
      <c r="EI1107" s="594"/>
      <c r="EJ1107" s="594"/>
      <c r="EK1107" s="594"/>
      <c r="EL1107" s="594"/>
      <c r="EM1107" s="594"/>
      <c r="EN1107" s="594"/>
      <c r="EO1107" s="594"/>
      <c r="EP1107" s="594"/>
      <c r="EQ1107" s="594"/>
      <c r="ER1107" s="594"/>
      <c r="ES1107" s="594"/>
      <c r="ET1107" s="594"/>
      <c r="EU1107" s="594"/>
      <c r="EV1107" s="594"/>
      <c r="EW1107" s="594"/>
      <c r="EX1107" s="594"/>
      <c r="EY1107" s="594"/>
      <c r="EZ1107" s="594"/>
      <c r="FA1107" s="594"/>
      <c r="FB1107" s="594"/>
      <c r="FC1107" s="594"/>
      <c r="FD1107" s="594"/>
      <c r="FE1107" s="594"/>
      <c r="FF1107" s="594"/>
      <c r="FG1107" s="594"/>
      <c r="FH1107" s="594"/>
      <c r="FI1107" s="594"/>
      <c r="FJ1107" s="594"/>
      <c r="FK1107" s="594"/>
      <c r="FL1107" s="594"/>
      <c r="FM1107" s="594"/>
      <c r="FN1107" s="594"/>
      <c r="FO1107" s="594"/>
      <c r="FP1107" s="594"/>
      <c r="FQ1107" s="594"/>
      <c r="FR1107" s="594"/>
      <c r="FS1107" s="594"/>
      <c r="FT1107" s="594"/>
      <c r="FU1107" s="594"/>
      <c r="FV1107" s="594"/>
      <c r="FW1107" s="594"/>
      <c r="FX1107" s="594"/>
      <c r="FY1107" s="594"/>
      <c r="FZ1107" s="594"/>
      <c r="GA1107" s="594"/>
      <c r="GB1107" s="594"/>
      <c r="GC1107" s="594"/>
      <c r="GD1107" s="594"/>
      <c r="GE1107" s="594"/>
      <c r="GF1107" s="594"/>
      <c r="GG1107" s="594"/>
      <c r="GH1107" s="594"/>
      <c r="GI1107" s="594"/>
      <c r="GJ1107" s="594"/>
      <c r="GK1107" s="594"/>
      <c r="GL1107" s="594"/>
      <c r="GM1107" s="594"/>
      <c r="GN1107" s="594"/>
      <c r="GO1107" s="594"/>
      <c r="GP1107" s="594"/>
      <c r="GQ1107" s="594"/>
      <c r="GR1107" s="594"/>
      <c r="GS1107" s="594"/>
      <c r="GT1107" s="594"/>
      <c r="GU1107" s="594"/>
      <c r="GV1107" s="594"/>
      <c r="GW1107" s="594"/>
      <c r="GX1107" s="594"/>
      <c r="GY1107" s="594"/>
      <c r="GZ1107" s="594"/>
      <c r="HA1107" s="594"/>
      <c r="HB1107" s="594"/>
      <c r="HC1107" s="594"/>
      <c r="HD1107" s="594"/>
      <c r="HE1107" s="594"/>
      <c r="HF1107" s="594"/>
      <c r="HG1107" s="594"/>
      <c r="HH1107" s="594"/>
      <c r="HI1107" s="594"/>
      <c r="HJ1107" s="594"/>
      <c r="HK1107" s="594"/>
    </row>
    <row r="1108" spans="2:219"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219"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219"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219"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219"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219"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219"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219"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219"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219"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219"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219"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219"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row r="1128" spans="2:41" ht="15.75">
      <c r="B1128" s="596"/>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row>
    <row r="1129" spans="2:41" ht="15.75">
      <c r="B1129" s="596"/>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row>
    <row r="1130" spans="2:41" ht="15.75">
      <c r="B1130" s="596"/>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row>
    <row r="1131" spans="2:41" ht="15.75">
      <c r="B1131" s="596"/>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0"/>
  <sheetViews>
    <sheetView topLeftCell="B1" zoomScale="80" zoomScaleNormal="80" workbookViewId="0">
      <selection activeCell="H16" sqref="H16"/>
    </sheetView>
  </sheetViews>
  <sheetFormatPr baseColWidth="10" defaultColWidth="11" defaultRowHeight="15"/>
  <cols>
    <col min="1" max="2" width="21.5" style="1218" customWidth="1"/>
    <col min="3" max="3" width="27" style="1218" customWidth="1"/>
    <col min="4" max="4" width="22.75" style="1221" customWidth="1"/>
    <col min="5" max="19" width="13.625" style="1221" customWidth="1"/>
    <col min="20" max="20" width="75.875" style="1250" customWidth="1"/>
    <col min="21" max="16384" width="11" style="1218"/>
  </cols>
  <sheetData>
    <row r="1" spans="1:24" ht="31.5">
      <c r="A1" s="1217" t="s">
        <v>3114</v>
      </c>
      <c r="B1" s="1217"/>
      <c r="D1" s="1217"/>
      <c r="E1" s="1217"/>
      <c r="F1" s="1217"/>
      <c r="G1" s="1217"/>
      <c r="H1" s="1217"/>
      <c r="I1" s="1217"/>
      <c r="J1" s="1217"/>
      <c r="K1" s="1217"/>
      <c r="L1" s="1217"/>
      <c r="M1" s="1217"/>
      <c r="N1" s="1217"/>
      <c r="O1" s="1217"/>
      <c r="P1" s="1217"/>
      <c r="Q1" s="1217"/>
      <c r="R1" s="1217"/>
      <c r="S1" s="1217"/>
      <c r="T1" s="1217"/>
    </row>
    <row r="2" spans="1:24" ht="21">
      <c r="A2" s="1219" t="s">
        <v>3115</v>
      </c>
      <c r="B2" s="1219"/>
      <c r="D2" s="1219"/>
      <c r="E2" s="1219"/>
      <c r="F2" s="1219"/>
      <c r="G2" s="1219"/>
      <c r="H2" s="1220">
        <v>1</v>
      </c>
      <c r="I2" s="1220">
        <v>2</v>
      </c>
      <c r="J2" s="1220">
        <v>3</v>
      </c>
      <c r="K2" s="1220">
        <v>4</v>
      </c>
      <c r="L2" s="1220">
        <v>5</v>
      </c>
      <c r="M2" s="1220">
        <v>6</v>
      </c>
      <c r="N2" s="1220">
        <v>7</v>
      </c>
      <c r="O2" s="1220">
        <v>8</v>
      </c>
      <c r="P2" s="1220">
        <v>9</v>
      </c>
      <c r="Q2" s="1220">
        <v>10</v>
      </c>
      <c r="R2" s="1220">
        <v>11</v>
      </c>
      <c r="S2" s="1220">
        <v>12</v>
      </c>
      <c r="T2" s="1219"/>
    </row>
    <row r="3" spans="1:24" ht="15.75" thickBot="1">
      <c r="H3" s="1222" t="str">
        <f>+IF(VLOOKUP(H2,Parametres!$L$3:$N$14,3,0)="X","REEL","FORECAST")</f>
        <v>REEL</v>
      </c>
      <c r="I3" s="1222" t="str">
        <f>+IF(VLOOKUP(I2,Parametres!$L$3:$N$14,3,0)="X","REEL","FORECAST")</f>
        <v>FORECAST</v>
      </c>
      <c r="J3" s="1222" t="str">
        <f>+IF(VLOOKUP(J2,Parametres!$L$3:$N$14,3,0)="X","REEL","FORECAST")</f>
        <v>FORECAST</v>
      </c>
      <c r="K3" s="1222" t="str">
        <f>+IF(VLOOKUP(K2,Parametres!$L$3:$N$14,3,0)="X","REEL","FORECAST")</f>
        <v>FORECAST</v>
      </c>
      <c r="L3" s="1222" t="str">
        <f>+IF(VLOOKUP(L2,Parametres!$L$3:$N$14,3,0)="X","REEL","FORECAST")</f>
        <v>FORECAST</v>
      </c>
      <c r="M3" s="1222" t="str">
        <f>+IF(VLOOKUP(M2,Parametres!$L$3:$N$14,3,0)="X","REEL","FORECAST")</f>
        <v>FORECAST</v>
      </c>
      <c r="N3" s="1222" t="str">
        <f>+IF(VLOOKUP(N2,Parametres!$L$3:$N$14,3,0)="X","REEL","FORECAST")</f>
        <v>FORECAST</v>
      </c>
      <c r="O3" s="1222" t="str">
        <f>+IF(VLOOKUP(O2,Parametres!$L$3:$N$14,3,0)="X","REEL","FORECAST")</f>
        <v>FORECAST</v>
      </c>
      <c r="P3" s="1222" t="str">
        <f>+IF(VLOOKUP(P2,Parametres!$L$3:$N$14,3,0)="X","REEL","FORECAST")</f>
        <v>FORECAST</v>
      </c>
      <c r="Q3" s="1222" t="str">
        <f>+IF(VLOOKUP(Q2,Parametres!$L$3:$N$14,3,0)="X","REEL","FORECAST")</f>
        <v>FORECAST</v>
      </c>
      <c r="R3" s="1222" t="str">
        <f>+IF(VLOOKUP(R2,Parametres!$L$3:$N$14,3,0)="X","REEL","FORECAST")</f>
        <v>FORECAST</v>
      </c>
      <c r="S3" s="1222" t="str">
        <f>+IF(VLOOKUP(S2,Parametres!$L$3:$N$14,3,0)="X","REEL","FORECAST")</f>
        <v>FORECAST</v>
      </c>
      <c r="T3" s="1218"/>
    </row>
    <row r="4" spans="1:24" s="1227" customFormat="1" ht="30" customHeight="1" thickBot="1">
      <c r="A4" s="1283" t="s">
        <v>3116</v>
      </c>
      <c r="B4" s="1283" t="s">
        <v>3117</v>
      </c>
      <c r="C4" s="1223" t="s">
        <v>3118</v>
      </c>
      <c r="D4" s="1224" t="s">
        <v>3119</v>
      </c>
      <c r="E4" s="1225" t="s">
        <v>3120</v>
      </c>
      <c r="F4" s="1223" t="s">
        <v>3121</v>
      </c>
      <c r="G4" s="1223" t="s">
        <v>3122</v>
      </c>
      <c r="H4" s="1225" t="s">
        <v>3123</v>
      </c>
      <c r="I4" s="1223" t="s">
        <v>3124</v>
      </c>
      <c r="J4" s="1223" t="s">
        <v>3125</v>
      </c>
      <c r="K4" s="1223" t="s">
        <v>3126</v>
      </c>
      <c r="L4" s="1223" t="s">
        <v>3127</v>
      </c>
      <c r="M4" s="1223" t="s">
        <v>3128</v>
      </c>
      <c r="N4" s="1223" t="s">
        <v>3129</v>
      </c>
      <c r="O4" s="1223" t="s">
        <v>3130</v>
      </c>
      <c r="P4" s="1223" t="s">
        <v>3131</v>
      </c>
      <c r="Q4" s="1223" t="s">
        <v>3132</v>
      </c>
      <c r="R4" s="1223" t="s">
        <v>3133</v>
      </c>
      <c r="S4" s="1223" t="s">
        <v>3134</v>
      </c>
      <c r="T4" s="1226" t="s">
        <v>3135</v>
      </c>
    </row>
    <row r="5" spans="1:24" ht="30" customHeight="1" thickBot="1">
      <c r="A5" s="1284"/>
      <c r="B5" s="1284"/>
      <c r="C5" s="1285" t="s">
        <v>3136</v>
      </c>
      <c r="D5" s="1286"/>
      <c r="E5" s="1228">
        <f t="shared" ref="E5:S5" si="0">+SUM(E6:E37)</f>
        <v>98395</v>
      </c>
      <c r="F5" s="1229">
        <f t="shared" si="0"/>
        <v>98395</v>
      </c>
      <c r="G5" s="1230">
        <f t="shared" si="0"/>
        <v>0</v>
      </c>
      <c r="H5" s="1231">
        <f t="shared" si="0"/>
        <v>0</v>
      </c>
      <c r="I5" s="1232">
        <f t="shared" si="0"/>
        <v>43695</v>
      </c>
      <c r="J5" s="1232">
        <f t="shared" si="0"/>
        <v>12100</v>
      </c>
      <c r="K5" s="1232">
        <f t="shared" si="0"/>
        <v>3000</v>
      </c>
      <c r="L5" s="1232">
        <f t="shared" si="0"/>
        <v>0</v>
      </c>
      <c r="M5" s="1232">
        <f t="shared" si="0"/>
        <v>22200</v>
      </c>
      <c r="N5" s="1232">
        <f t="shared" si="0"/>
        <v>0</v>
      </c>
      <c r="O5" s="1232">
        <f t="shared" si="0"/>
        <v>0</v>
      </c>
      <c r="P5" s="1232">
        <f t="shared" si="0"/>
        <v>9200</v>
      </c>
      <c r="Q5" s="1232">
        <f t="shared" si="0"/>
        <v>0</v>
      </c>
      <c r="R5" s="1232">
        <f t="shared" si="0"/>
        <v>0</v>
      </c>
      <c r="S5" s="1232">
        <f t="shared" si="0"/>
        <v>8200</v>
      </c>
      <c r="T5" s="1233"/>
      <c r="X5" s="1227" t="s">
        <v>49</v>
      </c>
    </row>
    <row r="6" spans="1:24" ht="30" customHeight="1">
      <c r="A6" s="1234" t="str">
        <f>+Parametres!$B$1</f>
        <v>Volks</v>
      </c>
      <c r="B6" s="1235" t="s">
        <v>2853</v>
      </c>
      <c r="C6" s="1236" t="s">
        <v>3143</v>
      </c>
      <c r="D6" s="1237" t="s">
        <v>124</v>
      </c>
      <c r="E6" s="1238">
        <f>+SUM(H6:S6)</f>
        <v>3000</v>
      </c>
      <c r="F6" s="1238">
        <v>3000</v>
      </c>
      <c r="G6" s="1238">
        <f>+E6-F6</f>
        <v>0</v>
      </c>
      <c r="H6" s="1239"/>
      <c r="I6" s="1238"/>
      <c r="J6" s="1238">
        <v>1000</v>
      </c>
      <c r="K6" s="1238"/>
      <c r="L6" s="1238"/>
      <c r="M6" s="1238">
        <v>1000</v>
      </c>
      <c r="N6" s="1238"/>
      <c r="O6" s="1238"/>
      <c r="P6" s="1238">
        <v>1000</v>
      </c>
      <c r="Q6" s="1238"/>
      <c r="R6" s="1238"/>
      <c r="S6" s="1238"/>
      <c r="T6" s="1240" t="s">
        <v>3150</v>
      </c>
      <c r="X6" s="1218" t="s">
        <v>51</v>
      </c>
    </row>
    <row r="7" spans="1:24" ht="30" customHeight="1">
      <c r="A7" s="1240" t="str">
        <f>+Parametres!$B$1</f>
        <v>Volks</v>
      </c>
      <c r="B7" s="1241" t="s">
        <v>2853</v>
      </c>
      <c r="C7" s="1242" t="s">
        <v>57</v>
      </c>
      <c r="D7" s="1237" t="s">
        <v>3140</v>
      </c>
      <c r="E7" s="1239">
        <f t="shared" ref="E7:E37" si="1">+SUM(H7:S7)</f>
        <v>5000</v>
      </c>
      <c r="F7" s="1238">
        <v>5000</v>
      </c>
      <c r="G7" s="1238">
        <f t="shared" ref="G7:G37" si="2">+E7-F7</f>
        <v>0</v>
      </c>
      <c r="H7" s="1239"/>
      <c r="I7" s="1238"/>
      <c r="J7" s="1238">
        <f>$F$7/4</f>
        <v>1250</v>
      </c>
      <c r="K7" s="1238"/>
      <c r="L7" s="1238"/>
      <c r="M7" s="1238">
        <f>$F$7/4</f>
        <v>1250</v>
      </c>
      <c r="N7" s="1238"/>
      <c r="O7" s="1238"/>
      <c r="P7" s="1238">
        <f>$F$7/4</f>
        <v>1250</v>
      </c>
      <c r="Q7" s="1238"/>
      <c r="R7" s="1238"/>
      <c r="S7" s="1238">
        <f>$F$7/4</f>
        <v>1250</v>
      </c>
      <c r="T7" s="1240" t="s">
        <v>3151</v>
      </c>
      <c r="X7" s="1218" t="s">
        <v>53</v>
      </c>
    </row>
    <row r="8" spans="1:24" ht="55.5" customHeight="1">
      <c r="A8" s="1240" t="str">
        <f>+Parametres!$B$1</f>
        <v>Volks</v>
      </c>
      <c r="B8" s="1241" t="s">
        <v>2853</v>
      </c>
      <c r="C8" s="1242" t="s">
        <v>53</v>
      </c>
      <c r="D8" s="1237" t="s">
        <v>3141</v>
      </c>
      <c r="E8" s="1239">
        <f t="shared" si="1"/>
        <v>5000</v>
      </c>
      <c r="F8" s="1238">
        <v>5000</v>
      </c>
      <c r="G8" s="1238">
        <f t="shared" si="2"/>
        <v>0</v>
      </c>
      <c r="H8" s="1239"/>
      <c r="I8" s="1238"/>
      <c r="J8" s="1238">
        <f>$F$8/4</f>
        <v>1250</v>
      </c>
      <c r="K8" s="1238"/>
      <c r="L8" s="1238"/>
      <c r="M8" s="1238">
        <f>$F$8/4</f>
        <v>1250</v>
      </c>
      <c r="N8" s="1238"/>
      <c r="O8" s="1238"/>
      <c r="P8" s="1238">
        <f>$F$8/4</f>
        <v>1250</v>
      </c>
      <c r="Q8" s="1238"/>
      <c r="R8" s="1238"/>
      <c r="S8" s="1238">
        <f>$F$8/4</f>
        <v>1250</v>
      </c>
      <c r="T8" s="1240" t="s">
        <v>3152</v>
      </c>
      <c r="X8" s="1218" t="s">
        <v>55</v>
      </c>
    </row>
    <row r="9" spans="1:24" ht="30" customHeight="1">
      <c r="A9" s="1240" t="str">
        <f>+Parametres!$B$1</f>
        <v>Volks</v>
      </c>
      <c r="B9" s="1241" t="s">
        <v>2853</v>
      </c>
      <c r="C9" s="1242" t="s">
        <v>3146</v>
      </c>
      <c r="D9" s="1237" t="s">
        <v>3147</v>
      </c>
      <c r="E9" s="1239">
        <f t="shared" si="1"/>
        <v>3000</v>
      </c>
      <c r="F9" s="1238">
        <v>3000</v>
      </c>
      <c r="G9" s="1238">
        <f t="shared" si="2"/>
        <v>0</v>
      </c>
      <c r="H9" s="1239"/>
      <c r="I9" s="1238"/>
      <c r="J9" s="1238"/>
      <c r="K9" s="1238"/>
      <c r="L9" s="1238"/>
      <c r="M9" s="1238">
        <v>3000</v>
      </c>
      <c r="N9" s="1238"/>
      <c r="O9" s="1238"/>
      <c r="P9" s="1238"/>
      <c r="Q9" s="1238"/>
      <c r="R9" s="1238"/>
      <c r="S9" s="1238"/>
      <c r="T9" s="1240" t="s">
        <v>3152</v>
      </c>
      <c r="X9" s="1218" t="s">
        <v>58</v>
      </c>
    </row>
    <row r="10" spans="1:24" ht="30" customHeight="1">
      <c r="A10" s="1240" t="str">
        <f>+Parametres!$B$1</f>
        <v>Volks</v>
      </c>
      <c r="B10" s="1241" t="s">
        <v>2853</v>
      </c>
      <c r="C10" s="1242" t="s">
        <v>3145</v>
      </c>
      <c r="D10" s="1237" t="s">
        <v>3140</v>
      </c>
      <c r="E10" s="1239">
        <f t="shared" si="1"/>
        <v>10000</v>
      </c>
      <c r="F10" s="1238">
        <v>10000</v>
      </c>
      <c r="G10" s="1238">
        <f t="shared" si="2"/>
        <v>0</v>
      </c>
      <c r="H10" s="1239"/>
      <c r="I10" s="1238"/>
      <c r="J10" s="1238"/>
      <c r="K10" s="1238"/>
      <c r="L10" s="1238"/>
      <c r="M10" s="1238">
        <v>10000</v>
      </c>
      <c r="N10" s="1238"/>
      <c r="O10" s="1238"/>
      <c r="P10" s="1238"/>
      <c r="Q10" s="1238"/>
      <c r="R10" s="1238"/>
      <c r="S10" s="1238"/>
      <c r="T10" s="1240" t="s">
        <v>3153</v>
      </c>
      <c r="X10" s="1218" t="s">
        <v>59</v>
      </c>
    </row>
    <row r="11" spans="1:24" ht="30" customHeight="1">
      <c r="A11" s="1240" t="str">
        <f>+Parametres!$B$1</f>
        <v>Volks</v>
      </c>
      <c r="B11" s="1241" t="s">
        <v>2853</v>
      </c>
      <c r="C11" s="1242" t="s">
        <v>3142</v>
      </c>
      <c r="D11" s="1237" t="s">
        <v>3140</v>
      </c>
      <c r="E11" s="1239">
        <f t="shared" si="1"/>
        <v>900</v>
      </c>
      <c r="F11" s="1238">
        <v>900</v>
      </c>
      <c r="G11" s="1238">
        <f t="shared" si="2"/>
        <v>0</v>
      </c>
      <c r="H11" s="1239"/>
      <c r="I11" s="1238"/>
      <c r="J11" s="1238">
        <v>900</v>
      </c>
      <c r="K11" s="1238"/>
      <c r="L11" s="1238"/>
      <c r="M11" s="1238"/>
      <c r="N11" s="1238"/>
      <c r="O11" s="1238"/>
      <c r="P11" s="1238"/>
      <c r="Q11" s="1238"/>
      <c r="R11" s="1238"/>
      <c r="S11" s="1238"/>
      <c r="T11" s="1240"/>
      <c r="X11" s="1218" t="s">
        <v>60</v>
      </c>
    </row>
    <row r="12" spans="1:24" ht="30" customHeight="1">
      <c r="A12" s="1240" t="str">
        <f>+Parametres!$B$1</f>
        <v>Volks</v>
      </c>
      <c r="B12" s="1241" t="s">
        <v>2853</v>
      </c>
      <c r="C12" s="1242" t="s">
        <v>3139</v>
      </c>
      <c r="D12" s="1237" t="s">
        <v>3140</v>
      </c>
      <c r="E12" s="1239">
        <f t="shared" si="1"/>
        <v>22800</v>
      </c>
      <c r="F12" s="1238">
        <v>22800</v>
      </c>
      <c r="G12" s="1238">
        <f t="shared" si="2"/>
        <v>0</v>
      </c>
      <c r="H12" s="1239"/>
      <c r="I12" s="1238"/>
      <c r="J12" s="1238">
        <f>$F$12/4</f>
        <v>5700</v>
      </c>
      <c r="K12" s="1238"/>
      <c r="L12" s="1238"/>
      <c r="M12" s="1238">
        <f>$F$12/4</f>
        <v>5700</v>
      </c>
      <c r="N12" s="1238"/>
      <c r="O12" s="1238"/>
      <c r="P12" s="1238">
        <f>$F$12/4</f>
        <v>5700</v>
      </c>
      <c r="Q12" s="1238"/>
      <c r="R12" s="1238"/>
      <c r="S12" s="1238">
        <f>$F$12/4</f>
        <v>5700</v>
      </c>
      <c r="T12" s="1240"/>
      <c r="X12" s="1218" t="s">
        <v>62</v>
      </c>
    </row>
    <row r="13" spans="1:24" ht="30" customHeight="1">
      <c r="A13" s="1240" t="str">
        <f>+Parametres!$B$1</f>
        <v>Volks</v>
      </c>
      <c r="B13" s="1241" t="s">
        <v>2853</v>
      </c>
      <c r="C13" s="1242" t="s">
        <v>3149</v>
      </c>
      <c r="D13" s="1237" t="s">
        <v>3140</v>
      </c>
      <c r="E13" s="1239">
        <f t="shared" si="1"/>
        <v>2000</v>
      </c>
      <c r="F13" s="1238">
        <v>2000</v>
      </c>
      <c r="G13" s="1238">
        <f t="shared" si="2"/>
        <v>0</v>
      </c>
      <c r="H13" s="1239"/>
      <c r="I13" s="1238"/>
      <c r="J13" s="1238">
        <v>2000</v>
      </c>
      <c r="K13" s="1238"/>
      <c r="L13" s="1238"/>
      <c r="M13" s="1238"/>
      <c r="N13" s="1238"/>
      <c r="O13" s="1238"/>
      <c r="P13" s="1238"/>
      <c r="Q13" s="1238"/>
      <c r="R13" s="1238"/>
      <c r="S13" s="1238"/>
      <c r="T13" s="1240"/>
    </row>
    <row r="14" spans="1:24" ht="30" customHeight="1">
      <c r="A14" s="1240" t="str">
        <f>+Parametres!$B$1</f>
        <v>Volks</v>
      </c>
      <c r="B14" s="1241" t="s">
        <v>2853</v>
      </c>
      <c r="C14" s="1242" t="s">
        <v>3148</v>
      </c>
      <c r="D14" s="1237" t="s">
        <v>3140</v>
      </c>
      <c r="E14" s="1239">
        <f t="shared" si="1"/>
        <v>3000</v>
      </c>
      <c r="F14" s="1238">
        <v>3000</v>
      </c>
      <c r="G14" s="1238">
        <f t="shared" si="2"/>
        <v>0</v>
      </c>
      <c r="H14" s="1239"/>
      <c r="I14" s="1238"/>
      <c r="J14" s="1238"/>
      <c r="K14" s="1238">
        <v>3000</v>
      </c>
      <c r="L14" s="1238"/>
      <c r="M14" s="1238"/>
      <c r="N14" s="1238"/>
      <c r="O14" s="1238"/>
      <c r="P14" s="1238"/>
      <c r="Q14" s="1238"/>
      <c r="R14" s="1238"/>
      <c r="S14" s="1238"/>
      <c r="T14" s="1240"/>
    </row>
    <row r="15" spans="1:24" ht="30" customHeight="1">
      <c r="A15" s="1240" t="str">
        <f>+Parametres!$B$1</f>
        <v>Volks</v>
      </c>
      <c r="B15" s="1241" t="s">
        <v>3137</v>
      </c>
      <c r="C15" s="1242" t="s">
        <v>3144</v>
      </c>
      <c r="D15" s="1237" t="s">
        <v>3141</v>
      </c>
      <c r="E15" s="1239">
        <f t="shared" si="1"/>
        <v>42195</v>
      </c>
      <c r="F15" s="1238">
        <v>42195</v>
      </c>
      <c r="G15" s="1238">
        <f t="shared" si="2"/>
        <v>0</v>
      </c>
      <c r="H15" s="1239"/>
      <c r="I15" s="1238">
        <v>42195</v>
      </c>
      <c r="J15" s="1238"/>
      <c r="K15" s="1238"/>
      <c r="L15" s="1238"/>
      <c r="M15" s="1238"/>
      <c r="N15" s="1238"/>
      <c r="O15" s="1238"/>
      <c r="P15" s="1238"/>
      <c r="Q15" s="1238"/>
      <c r="R15" s="1238"/>
      <c r="S15" s="1238"/>
      <c r="T15" s="1240"/>
    </row>
    <row r="16" spans="1:24" ht="30" customHeight="1">
      <c r="A16" s="1240" t="str">
        <f>+Parametres!$B$1</f>
        <v>Volks</v>
      </c>
      <c r="B16" s="1241" t="s">
        <v>3137</v>
      </c>
      <c r="C16" s="1242" t="s">
        <v>3138</v>
      </c>
      <c r="D16" s="1237" t="s">
        <v>124</v>
      </c>
      <c r="E16" s="1239">
        <f t="shared" si="1"/>
        <v>1500</v>
      </c>
      <c r="F16" s="1238">
        <v>1500</v>
      </c>
      <c r="G16" s="1238">
        <f t="shared" si="2"/>
        <v>0</v>
      </c>
      <c r="H16" s="1239"/>
      <c r="I16" s="1238">
        <v>1500</v>
      </c>
      <c r="J16" s="1238"/>
      <c r="K16" s="1238"/>
      <c r="L16" s="1238"/>
      <c r="M16" s="1238"/>
      <c r="N16" s="1238"/>
      <c r="O16" s="1238"/>
      <c r="P16" s="1238"/>
      <c r="Q16" s="1238"/>
      <c r="R16" s="1238"/>
      <c r="S16" s="1238"/>
      <c r="T16" s="1240"/>
    </row>
    <row r="17" spans="1:20" ht="30" customHeight="1">
      <c r="A17" s="1240" t="str">
        <f>+Parametres!$B$1</f>
        <v>Volks</v>
      </c>
      <c r="B17" s="1241" t="s">
        <v>3137</v>
      </c>
      <c r="C17" s="1242"/>
      <c r="D17" s="1237"/>
      <c r="E17" s="1239">
        <f t="shared" si="1"/>
        <v>0</v>
      </c>
      <c r="F17" s="1238"/>
      <c r="G17" s="1238">
        <f t="shared" si="2"/>
        <v>0</v>
      </c>
      <c r="H17" s="1239"/>
      <c r="I17" s="1238"/>
      <c r="J17" s="1238"/>
      <c r="K17" s="1238"/>
      <c r="L17" s="1238"/>
      <c r="M17" s="1238"/>
      <c r="N17" s="1238"/>
      <c r="O17" s="1238"/>
      <c r="P17" s="1238"/>
      <c r="Q17" s="1238"/>
      <c r="R17" s="1238"/>
      <c r="S17" s="1238"/>
      <c r="T17" s="1240"/>
    </row>
    <row r="18" spans="1:20" ht="30" customHeight="1">
      <c r="A18" s="1240" t="str">
        <f>+Parametres!$B$1</f>
        <v>Volks</v>
      </c>
      <c r="B18" s="1241" t="s">
        <v>3137</v>
      </c>
      <c r="C18" s="1242"/>
      <c r="D18" s="1237"/>
      <c r="E18" s="1239">
        <f t="shared" si="1"/>
        <v>0</v>
      </c>
      <c r="F18" s="1238"/>
      <c r="G18" s="1238">
        <f t="shared" si="2"/>
        <v>0</v>
      </c>
      <c r="H18" s="1239"/>
      <c r="I18" s="1238"/>
      <c r="J18" s="1238"/>
      <c r="K18" s="1238"/>
      <c r="L18" s="1238"/>
      <c r="M18" s="1238"/>
      <c r="N18" s="1238"/>
      <c r="O18" s="1238"/>
      <c r="P18" s="1238"/>
      <c r="Q18" s="1238"/>
      <c r="R18" s="1238"/>
      <c r="S18" s="1238"/>
      <c r="T18" s="1240"/>
    </row>
    <row r="19" spans="1:20" ht="30" customHeight="1">
      <c r="A19" s="1240" t="str">
        <f>+Parametres!$B$1</f>
        <v>Volks</v>
      </c>
      <c r="B19" s="1241" t="s">
        <v>3137</v>
      </c>
      <c r="C19" s="1242"/>
      <c r="D19" s="1237"/>
      <c r="E19" s="1239">
        <f t="shared" si="1"/>
        <v>0</v>
      </c>
      <c r="F19" s="1238"/>
      <c r="G19" s="1238">
        <f t="shared" si="2"/>
        <v>0</v>
      </c>
      <c r="H19" s="1239"/>
      <c r="I19" s="1238"/>
      <c r="J19" s="1238"/>
      <c r="K19" s="1238"/>
      <c r="L19" s="1238"/>
      <c r="M19" s="1238"/>
      <c r="N19" s="1238"/>
      <c r="O19" s="1238"/>
      <c r="P19" s="1238"/>
      <c r="Q19" s="1238"/>
      <c r="R19" s="1238"/>
      <c r="S19" s="1238"/>
      <c r="T19" s="1240"/>
    </row>
    <row r="20" spans="1:20" ht="30" customHeight="1">
      <c r="A20" s="1240" t="str">
        <f>+Parametres!$B$1</f>
        <v>Volks</v>
      </c>
      <c r="B20" s="1241" t="s">
        <v>3137</v>
      </c>
      <c r="C20" s="1242"/>
      <c r="D20" s="1237"/>
      <c r="E20" s="1239">
        <f t="shared" si="1"/>
        <v>0</v>
      </c>
      <c r="F20" s="1238"/>
      <c r="G20" s="1238">
        <f t="shared" si="2"/>
        <v>0</v>
      </c>
      <c r="H20" s="1239"/>
      <c r="I20" s="1238"/>
      <c r="J20" s="1238"/>
      <c r="K20" s="1238"/>
      <c r="L20" s="1238"/>
      <c r="M20" s="1238"/>
      <c r="N20" s="1238"/>
      <c r="O20" s="1238"/>
      <c r="P20" s="1238"/>
      <c r="Q20" s="1238"/>
      <c r="R20" s="1238"/>
      <c r="S20" s="1238"/>
      <c r="T20" s="1240"/>
    </row>
    <row r="21" spans="1:20" ht="30" customHeight="1">
      <c r="A21" s="1240" t="str">
        <f>+Parametres!$B$1</f>
        <v>Volks</v>
      </c>
      <c r="B21" s="1241" t="s">
        <v>3137</v>
      </c>
      <c r="C21" s="1242"/>
      <c r="D21" s="1237"/>
      <c r="E21" s="1239">
        <f t="shared" si="1"/>
        <v>0</v>
      </c>
      <c r="F21" s="1238"/>
      <c r="G21" s="1238">
        <f t="shared" si="2"/>
        <v>0</v>
      </c>
      <c r="H21" s="1239"/>
      <c r="I21" s="1238"/>
      <c r="J21" s="1238"/>
      <c r="K21" s="1238"/>
      <c r="L21" s="1238"/>
      <c r="M21" s="1238"/>
      <c r="N21" s="1238"/>
      <c r="O21" s="1238"/>
      <c r="P21" s="1238"/>
      <c r="Q21" s="1238"/>
      <c r="R21" s="1238"/>
      <c r="S21" s="1238"/>
      <c r="T21" s="1240"/>
    </row>
    <row r="22" spans="1:20" ht="30" customHeight="1">
      <c r="A22" s="1240" t="str">
        <f>+Parametres!$B$1</f>
        <v>Volks</v>
      </c>
      <c r="B22" s="1241" t="s">
        <v>3137</v>
      </c>
      <c r="C22" s="1242"/>
      <c r="D22" s="1237"/>
      <c r="E22" s="1239">
        <f t="shared" si="1"/>
        <v>0</v>
      </c>
      <c r="F22" s="1238"/>
      <c r="G22" s="1238">
        <f t="shared" si="2"/>
        <v>0</v>
      </c>
      <c r="H22" s="1239"/>
      <c r="I22" s="1238"/>
      <c r="J22" s="1238"/>
      <c r="K22" s="1238"/>
      <c r="L22" s="1238"/>
      <c r="M22" s="1238"/>
      <c r="N22" s="1238"/>
      <c r="O22" s="1238"/>
      <c r="P22" s="1238"/>
      <c r="Q22" s="1238"/>
      <c r="R22" s="1238"/>
      <c r="S22" s="1238"/>
      <c r="T22" s="1240"/>
    </row>
    <row r="23" spans="1:20" ht="30" customHeight="1">
      <c r="A23" s="1240" t="str">
        <f>+Parametres!$B$1</f>
        <v>Volks</v>
      </c>
      <c r="B23" s="1241" t="s">
        <v>3137</v>
      </c>
      <c r="C23" s="1242"/>
      <c r="D23" s="1237"/>
      <c r="E23" s="1239">
        <f t="shared" si="1"/>
        <v>0</v>
      </c>
      <c r="F23" s="1238"/>
      <c r="G23" s="1238">
        <f t="shared" si="2"/>
        <v>0</v>
      </c>
      <c r="H23" s="1239"/>
      <c r="I23" s="1238"/>
      <c r="J23" s="1238"/>
      <c r="K23" s="1238"/>
      <c r="L23" s="1238"/>
      <c r="M23" s="1238"/>
      <c r="N23" s="1238"/>
      <c r="O23" s="1238"/>
      <c r="P23" s="1238"/>
      <c r="Q23" s="1238"/>
      <c r="R23" s="1238"/>
      <c r="S23" s="1238"/>
      <c r="T23" s="1240"/>
    </row>
    <row r="24" spans="1:20" ht="30" customHeight="1">
      <c r="A24" s="1240" t="str">
        <f>+Parametres!$B$1</f>
        <v>Volks</v>
      </c>
      <c r="B24" s="1241" t="s">
        <v>3137</v>
      </c>
      <c r="C24" s="1242"/>
      <c r="D24" s="1237"/>
      <c r="E24" s="1239">
        <f t="shared" si="1"/>
        <v>0</v>
      </c>
      <c r="F24" s="1238"/>
      <c r="G24" s="1238">
        <f t="shared" si="2"/>
        <v>0</v>
      </c>
      <c r="H24" s="1239"/>
      <c r="I24" s="1238"/>
      <c r="J24" s="1238"/>
      <c r="K24" s="1238"/>
      <c r="L24" s="1238"/>
      <c r="M24" s="1238"/>
      <c r="N24" s="1238"/>
      <c r="O24" s="1238"/>
      <c r="P24" s="1238"/>
      <c r="Q24" s="1238"/>
      <c r="R24" s="1238"/>
      <c r="S24" s="1238"/>
      <c r="T24" s="1240"/>
    </row>
    <row r="25" spans="1:20" ht="30" customHeight="1">
      <c r="A25" s="1240" t="str">
        <f>+Parametres!$B$1</f>
        <v>Volks</v>
      </c>
      <c r="B25" s="1241" t="s">
        <v>3137</v>
      </c>
      <c r="C25" s="1242"/>
      <c r="D25" s="1237"/>
      <c r="E25" s="1239">
        <f t="shared" si="1"/>
        <v>0</v>
      </c>
      <c r="F25" s="1238"/>
      <c r="G25" s="1238">
        <f t="shared" si="2"/>
        <v>0</v>
      </c>
      <c r="H25" s="1239"/>
      <c r="I25" s="1238"/>
      <c r="J25" s="1238"/>
      <c r="K25" s="1238"/>
      <c r="L25" s="1238"/>
      <c r="M25" s="1238"/>
      <c r="N25" s="1238"/>
      <c r="O25" s="1238"/>
      <c r="P25" s="1238"/>
      <c r="Q25" s="1238"/>
      <c r="R25" s="1238"/>
      <c r="S25" s="1238"/>
      <c r="T25" s="1240"/>
    </row>
    <row r="26" spans="1:20" ht="30" customHeight="1">
      <c r="A26" s="1240" t="str">
        <f>+Parametres!$B$1</f>
        <v>Volks</v>
      </c>
      <c r="B26" s="1241" t="s">
        <v>3137</v>
      </c>
      <c r="C26" s="1242"/>
      <c r="D26" s="1237"/>
      <c r="E26" s="1239">
        <f t="shared" si="1"/>
        <v>0</v>
      </c>
      <c r="F26" s="1238"/>
      <c r="G26" s="1238">
        <f t="shared" si="2"/>
        <v>0</v>
      </c>
      <c r="H26" s="1239"/>
      <c r="I26" s="1238"/>
      <c r="J26" s="1238"/>
      <c r="K26" s="1238"/>
      <c r="L26" s="1238"/>
      <c r="M26" s="1238"/>
      <c r="N26" s="1238"/>
      <c r="O26" s="1238"/>
      <c r="P26" s="1238"/>
      <c r="Q26" s="1238"/>
      <c r="R26" s="1238"/>
      <c r="S26" s="1238"/>
      <c r="T26" s="1240"/>
    </row>
    <row r="27" spans="1:20" ht="30" customHeight="1">
      <c r="A27" s="1240" t="str">
        <f>+Parametres!$B$1</f>
        <v>Volks</v>
      </c>
      <c r="B27" s="1241" t="s">
        <v>3137</v>
      </c>
      <c r="C27" s="1242"/>
      <c r="D27" s="1237"/>
      <c r="E27" s="1239">
        <f t="shared" si="1"/>
        <v>0</v>
      </c>
      <c r="F27" s="1238"/>
      <c r="G27" s="1238">
        <f t="shared" si="2"/>
        <v>0</v>
      </c>
      <c r="H27" s="1239"/>
      <c r="I27" s="1238"/>
      <c r="J27" s="1238"/>
      <c r="K27" s="1238"/>
      <c r="L27" s="1238"/>
      <c r="M27" s="1238"/>
      <c r="N27" s="1238"/>
      <c r="O27" s="1238"/>
      <c r="P27" s="1238"/>
      <c r="Q27" s="1238"/>
      <c r="R27" s="1238"/>
      <c r="S27" s="1238"/>
      <c r="T27" s="1240"/>
    </row>
    <row r="28" spans="1:20" ht="30" customHeight="1">
      <c r="A28" s="1240" t="str">
        <f>+Parametres!$B$1</f>
        <v>Volks</v>
      </c>
      <c r="B28" s="1241" t="s">
        <v>3137</v>
      </c>
      <c r="C28" s="1242"/>
      <c r="D28" s="1237"/>
      <c r="E28" s="1239">
        <f t="shared" si="1"/>
        <v>0</v>
      </c>
      <c r="F28" s="1238"/>
      <c r="G28" s="1238">
        <f t="shared" si="2"/>
        <v>0</v>
      </c>
      <c r="H28" s="1239"/>
      <c r="I28" s="1238"/>
      <c r="J28" s="1238"/>
      <c r="K28" s="1238"/>
      <c r="L28" s="1238"/>
      <c r="M28" s="1238"/>
      <c r="N28" s="1238"/>
      <c r="O28" s="1238"/>
      <c r="P28" s="1238"/>
      <c r="Q28" s="1238"/>
      <c r="R28" s="1238"/>
      <c r="S28" s="1238"/>
      <c r="T28" s="1240"/>
    </row>
    <row r="29" spans="1:20" ht="30" customHeight="1">
      <c r="A29" s="1240" t="str">
        <f>+Parametres!$B$1</f>
        <v>Volks</v>
      </c>
      <c r="B29" s="1241" t="s">
        <v>3137</v>
      </c>
      <c r="C29" s="1242"/>
      <c r="D29" s="1237"/>
      <c r="E29" s="1239">
        <f t="shared" si="1"/>
        <v>0</v>
      </c>
      <c r="F29" s="1238"/>
      <c r="G29" s="1238">
        <f t="shared" si="2"/>
        <v>0</v>
      </c>
      <c r="H29" s="1239"/>
      <c r="I29" s="1238"/>
      <c r="J29" s="1238"/>
      <c r="K29" s="1238"/>
      <c r="L29" s="1238"/>
      <c r="M29" s="1238"/>
      <c r="N29" s="1238"/>
      <c r="O29" s="1238"/>
      <c r="P29" s="1238"/>
      <c r="Q29" s="1238"/>
      <c r="R29" s="1238"/>
      <c r="S29" s="1238"/>
      <c r="T29" s="1240"/>
    </row>
    <row r="30" spans="1:20" ht="30" customHeight="1">
      <c r="A30" s="1240" t="str">
        <f>+Parametres!$B$1</f>
        <v>Volks</v>
      </c>
      <c r="B30" s="1241" t="s">
        <v>3137</v>
      </c>
      <c r="C30" s="1242"/>
      <c r="D30" s="1237"/>
      <c r="E30" s="1239">
        <f t="shared" si="1"/>
        <v>0</v>
      </c>
      <c r="F30" s="1238"/>
      <c r="G30" s="1238">
        <f t="shared" si="2"/>
        <v>0</v>
      </c>
      <c r="H30" s="1239"/>
      <c r="I30" s="1238"/>
      <c r="J30" s="1238"/>
      <c r="K30" s="1238"/>
      <c r="L30" s="1238"/>
      <c r="M30" s="1238"/>
      <c r="N30" s="1238"/>
      <c r="O30" s="1238"/>
      <c r="P30" s="1238"/>
      <c r="Q30" s="1238"/>
      <c r="R30" s="1238"/>
      <c r="S30" s="1238"/>
      <c r="T30" s="1240"/>
    </row>
    <row r="31" spans="1:20" ht="30" customHeight="1">
      <c r="A31" s="1240" t="str">
        <f>+Parametres!$B$1</f>
        <v>Volks</v>
      </c>
      <c r="B31" s="1241" t="s">
        <v>3137</v>
      </c>
      <c r="C31" s="1242"/>
      <c r="D31" s="1237"/>
      <c r="E31" s="1239">
        <f t="shared" si="1"/>
        <v>0</v>
      </c>
      <c r="F31" s="1238"/>
      <c r="G31" s="1238">
        <f t="shared" si="2"/>
        <v>0</v>
      </c>
      <c r="H31" s="1239"/>
      <c r="I31" s="1238"/>
      <c r="J31" s="1238"/>
      <c r="K31" s="1238"/>
      <c r="L31" s="1238"/>
      <c r="M31" s="1238"/>
      <c r="N31" s="1238"/>
      <c r="O31" s="1238"/>
      <c r="P31" s="1238"/>
      <c r="Q31" s="1238"/>
      <c r="R31" s="1238"/>
      <c r="S31" s="1238"/>
      <c r="T31" s="1240"/>
    </row>
    <row r="32" spans="1:20" ht="30" customHeight="1">
      <c r="A32" s="1240" t="str">
        <f>+Parametres!$B$1</f>
        <v>Volks</v>
      </c>
      <c r="B32" s="1241" t="s">
        <v>3137</v>
      </c>
      <c r="C32" s="1242"/>
      <c r="D32" s="1237"/>
      <c r="E32" s="1239">
        <f t="shared" si="1"/>
        <v>0</v>
      </c>
      <c r="F32" s="1238"/>
      <c r="G32" s="1238">
        <f t="shared" si="2"/>
        <v>0</v>
      </c>
      <c r="H32" s="1239"/>
      <c r="I32" s="1238"/>
      <c r="J32" s="1238"/>
      <c r="K32" s="1238"/>
      <c r="L32" s="1238"/>
      <c r="M32" s="1238"/>
      <c r="N32" s="1238"/>
      <c r="O32" s="1238"/>
      <c r="P32" s="1238"/>
      <c r="Q32" s="1238"/>
      <c r="R32" s="1238"/>
      <c r="S32" s="1238"/>
      <c r="T32" s="1240"/>
    </row>
    <row r="33" spans="1:24" ht="30" customHeight="1">
      <c r="A33" s="1240" t="str">
        <f>+Parametres!$B$1</f>
        <v>Volks</v>
      </c>
      <c r="B33" s="1241" t="s">
        <v>3137</v>
      </c>
      <c r="C33" s="1242"/>
      <c r="D33" s="1237"/>
      <c r="E33" s="1239">
        <f t="shared" si="1"/>
        <v>0</v>
      </c>
      <c r="F33" s="1238"/>
      <c r="G33" s="1238">
        <f t="shared" si="2"/>
        <v>0</v>
      </c>
      <c r="H33" s="1239"/>
      <c r="I33" s="1238"/>
      <c r="J33" s="1238"/>
      <c r="K33" s="1238"/>
      <c r="L33" s="1238"/>
      <c r="M33" s="1238"/>
      <c r="N33" s="1238"/>
      <c r="O33" s="1238"/>
      <c r="P33" s="1238"/>
      <c r="Q33" s="1238"/>
      <c r="R33" s="1238"/>
      <c r="S33" s="1238"/>
      <c r="T33" s="1240"/>
      <c r="X33" s="1218" t="s">
        <v>2853</v>
      </c>
    </row>
    <row r="34" spans="1:24" ht="30" customHeight="1">
      <c r="A34" s="1240" t="str">
        <f>+Parametres!$B$1</f>
        <v>Volks</v>
      </c>
      <c r="B34" s="1241" t="s">
        <v>3137</v>
      </c>
      <c r="C34" s="1242"/>
      <c r="D34" s="1237"/>
      <c r="E34" s="1239">
        <f t="shared" si="1"/>
        <v>0</v>
      </c>
      <c r="F34" s="1238"/>
      <c r="G34" s="1238">
        <f t="shared" si="2"/>
        <v>0</v>
      </c>
      <c r="H34" s="1239"/>
      <c r="I34" s="1238"/>
      <c r="J34" s="1238"/>
      <c r="K34" s="1238"/>
      <c r="L34" s="1238"/>
      <c r="M34" s="1238"/>
      <c r="N34" s="1238"/>
      <c r="O34" s="1238"/>
      <c r="P34" s="1238"/>
      <c r="Q34" s="1238"/>
      <c r="R34" s="1238"/>
      <c r="S34" s="1238"/>
      <c r="T34" s="1240"/>
      <c r="X34" s="1218" t="s">
        <v>3137</v>
      </c>
    </row>
    <row r="35" spans="1:24" ht="30" customHeight="1">
      <c r="A35" s="1240" t="str">
        <f>+Parametres!$B$1</f>
        <v>Volks</v>
      </c>
      <c r="B35" s="1241" t="s">
        <v>3137</v>
      </c>
      <c r="C35" s="1242"/>
      <c r="D35" s="1237"/>
      <c r="E35" s="1239">
        <f t="shared" si="1"/>
        <v>0</v>
      </c>
      <c r="F35" s="1238"/>
      <c r="G35" s="1238">
        <f t="shared" si="2"/>
        <v>0</v>
      </c>
      <c r="H35" s="1239"/>
      <c r="I35" s="1238"/>
      <c r="J35" s="1238"/>
      <c r="K35" s="1238"/>
      <c r="L35" s="1238"/>
      <c r="M35" s="1238"/>
      <c r="N35" s="1238"/>
      <c r="O35" s="1238"/>
      <c r="P35" s="1238"/>
      <c r="Q35" s="1238"/>
      <c r="R35" s="1238"/>
      <c r="S35" s="1238"/>
      <c r="T35" s="1240"/>
    </row>
    <row r="36" spans="1:24" ht="30" customHeight="1">
      <c r="A36" s="1240" t="str">
        <f>+Parametres!$B$1</f>
        <v>Volks</v>
      </c>
      <c r="B36" s="1241" t="s">
        <v>3137</v>
      </c>
      <c r="C36" s="1242"/>
      <c r="D36" s="1237"/>
      <c r="E36" s="1239">
        <f t="shared" si="1"/>
        <v>0</v>
      </c>
      <c r="F36" s="1238"/>
      <c r="G36" s="1238">
        <f t="shared" si="2"/>
        <v>0</v>
      </c>
      <c r="H36" s="1239"/>
      <c r="I36" s="1238"/>
      <c r="J36" s="1238"/>
      <c r="K36" s="1238"/>
      <c r="L36" s="1238"/>
      <c r="M36" s="1238"/>
      <c r="N36" s="1238"/>
      <c r="O36" s="1238"/>
      <c r="P36" s="1238"/>
      <c r="Q36" s="1238"/>
      <c r="R36" s="1238"/>
      <c r="S36" s="1238"/>
      <c r="T36" s="1240"/>
    </row>
    <row r="37" spans="1:24" ht="30" customHeight="1" thickBot="1">
      <c r="A37" s="1243" t="str">
        <f>+Parametres!$B$1</f>
        <v>Volks</v>
      </c>
      <c r="B37" s="1244" t="s">
        <v>3137</v>
      </c>
      <c r="C37" s="1245"/>
      <c r="D37" s="1246"/>
      <c r="E37" s="1247">
        <f t="shared" si="1"/>
        <v>0</v>
      </c>
      <c r="F37" s="1248"/>
      <c r="G37" s="1248">
        <f t="shared" si="2"/>
        <v>0</v>
      </c>
      <c r="H37" s="1247"/>
      <c r="I37" s="1248"/>
      <c r="J37" s="1248"/>
      <c r="K37" s="1248"/>
      <c r="L37" s="1248"/>
      <c r="M37" s="1248"/>
      <c r="N37" s="1248"/>
      <c r="O37" s="1248"/>
      <c r="P37" s="1248"/>
      <c r="Q37" s="1248"/>
      <c r="R37" s="1248"/>
      <c r="S37" s="1248"/>
      <c r="T37" s="1243"/>
    </row>
    <row r="39" spans="1:24" ht="30" customHeight="1">
      <c r="C39" s="1249"/>
      <c r="D39" s="1249"/>
    </row>
    <row r="40" spans="1:24" ht="30" customHeight="1">
      <c r="C40" s="1221"/>
    </row>
  </sheetData>
  <mergeCells count="3">
    <mergeCell ref="A4:A5"/>
    <mergeCell ref="B4:B5"/>
    <mergeCell ref="C5:D5"/>
  </mergeCells>
  <dataValidations count="3">
    <dataValidation type="list" allowBlank="1" showInputMessage="1" showErrorMessage="1" sqref="X33:X34 B6:B37" xr:uid="{00000000-0002-0000-0500-000000000000}">
      <formula1>$X$33:$X$34</formula1>
    </dataValidation>
    <dataValidation type="list" allowBlank="1" showInputMessage="1" showErrorMessage="1" sqref="X5:X28 D6:D37" xr:uid="{00000000-0002-0000-0500-000001000000}">
      <formula1>$X$5:$X$13</formula1>
    </dataValidation>
    <dataValidation type="list" allowBlank="1" showInputMessage="1" showErrorMessage="1" sqref="AB4 AB6:AB35" xr:uid="{00000000-0002-0000-0500-000002000000}">
      <formula1>$AB$4:$AB$35</formula1>
    </dataValidation>
  </dataValidations>
  <printOptions horizontalCentered="1"/>
  <pageMargins left="0" right="0" top="0" bottom="0" header="0" footer="0"/>
  <pageSetup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tabSelected="1" topLeftCell="C29" zoomScale="70" zoomScaleNormal="70" zoomScaleSheetLayoutView="55" workbookViewId="0">
      <selection activeCell="K78" sqref="K78"/>
    </sheetView>
  </sheetViews>
  <sheetFormatPr baseColWidth="10" defaultColWidth="12.625" defaultRowHeight="15" customHeight="1"/>
  <cols>
    <col min="1" max="1" width="37.5" style="570" hidden="1" customWidth="1"/>
    <col min="2" max="2" width="21.875" hidden="1" customWidth="1"/>
    <col min="3" max="3" width="36.375" bestFit="1" customWidth="1"/>
    <col min="4" max="4" width="17.75" bestFit="1" customWidth="1"/>
    <col min="5" max="5" width="14.625" bestFit="1" customWidth="1"/>
    <col min="6" max="6" width="14" bestFit="1" customWidth="1"/>
    <col min="7" max="7" width="17.75" customWidth="1"/>
    <col min="8" max="8" width="15.125" bestFit="1" customWidth="1"/>
    <col min="9" max="9" width="14" bestFit="1" customWidth="1"/>
    <col min="10" max="10" width="13" bestFit="1" customWidth="1"/>
    <col min="11" max="11" width="15.5" customWidth="1"/>
    <col min="12" max="12" width="14" bestFit="1" customWidth="1"/>
    <col min="13" max="13" width="13.5" bestFit="1" customWidth="1"/>
    <col min="14" max="14" width="14" bestFit="1" customWidth="1"/>
    <col min="15" max="15" width="13" bestFit="1"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2.75" bestFit="1" customWidth="1"/>
    <col min="30" max="30" width="13.5" bestFit="1" customWidth="1"/>
    <col min="31" max="31" width="14.25" customWidth="1"/>
    <col min="32" max="32" width="12.75" bestFit="1" customWidth="1"/>
    <col min="33" max="33" width="9" bestFit="1" customWidth="1"/>
    <col min="34" max="35" width="10.125" bestFit="1" customWidth="1"/>
    <col min="36" max="36" width="10.875" customWidth="1"/>
    <col min="37" max="37" width="9.375" bestFit="1" customWidth="1"/>
    <col min="38" max="38" width="12.75" bestFit="1" customWidth="1"/>
    <col min="39" max="39" width="9" bestFit="1" customWidth="1"/>
    <col min="40" max="40" width="10.75" bestFit="1" customWidth="1"/>
    <col min="41" max="41" width="14.75" customWidth="1"/>
    <col min="42" max="42" width="11" customWidth="1"/>
    <col min="43" max="43" width="48.375" bestFit="1" customWidth="1"/>
    <col min="44"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Janvier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row>
    <row r="3" spans="1:54" ht="21" thickTop="1">
      <c r="B3" s="24"/>
      <c r="C3" s="263"/>
      <c r="D3" s="1287" t="s">
        <v>77</v>
      </c>
      <c r="E3" s="1288"/>
      <c r="F3" s="1289"/>
      <c r="G3" s="1290" t="s">
        <v>78</v>
      </c>
      <c r="H3" s="1288"/>
      <c r="I3" s="1289"/>
      <c r="J3" s="1290" t="s">
        <v>79</v>
      </c>
      <c r="K3" s="1288"/>
      <c r="L3" s="1289"/>
      <c r="M3" s="1290" t="s">
        <v>80</v>
      </c>
      <c r="N3" s="1289"/>
      <c r="O3" s="1287" t="s">
        <v>81</v>
      </c>
      <c r="P3" s="1288"/>
      <c r="Q3" s="1289"/>
      <c r="R3" s="1290" t="s">
        <v>82</v>
      </c>
      <c r="S3" s="1291"/>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
        <v>3304</v>
      </c>
      <c r="B5" s="24" t="s">
        <v>75</v>
      </c>
      <c r="C5" s="547" t="s">
        <v>88</v>
      </c>
      <c r="D5" s="422"/>
      <c r="E5" s="422"/>
      <c r="F5" s="177">
        <f>+INDEX('Budget original'!$A$2:$AO$500,MATCH($A5,'Budget original'!$A$2:$A$500,0),MATCH(F$2,'Budget original'!$A$2:$AO$2,0))</f>
        <v>1528310.4172760069</v>
      </c>
      <c r="G5" s="422"/>
      <c r="H5" s="422"/>
      <c r="I5" s="626">
        <f>+INDEX('Budget révisé'!$A$2:$AO$500,MATCH($A5,'Budget révisé'!$A$2:$A$500,0),MATCH(I$2,'Budget révisé'!$A$2:$AO$2,0))</f>
        <v>1528310.4172760069</v>
      </c>
      <c r="J5" s="310"/>
      <c r="K5" s="184"/>
      <c r="L5" s="177">
        <f>-SUMIFS(BV_Data_An_Cour!$O:$O,BV_Data_An_Cour!$X:$X,"Oui",BV_Data_An_Cour!$U:$U,$B5)</f>
        <v>2288416.17</v>
      </c>
      <c r="M5" s="423"/>
      <c r="N5" s="424"/>
      <c r="O5" s="310"/>
      <c r="P5" s="184"/>
      <c r="Q5" s="177">
        <f>-SUMIFS(BV_Data_An_Prec!$O:$O,BV_Data_An_Prec!$X:$X,"Oui",BV_Data_An_Prec!$U:$U,$B5)</f>
        <v>1000809.9600000001</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
        <v>3305</v>
      </c>
      <c r="B6" s="24" t="s">
        <v>75</v>
      </c>
      <c r="C6" s="264" t="s">
        <v>89</v>
      </c>
      <c r="D6" s="179">
        <f>+INDEX('Budget original'!$A$2:$AO$500,MATCH($A6,'Budget original'!$A$2:$A$500,0),MATCH(D$2,'Budget original'!$A$2:$AO$2,0))</f>
        <v>7.8939759036144581</v>
      </c>
      <c r="E6" s="179">
        <f>IF(D6=0,0,F6/D6)</f>
        <v>1450.6297619047618</v>
      </c>
      <c r="F6" s="179">
        <f>+INDEX('Budget original'!$A$2:$AO$500,MATCH($A6,'Budget original'!$A$2:$A$500,0),MATCH(F$2,'Budget original'!$A$2:$AO$2,0))</f>
        <v>11451.236385542168</v>
      </c>
      <c r="G6" s="182">
        <f>+INDEX('Budget original'!$A$2:$AO$500,MATCH($A6,'Budget original'!$A$2:$A$500,0),MATCH(G$2,'Budget original'!$A$2:$AO$2,0))</f>
        <v>7.8939759036144581</v>
      </c>
      <c r="H6" s="179">
        <f>IF(G6=0,0,I6/G6)</f>
        <v>1450.6297619047618</v>
      </c>
      <c r="I6" s="179">
        <f>+INDEX('Budget révisé'!$A$2:$AO$500,MATCH($A6,'Budget révisé'!$A$2:$A$500,0),MATCH(I$2,'Budget révisé'!$A$2:$AO$2,0))</f>
        <v>11451.236385542168</v>
      </c>
      <c r="J6" s="182">
        <f>-SUMIFS(BV_Data_An_Cour!$O:$O,BV_Data_An_Cour!$U:$U,$B6,BV_Data_An_Cour!$V:$V,$C6,BV_Data_An_Cour!$W:$W,J$2)</f>
        <v>3</v>
      </c>
      <c r="K6" s="179">
        <f>IF(J6=0,0,L6/J6)</f>
        <v>4814.2400000000025</v>
      </c>
      <c r="L6" s="554">
        <f>-SUMIFS(BV_Data_An_Cour!$O:$O,BV_Data_An_Cour!$U:$U,$B6,BV_Data_An_Cour!$V:$V,$C6,BV_Data_An_Cour!$W:$W,L$2)</f>
        <v>14442.720000000008</v>
      </c>
      <c r="M6" s="182">
        <f t="shared" ref="M6" si="0">J6-G6</f>
        <v>-4.8939759036144581</v>
      </c>
      <c r="N6" s="180">
        <f>L6-I6</f>
        <v>2991.4836144578403</v>
      </c>
      <c r="O6" s="1027">
        <f>-SUMIFS(BV_Data_An_Prec!$O:$O,BV_Data_An_Prec!$U:$U,$B6,BV_Data_An_Prec!$V:$V,$C6,BV_Data_An_Prec!$W:$W,O$2)</f>
        <v>7</v>
      </c>
      <c r="P6" s="179">
        <f>IF(O6=0,0,Q6/O6)</f>
        <v>590.46000000000072</v>
      </c>
      <c r="Q6" s="554">
        <f>-SUMIFS(BV_Data_An_Prec!$O:$O,BV_Data_An_Prec!$U:$U,$B6,BV_Data_An_Prec!$V:$V,$C6,BV_Data_An_Prec!$W:$W,Q$2)</f>
        <v>4133.2200000000048</v>
      </c>
      <c r="R6" s="182">
        <f t="shared" ref="R6" si="1">J6-O6</f>
        <v>-4</v>
      </c>
      <c r="S6" s="399">
        <f t="shared" ref="S6" si="2">L6-Q6</f>
        <v>10309.500000000004</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s="570" customFormat="1" ht="20.25">
      <c r="A7" s="570" t="s">
        <v>3306</v>
      </c>
      <c r="B7" s="24" t="s">
        <v>75</v>
      </c>
      <c r="C7" s="264" t="s">
        <v>90</v>
      </c>
      <c r="D7" s="179">
        <f>+INDEX('Budget original'!$A$2:$AO$500,MATCH($A7,'Budget original'!$A$2:$A$500,0),MATCH(D$2,'Budget original'!$A$2:$AO$2,0))</f>
        <v>27.253012048192772</v>
      </c>
      <c r="E7" s="179">
        <f t="shared" ref="E7:E12" si="3">IF(D7=0,0,F7/D7)</f>
        <v>2081.8275862068967</v>
      </c>
      <c r="F7" s="179">
        <f>+INDEX('Budget original'!$A$2:$AO$500,MATCH($A7,'Budget original'!$A$2:$A$500,0),MATCH(F$2,'Budget original'!$A$2:$AO$2,0))</f>
        <v>56736.072289156633</v>
      </c>
      <c r="G7" s="182">
        <f>+INDEX('Budget original'!$A$2:$AO$500,MATCH($A7,'Budget original'!$A$2:$A$500,0),MATCH(G$2,'Budget original'!$A$2:$AO$2,0))</f>
        <v>27.253012048192772</v>
      </c>
      <c r="H7" s="179">
        <f t="shared" ref="H7:H12" si="4">IF(G7=0,0,I7/G7)</f>
        <v>2081.8275862068967</v>
      </c>
      <c r="I7" s="179">
        <f>+INDEX('Budget révisé'!$A$2:$AO$500,MATCH($A7,'Budget révisé'!$A$2:$A$500,0),MATCH(I$2,'Budget révisé'!$A$2:$AO$2,0))</f>
        <v>56736.072289156633</v>
      </c>
      <c r="J7" s="182">
        <f>-SUMIFS(BV_Data_An_Cour!$O:$O,BV_Data_An_Cour!$U:$U,$B7,BV_Data_An_Cour!$V:$V,$C7,BV_Data_An_Cour!$W:$W,J$2)</f>
        <v>36</v>
      </c>
      <c r="K7" s="179">
        <f t="shared" ref="K7:K12" si="5">IF(J7=0,0,L7/J7)</f>
        <v>2742.3224999999966</v>
      </c>
      <c r="L7" s="554">
        <f>-SUMIFS(BV_Data_An_Cour!$O:$O,BV_Data_An_Cour!$U:$U,$B7,BV_Data_An_Cour!$V:$V,$C7,BV_Data_An_Cour!$W:$W,L$2)</f>
        <v>98723.60999999987</v>
      </c>
      <c r="M7" s="182">
        <f t="shared" ref="M7:M12" si="6">J7-G7</f>
        <v>8.7469879518072275</v>
      </c>
      <c r="N7" s="180">
        <f t="shared" ref="N7:N12" si="7">L7-I7</f>
        <v>41987.537710843237</v>
      </c>
      <c r="O7" s="182">
        <f>-SUMIFS(BV_Data_An_Prec!$O:$O,BV_Data_An_Prec!$U:$U,$B7,BV_Data_An_Prec!$V:$V,$C7,BV_Data_An_Prec!$W:$W,O$2)</f>
        <v>13</v>
      </c>
      <c r="P7" s="179">
        <f t="shared" ref="P7:P12" si="8">IF(O7=0,0,Q7/O7)</f>
        <v>1549.7276923076984</v>
      </c>
      <c r="Q7" s="554">
        <f>-SUMIFS(BV_Data_An_Prec!$O:$O,BV_Data_An_Prec!$U:$U,$B7,BV_Data_An_Prec!$V:$V,$C7,BV_Data_An_Prec!$W:$W,Q$2)</f>
        <v>20146.460000000079</v>
      </c>
      <c r="R7" s="182">
        <f t="shared" ref="R7:R12" si="9">J7-O7</f>
        <v>23</v>
      </c>
      <c r="S7" s="399">
        <f t="shared" ref="S7:S12" si="10">L7-Q7</f>
        <v>78577.14999999979</v>
      </c>
      <c r="T7" s="222"/>
      <c r="U7" s="222"/>
      <c r="V7" s="958" t="s">
        <v>2873</v>
      </c>
      <c r="W7" s="971">
        <v>0.2</v>
      </c>
      <c r="X7" s="24"/>
      <c r="Y7" s="24"/>
      <c r="Z7" s="24"/>
      <c r="AA7" s="24"/>
      <c r="AB7" s="24"/>
      <c r="AC7" s="24"/>
      <c r="AD7" s="24"/>
      <c r="AE7" s="24"/>
      <c r="AF7" s="24"/>
      <c r="AG7" s="24"/>
      <c r="AH7" s="24"/>
      <c r="AI7" s="24"/>
      <c r="AJ7" s="24"/>
      <c r="AK7" s="24"/>
      <c r="AL7" s="24"/>
      <c r="AM7" s="24"/>
      <c r="AN7" s="24"/>
    </row>
    <row r="8" spans="1:54" s="570" customFormat="1" ht="20.25">
      <c r="A8" s="570" t="s">
        <v>3307</v>
      </c>
      <c r="B8" s="24" t="s">
        <v>75</v>
      </c>
      <c r="C8" s="264" t="s">
        <v>91</v>
      </c>
      <c r="D8" s="179">
        <f>+INDEX('Budget original'!$A$2:$AO$500,MATCH($A8,'Budget original'!$A$2:$A$500,0),MATCH(D$2,'Budget original'!$A$2:$AO$2,0))</f>
        <v>0</v>
      </c>
      <c r="E8" s="179">
        <f t="shared" si="3"/>
        <v>0</v>
      </c>
      <c r="F8" s="179">
        <f>+INDEX('Budget original'!$A$2:$AO$500,MATCH($A8,'Budget original'!$A$2:$A$500,0),MATCH(F$2,'Budget original'!$A$2:$AO$2,0))</f>
        <v>0</v>
      </c>
      <c r="G8" s="182">
        <f>+INDEX('Budget original'!$A$2:$AO$500,MATCH($A8,'Budget original'!$A$2:$A$500,0),MATCH(G$2,'Budget original'!$A$2:$AO$2,0))</f>
        <v>0</v>
      </c>
      <c r="H8" s="179">
        <f t="shared" si="4"/>
        <v>0</v>
      </c>
      <c r="I8" s="179">
        <f>+INDEX('Budget révisé'!$A$2:$AO$500,MATCH($A8,'Budget révisé'!$A$2:$A$500,0),MATCH(I$2,'Budget révisé'!$A$2:$AO$2,0))</f>
        <v>0</v>
      </c>
      <c r="J8" s="182">
        <f>-SUMIFS(BV_Data_An_Cour!$O:$O,BV_Data_An_Cour!$U:$U,$B8,BV_Data_An_Cour!$V:$V,$C8,BV_Data_An_Cour!$W:$W,J$2)</f>
        <v>0</v>
      </c>
      <c r="K8" s="179">
        <f t="shared" si="5"/>
        <v>0</v>
      </c>
      <c r="L8" s="554">
        <f>-SUMIFS(BV_Data_An_Cour!$O:$O,BV_Data_An_Cour!$U:$U,$B8,BV_Data_An_Cour!$V:$V,$C8,BV_Data_An_Cour!$W:$W,L$2)</f>
        <v>0</v>
      </c>
      <c r="M8" s="182">
        <f t="shared" si="6"/>
        <v>0</v>
      </c>
      <c r="N8" s="180">
        <f t="shared" si="7"/>
        <v>0</v>
      </c>
      <c r="O8" s="182">
        <f>-SUMIFS(BV_Data_An_Prec!$O:$O,BV_Data_An_Prec!$U:$U,$B8,BV_Data_An_Prec!$V:$V,$C8,BV_Data_An_Prec!$W:$W,O$2)</f>
        <v>0</v>
      </c>
      <c r="P8" s="179">
        <f t="shared" si="8"/>
        <v>0</v>
      </c>
      <c r="Q8" s="554">
        <f>-SUMIFS(BV_Data_An_Prec!$O:$O,BV_Data_An_Prec!$U:$U,$B8,BV_Data_An_Prec!$V:$V,$C8,BV_Data_An_Prec!$W:$W,Q$2)</f>
        <v>0</v>
      </c>
      <c r="R8" s="182">
        <f t="shared" si="9"/>
        <v>0</v>
      </c>
      <c r="S8" s="399">
        <f t="shared" si="10"/>
        <v>0</v>
      </c>
      <c r="T8" s="222"/>
      <c r="U8" s="222"/>
      <c r="V8" s="958"/>
      <c r="W8" s="971">
        <f t="shared" ref="W8" si="11">SUM(W3:W7)</f>
        <v>1</v>
      </c>
      <c r="X8" s="24"/>
      <c r="Y8" s="24"/>
      <c r="Z8" s="24"/>
      <c r="AA8" s="24"/>
      <c r="AB8" s="24"/>
      <c r="AC8" s="24"/>
      <c r="AD8" s="24"/>
      <c r="AE8" s="24"/>
      <c r="AF8" s="24"/>
      <c r="AG8" s="24"/>
      <c r="AH8" s="24"/>
      <c r="AI8" s="24"/>
      <c r="AJ8" s="24"/>
      <c r="AK8" s="24"/>
      <c r="AL8" s="24"/>
      <c r="AM8" s="24"/>
      <c r="AN8" s="24"/>
    </row>
    <row r="9" spans="1:54" s="570" customFormat="1" ht="20.25">
      <c r="A9" s="570" t="s">
        <v>3308</v>
      </c>
      <c r="B9" s="24" t="s">
        <v>75</v>
      </c>
      <c r="C9" s="264" t="s">
        <v>92</v>
      </c>
      <c r="D9" s="179">
        <f>+INDEX('Budget original'!$A$2:$AO$500,MATCH($A9,'Budget original'!$A$2:$A$500,0),MATCH(D$2,'Budget original'!$A$2:$AO$2,0))</f>
        <v>0</v>
      </c>
      <c r="E9" s="179">
        <f t="shared" si="3"/>
        <v>0</v>
      </c>
      <c r="F9" s="179">
        <f>+INDEX('Budget original'!$A$2:$AO$500,MATCH($A9,'Budget original'!$A$2:$A$500,0),MATCH(F$2,'Budget original'!$A$2:$AO$2,0))</f>
        <v>0</v>
      </c>
      <c r="G9" s="182">
        <f>+INDEX('Budget original'!$A$2:$AO$500,MATCH($A9,'Budget original'!$A$2:$A$500,0),MATCH(G$2,'Budget original'!$A$2:$AO$2,0))</f>
        <v>0</v>
      </c>
      <c r="H9" s="179">
        <f t="shared" si="4"/>
        <v>0</v>
      </c>
      <c r="I9" s="179">
        <f>+INDEX('Budget révisé'!$A$2:$AO$500,MATCH($A9,'Budget révisé'!$A$2:$A$500,0),MATCH(I$2,'Budget révisé'!$A$2:$AO$2,0))</f>
        <v>0</v>
      </c>
      <c r="J9" s="182">
        <f>-SUMIFS(BV_Data_An_Cour!$O:$O,BV_Data_An_Cour!$U:$U,$B9,BV_Data_An_Cour!$V:$V,$C9,BV_Data_An_Cour!$W:$W,J$2)</f>
        <v>0</v>
      </c>
      <c r="K9" s="179">
        <f t="shared" si="5"/>
        <v>0</v>
      </c>
      <c r="L9" s="554">
        <f>-SUMIFS(BV_Data_An_Cour!$O:$O,BV_Data_An_Cour!$U:$U,$B9,BV_Data_An_Cour!$V:$V,$C9,BV_Data_An_Cour!$W:$W,L$2)</f>
        <v>0</v>
      </c>
      <c r="M9" s="182">
        <f t="shared" si="6"/>
        <v>0</v>
      </c>
      <c r="N9" s="180">
        <f t="shared" si="7"/>
        <v>0</v>
      </c>
      <c r="O9" s="182">
        <f>-SUMIFS(BV_Data_An_Prec!$O:$O,BV_Data_An_Prec!$U:$U,$B9,BV_Data_An_Prec!$V:$V,$C9,BV_Data_An_Prec!$W:$W,O$2)</f>
        <v>0</v>
      </c>
      <c r="P9" s="179">
        <f t="shared" si="8"/>
        <v>0</v>
      </c>
      <c r="Q9" s="554">
        <f>-SUMIFS(BV_Data_An_Prec!$O:$O,BV_Data_An_Prec!$U:$U,$B9,BV_Data_An_Prec!$V:$V,$C9,BV_Data_An_Prec!$W:$W,Q$2)</f>
        <v>0</v>
      </c>
      <c r="R9" s="182">
        <f t="shared" si="9"/>
        <v>0</v>
      </c>
      <c r="S9" s="399">
        <f t="shared" si="10"/>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
        <v>3309</v>
      </c>
      <c r="B10" s="24" t="s">
        <v>75</v>
      </c>
      <c r="C10" s="264" t="s">
        <v>42</v>
      </c>
      <c r="D10" s="179">
        <v>0</v>
      </c>
      <c r="E10" s="179">
        <f t="shared" si="3"/>
        <v>0</v>
      </c>
      <c r="F10" s="179">
        <f>+INDEX('Budget original'!$A$2:$AO$500,MATCH($A10,'Budget original'!$A$2:$A$500,0),MATCH(F$2,'Budget original'!$A$2:$AO$2,0))</f>
        <v>0</v>
      </c>
      <c r="G10" s="182">
        <v>0</v>
      </c>
      <c r="H10" s="179">
        <f t="shared" si="4"/>
        <v>0</v>
      </c>
      <c r="I10" s="179">
        <f>+INDEX('Budget révisé'!$A$2:$AO$500,MATCH($A10,'Budget révisé'!$A$2:$A$500,0),MATCH(I$2,'Budget révisé'!$A$2:$AO$2,0))</f>
        <v>0</v>
      </c>
      <c r="J10" s="182">
        <f>-SUMIFS(BV_Data_An_Cour!$O:$O,BV_Data_An_Cour!$U:$U,$B10,BV_Data_An_Cour!$V:$V,$C10,BV_Data_An_Cour!$W:$W,J$2)</f>
        <v>0</v>
      </c>
      <c r="K10" s="179">
        <f t="shared" si="5"/>
        <v>0</v>
      </c>
      <c r="L10" s="554">
        <f>-SUMIFS(BV_Data_An_Cour!$O:$O,BV_Data_An_Cour!$U:$U,$B10,BV_Data_An_Cour!$V:$V,$C10,BV_Data_An_Cour!$W:$W,L$2)</f>
        <v>0</v>
      </c>
      <c r="M10" s="182">
        <f t="shared" si="6"/>
        <v>0</v>
      </c>
      <c r="N10" s="180">
        <f t="shared" si="7"/>
        <v>0</v>
      </c>
      <c r="O10" s="182">
        <f>-SUMIFS(BV_Data_An_Prec!$O:$O,BV_Data_An_Prec!$U:$U,$B10,BV_Data_An_Prec!$V:$V,$C10,BV_Data_An_Prec!$W:$W,O$2)</f>
        <v>0</v>
      </c>
      <c r="P10" s="179">
        <f t="shared" si="8"/>
        <v>0</v>
      </c>
      <c r="Q10" s="554">
        <f>-SUMIFS(BV_Data_An_Prec!$O:$O,BV_Data_An_Prec!$U:$U,$B10,BV_Data_An_Prec!$V:$V,$C10,BV_Data_An_Prec!$W:$W,Q$2)</f>
        <v>0</v>
      </c>
      <c r="R10" s="182">
        <f t="shared" si="9"/>
        <v>0</v>
      </c>
      <c r="S10" s="399">
        <f t="shared" si="10"/>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
        <v>3309</v>
      </c>
      <c r="B11" s="24" t="s">
        <v>75</v>
      </c>
      <c r="C11" s="264" t="s">
        <v>42</v>
      </c>
      <c r="D11" s="179">
        <v>0</v>
      </c>
      <c r="E11" s="179">
        <f t="shared" si="3"/>
        <v>0</v>
      </c>
      <c r="F11" s="179">
        <f>+INDEX('Budget original'!$A$2:$AO$500,MATCH($A11,'Budget original'!$A$2:$A$500,0),MATCH(F$2,'Budget original'!$A$2:$AO$2,0))</f>
        <v>0</v>
      </c>
      <c r="G11" s="182">
        <v>0</v>
      </c>
      <c r="H11" s="179">
        <f t="shared" si="4"/>
        <v>0</v>
      </c>
      <c r="I11" s="179">
        <f>+INDEX('Budget révisé'!$A$2:$AO$500,MATCH($A11,'Budget révisé'!$A$2:$A$500,0),MATCH(I$2,'Budget révisé'!$A$2:$AO$2,0))</f>
        <v>0</v>
      </c>
      <c r="J11" s="182">
        <f>-SUMIFS(BV_Data_An_Cour!$O:$O,BV_Data_An_Cour!$U:$U,$B11,BV_Data_An_Cour!$V:$V,$C11,BV_Data_An_Cour!$W:$W,J$2)</f>
        <v>0</v>
      </c>
      <c r="K11" s="179">
        <f t="shared" si="5"/>
        <v>0</v>
      </c>
      <c r="L11" s="554">
        <f>-SUMIFS(BV_Data_An_Cour!$O:$O,BV_Data_An_Cour!$U:$U,$B11,BV_Data_An_Cour!$V:$V,$C11,BV_Data_An_Cour!$W:$W,L$2)</f>
        <v>0</v>
      </c>
      <c r="M11" s="182">
        <f t="shared" si="6"/>
        <v>0</v>
      </c>
      <c r="N11" s="180">
        <f t="shared" si="7"/>
        <v>0</v>
      </c>
      <c r="O11" s="182">
        <f>-SUMIFS(BV_Data_An_Prec!$O:$O,BV_Data_An_Prec!$U:$U,$B11,BV_Data_An_Prec!$V:$V,$C11,BV_Data_An_Prec!$W:$W,O$2)</f>
        <v>0</v>
      </c>
      <c r="P11" s="179">
        <f t="shared" si="8"/>
        <v>0</v>
      </c>
      <c r="Q11" s="554">
        <f>-SUMIFS(BV_Data_An_Prec!$O:$O,BV_Data_An_Prec!$U:$U,$B11,BV_Data_An_Prec!$V:$V,$C11,BV_Data_An_Prec!$W:$W,Q$2)</f>
        <v>0</v>
      </c>
      <c r="R11" s="182">
        <f t="shared" si="9"/>
        <v>0</v>
      </c>
      <c r="S11" s="399">
        <f t="shared" si="10"/>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
        <v>3309</v>
      </c>
      <c r="B12" s="24" t="s">
        <v>75</v>
      </c>
      <c r="C12" s="264" t="s">
        <v>42</v>
      </c>
      <c r="D12" s="179">
        <v>0</v>
      </c>
      <c r="E12" s="179">
        <f t="shared" si="3"/>
        <v>0</v>
      </c>
      <c r="F12" s="179">
        <f>+INDEX('Budget original'!$A$2:$AO$500,MATCH($A12,'Budget original'!$A$2:$A$500,0),MATCH(F$2,'Budget original'!$A$2:$AO$2,0))</f>
        <v>0</v>
      </c>
      <c r="G12" s="182">
        <v>0</v>
      </c>
      <c r="H12" s="179">
        <f t="shared" si="4"/>
        <v>0</v>
      </c>
      <c r="I12" s="179">
        <f>+INDEX('Budget révisé'!$A$2:$AO$500,MATCH($A12,'Budget révisé'!$A$2:$A$500,0),MATCH(I$2,'Budget révisé'!$A$2:$AO$2,0))</f>
        <v>0</v>
      </c>
      <c r="J12" s="182">
        <f>-SUMIFS(BV_Data_An_Cour!$O:$O,BV_Data_An_Cour!$U:$U,$B12,BV_Data_An_Cour!$V:$V,$C12,BV_Data_An_Cour!$W:$W,J$2)</f>
        <v>0</v>
      </c>
      <c r="K12" s="179">
        <f t="shared" si="5"/>
        <v>0</v>
      </c>
      <c r="L12" s="554">
        <f>-SUMIFS(BV_Data_An_Cour!$O:$O,BV_Data_An_Cour!$U:$U,$B12,BV_Data_An_Cour!$V:$V,$C12,BV_Data_An_Cour!$W:$W,L$2)</f>
        <v>0</v>
      </c>
      <c r="M12" s="182">
        <f t="shared" si="6"/>
        <v>0</v>
      </c>
      <c r="N12" s="180">
        <f t="shared" si="7"/>
        <v>0</v>
      </c>
      <c r="O12" s="182">
        <f>-SUMIFS(BV_Data_An_Prec!$O:$O,BV_Data_An_Prec!$U:$U,$B12,BV_Data_An_Prec!$V:$V,$C12,BV_Data_An_Prec!$W:$W,O$2)</f>
        <v>0</v>
      </c>
      <c r="P12" s="179">
        <f t="shared" si="8"/>
        <v>0</v>
      </c>
      <c r="Q12" s="554">
        <f>-SUMIFS(BV_Data_An_Prec!$O:$O,BV_Data_An_Prec!$U:$U,$B12,BV_Data_An_Prec!$V:$V,$C12,BV_Data_An_Prec!$W:$W,Q$2)</f>
        <v>0</v>
      </c>
      <c r="R12" s="182">
        <f t="shared" si="9"/>
        <v>0</v>
      </c>
      <c r="S12" s="399">
        <f t="shared" si="10"/>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
        <v>3310</v>
      </c>
      <c r="B13" s="24" t="s">
        <v>75</v>
      </c>
      <c r="C13" s="400" t="s">
        <v>93</v>
      </c>
      <c r="D13" s="401">
        <f>+SUM(D6:D12)</f>
        <v>35.146987951807233</v>
      </c>
      <c r="E13" s="401">
        <f>IF(D13&lt;=0,0,F13/D13)</f>
        <v>1940.0612299465238</v>
      </c>
      <c r="F13" s="402">
        <f>+SUM(F6:F12)</f>
        <v>68187.308674698797</v>
      </c>
      <c r="G13" s="403">
        <f>+SUM(G6:G12)</f>
        <v>35.146987951807233</v>
      </c>
      <c r="H13" s="401">
        <f>IF(G13&lt;=0,0,I13/G13)</f>
        <v>1940.0612299465238</v>
      </c>
      <c r="I13" s="402">
        <f>+SUM(I6:I12)</f>
        <v>68187.308674698797</v>
      </c>
      <c r="J13" s="403">
        <f>+SUM(J6:J12)</f>
        <v>39</v>
      </c>
      <c r="K13" s="401">
        <f>IF(J13&lt;=0,0,L13/J13)</f>
        <v>2901.7007692307661</v>
      </c>
      <c r="L13" s="402">
        <f>+SUM(L6:L12)</f>
        <v>113166.32999999987</v>
      </c>
      <c r="M13" s="403">
        <f>+SUM(M6:M12)</f>
        <v>3.8530120481927694</v>
      </c>
      <c r="N13" s="402">
        <f>+SUM(N6:N12)</f>
        <v>44979.021325301073</v>
      </c>
      <c r="O13" s="403">
        <f>+SUM(O6:O12)</f>
        <v>20</v>
      </c>
      <c r="P13" s="401">
        <f>IF(O13&lt;=0,0,Q13/O13)</f>
        <v>1213.9840000000042</v>
      </c>
      <c r="Q13" s="402">
        <f>+SUM(Q6:Q12)</f>
        <v>24279.680000000084</v>
      </c>
      <c r="R13" s="403">
        <f>+SUM(R6:R12)</f>
        <v>19</v>
      </c>
      <c r="S13" s="404">
        <f>+SUM(S6:S12)</f>
        <v>88886.64999999979</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
        <v>75</v>
      </c>
      <c r="B14" s="24" t="s">
        <v>75</v>
      </c>
      <c r="C14" s="264"/>
      <c r="D14" s="178"/>
      <c r="E14" s="179"/>
      <c r="F14" s="312"/>
      <c r="G14" s="303"/>
      <c r="H14" s="179"/>
      <c r="I14" s="312"/>
      <c r="J14" s="303"/>
      <c r="K14" s="179"/>
      <c r="L14" s="312"/>
      <c r="M14" s="362"/>
      <c r="N14" s="332"/>
      <c r="O14" s="303"/>
      <c r="P14" s="179"/>
      <c r="Q14" s="312"/>
      <c r="R14" s="362">
        <f>R13/O13</f>
        <v>0.95</v>
      </c>
      <c r="S14" s="333">
        <f>IF(Q13=0,0,(S13/Q13))</f>
        <v>3.6609481673563855</v>
      </c>
      <c r="T14" s="222"/>
      <c r="U14" s="222"/>
      <c r="V14" s="514"/>
      <c r="W14" s="967">
        <f>J13+J15</f>
        <v>47</v>
      </c>
      <c r="X14" s="967">
        <f>L13+L15</f>
        <v>136107.24999999985</v>
      </c>
      <c r="Y14" s="514">
        <f>X14/W14</f>
        <v>2895.8989361702097</v>
      </c>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
        <v>3311</v>
      </c>
      <c r="B15" s="24" t="s">
        <v>75</v>
      </c>
      <c r="C15" s="426" t="s">
        <v>94</v>
      </c>
      <c r="D15" s="184">
        <f>+INDEX('Budget original'!$A$2:$AO$500,MATCH($A15,'Budget original'!$A$2:$A$500,0),MATCH(D$2,'Budget original'!$A$2:$AO$2,0))</f>
        <v>3.2891566265060241</v>
      </c>
      <c r="E15" s="184">
        <f t="shared" ref="E15" si="12">IF(D15=0,0,F15/D15)</f>
        <v>1386.1016187312014</v>
      </c>
      <c r="F15" s="177">
        <f>+INDEX('Budget original'!$A$2:$AO$500,MATCH($A15,'Budget original'!$A$2:$A$500,0),MATCH(F$2,'Budget original'!$A$2:$AO$2,0))</f>
        <v>4559.1053242604576</v>
      </c>
      <c r="G15" s="183">
        <f>+INDEX('Budget original'!$A$2:$AO$500,MATCH($A15,'Budget original'!$A$2:$A$500,0),MATCH(G$2,'Budget original'!$A$2:$AO$2,0))</f>
        <v>3.2891566265060241</v>
      </c>
      <c r="H15" s="407">
        <f t="shared" ref="H15" si="13">IF(G15=0,0,I15/G15)</f>
        <v>1386.1016187312014</v>
      </c>
      <c r="I15" s="405">
        <f>+INDEX('Budget révisé'!$A$2:$AO$500,MATCH($A15,'Budget révisé'!$A$2:$A$500,0),MATCH(I$2,'Budget révisé'!$A$2:$AO$2,0))</f>
        <v>4559.1053242604576</v>
      </c>
      <c r="J15" s="1028">
        <f>-SUMIFS(BV_Data_An_Cour!$O:$O,BV_Data_An_Cour!$U:$U,$B15,BV_Data_An_Cour!$V:$V,$C15,BV_Data_An_Cour!$W:$W,J$2)</f>
        <v>8</v>
      </c>
      <c r="K15" s="549">
        <f>IF(J15=0,0,L15/J15)</f>
        <v>2867.614999999998</v>
      </c>
      <c r="L15" s="549">
        <f>-SUMIFS(BV_Data_An_Cour!$O:$O,BV_Data_An_Cour!$U:$U,$B15,BV_Data_An_Cour!$V:$V,$C15,BV_Data_An_Cour!$W:$W,L$2)</f>
        <v>22940.919999999984</v>
      </c>
      <c r="M15" s="406">
        <f>J15-G15</f>
        <v>4.7108433734939759</v>
      </c>
      <c r="N15" s="405">
        <f>L15-I15</f>
        <v>18381.814675739526</v>
      </c>
      <c r="O15" s="548">
        <f>-SUMIFS(BV_Data_An_Prec!$O:$O,BV_Data_An_Prec!$U:$U,$B15,BV_Data_An_Prec!$V:$V,$C15,BV_Data_An_Prec!$W:$W,O$2)</f>
        <v>2</v>
      </c>
      <c r="P15" s="549">
        <f>IF(O15=0,0,Q15/O15)</f>
        <v>1819.9049999999988</v>
      </c>
      <c r="Q15" s="549">
        <f>-SUMIFS(BV_Data_An_Prec!$O:$O,BV_Data_An_Prec!$U:$U,$B15,BV_Data_An_Prec!$V:$V,$C15,BV_Data_An_Prec!$W:$W,Q$2)</f>
        <v>3639.8099999999977</v>
      </c>
      <c r="R15" s="406">
        <f>J15-O15</f>
        <v>6</v>
      </c>
      <c r="S15" s="427">
        <f>L15-Q15</f>
        <v>19301.109999999986</v>
      </c>
      <c r="T15" s="222"/>
      <c r="U15" s="222"/>
      <c r="V15" s="967">
        <f>3125-L15</f>
        <v>-19815.919999999984</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
        <v>75</v>
      </c>
      <c r="B16" s="24" t="s">
        <v>75</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f>7*500</f>
        <v>3500</v>
      </c>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
        <v>3312</v>
      </c>
      <c r="B17" s="24" t="s">
        <v>75</v>
      </c>
      <c r="C17" s="327" t="s">
        <v>95</v>
      </c>
      <c r="D17" s="179">
        <f>+INDEX('Budget original'!$A$2:$AO$500,MATCH($A17,'Budget original'!$A$2:$A$500,0),MATCH(D$2,'Budget original'!$A$2:$AO$2,0))</f>
        <v>0</v>
      </c>
      <c r="E17" s="179">
        <f t="shared" ref="E17" si="14">IF(D17=0,0,F17/D17)</f>
        <v>0</v>
      </c>
      <c r="F17" s="179">
        <f>+INDEX('Budget original'!$A$2:$AO$500,MATCH($A17,'Budget original'!$A$2:$A$500,0),MATCH(F$2,'Budget original'!$A$2:$AO$2,0))</f>
        <v>0</v>
      </c>
      <c r="G17" s="182">
        <f>+INDEX('Budget original'!$A$2:$AO$500,MATCH($A17,'Budget original'!$A$2:$A$500,0),MATCH(G$2,'Budget original'!$A$2:$AO$2,0))</f>
        <v>0</v>
      </c>
      <c r="H17" s="179">
        <f t="shared" ref="H17" si="15">IF(G17=0,0,I17/G17)</f>
        <v>0</v>
      </c>
      <c r="I17" s="179">
        <f>+INDEX('Budget révisé'!$A$2:$AO$500,MATCH($A17,'Budget révisé'!$A$2:$A$500,0),MATCH(I$2,'Budget révisé'!$A$2:$AO$2,0))</f>
        <v>0</v>
      </c>
      <c r="J17" s="406">
        <f>-SUMIFS(BV_Data_An_Cour!$O:$O,BV_Data_An_Cour!$U:$U,$B17,BV_Data_An_Cour!$V:$V,$C17,BV_Data_An_Cour!$W:$W,J$2)</f>
        <v>0</v>
      </c>
      <c r="K17" s="231">
        <f>IF(J17=0,0,L17/J17)</f>
        <v>0</v>
      </c>
      <c r="L17" s="180">
        <f>-SUMIFS(BV_Data_An_Cour!$O:$O,BV_Data_An_Cour!$U:$U,$B17,BV_Data_An_Cour!$V:$V,$C17,BV_Data_An_Cour!$W:$W,L$2)</f>
        <v>0</v>
      </c>
      <c r="M17" s="406">
        <f>J17-G17</f>
        <v>0</v>
      </c>
      <c r="N17" s="180">
        <f>L17-I17</f>
        <v>0</v>
      </c>
      <c r="O17" s="406">
        <f>-SUMIFS(BV_Data_An_Prec!$O:$O,BV_Data_An_Prec!$U:$U,$B17,BV_Data_An_Prec!$V:$V,$C17,BV_Data_An_Prec!$W:$W,O$2)</f>
        <v>2</v>
      </c>
      <c r="P17" s="179">
        <f>IF(O17=0,0,Q17/O17)</f>
        <v>687.43000000000029</v>
      </c>
      <c r="Q17" s="180">
        <f>-SUMIFS(BV_Data_An_Prec!$O:$O,BV_Data_An_Prec!$U:$U,$B17,BV_Data_An_Prec!$V:$V,$C17,BV_Data_An_Prec!$W:$W,Q$2)</f>
        <v>1374.8600000000006</v>
      </c>
      <c r="R17" s="182">
        <f>J17-O17</f>
        <v>-2</v>
      </c>
      <c r="S17" s="399">
        <f>L17-Q17</f>
        <v>-1374.8600000000006</v>
      </c>
      <c r="T17" s="222"/>
      <c r="U17" s="222"/>
      <c r="V17" s="514"/>
      <c r="W17" s="514"/>
      <c r="X17" s="514"/>
      <c r="Y17" s="514"/>
      <c r="Z17" s="514"/>
      <c r="AA17" s="967">
        <v>3860</v>
      </c>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
        <v>75</v>
      </c>
      <c r="B18" s="24" t="s">
        <v>75</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
        <v>3313</v>
      </c>
      <c r="B19" s="24" t="s">
        <v>75</v>
      </c>
      <c r="C19" s="426" t="s">
        <v>96</v>
      </c>
      <c r="D19" s="179">
        <f>+INDEX('Budget original'!$A$2:$AO$500,MATCH($A19,'Budget original'!$A$2:$A$500,0),MATCH(D$2,'Budget original'!$A$2:$AO$2,0))</f>
        <v>0</v>
      </c>
      <c r="E19" s="179">
        <f t="shared" ref="E19" si="16">IF(D19=0,0,F19/D19)</f>
        <v>0</v>
      </c>
      <c r="F19" s="179">
        <f>+INDEX('Budget original'!$A$2:$AO$500,MATCH($A19,'Budget original'!$A$2:$A$500,0),MATCH(F$2,'Budget original'!$A$2:$AO$2,0))</f>
        <v>3506.6828999999993</v>
      </c>
      <c r="G19" s="182">
        <f>+INDEX('Budget original'!$A$2:$AO$500,MATCH($A19,'Budget original'!$A$2:$A$500,0),MATCH(G$2,'Budget original'!$A$2:$AO$2,0))</f>
        <v>0</v>
      </c>
      <c r="H19" s="179">
        <f t="shared" ref="H19" si="17">IF(G19=0,0,I19/G19)</f>
        <v>0</v>
      </c>
      <c r="I19" s="179">
        <f>+INDEX('Budget révisé'!$A$2:$AO$500,MATCH($A19,'Budget révisé'!$A$2:$A$500,0),MATCH(I$2,'Budget révisé'!$A$2:$AO$2,0))</f>
        <v>3506.6828999999993</v>
      </c>
      <c r="J19" s="183"/>
      <c r="K19" s="179"/>
      <c r="L19" s="180">
        <f>-SUMIFS(BV_Data_An_Cour!$O:$O,BV_Data_An_Cour!$U:$U,$B19,BV_Data_An_Cour!$V:$V,$C19,BV_Data_An_Cour!$W:$W,L$2)</f>
        <v>7739.289999999979</v>
      </c>
      <c r="M19" s="182"/>
      <c r="N19" s="180">
        <f>L19-I19</f>
        <v>4232.6070999999793</v>
      </c>
      <c r="O19" s="183"/>
      <c r="P19" s="179"/>
      <c r="Q19" s="180">
        <f>-SUMIFS(BV_Data_An_Prec!$O:$O,BV_Data_An_Prec!$U:$U,$B19,BV_Data_An_Prec!$V:$V,$C19,BV_Data_An_Prec!$W:$W,Q$2)</f>
        <v>898.55000000000291</v>
      </c>
      <c r="R19" s="182">
        <f>O19-K19</f>
        <v>0</v>
      </c>
      <c r="S19" s="399">
        <f>L19-Q19</f>
        <v>6840.7399999999761</v>
      </c>
      <c r="T19" s="222"/>
      <c r="U19" s="25" t="s">
        <v>6</v>
      </c>
      <c r="V19" s="1075">
        <f>G13+G15+G17</f>
        <v>38.436144578313261</v>
      </c>
      <c r="W19" s="1075">
        <f>I13+I15+I17</f>
        <v>72746.413998959251</v>
      </c>
      <c r="X19" s="1076">
        <f>W19/V19</f>
        <v>1892.6563732410559</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
        <v>75</v>
      </c>
      <c r="B20" s="24" t="s">
        <v>75</v>
      </c>
      <c r="C20" s="400"/>
      <c r="D20" s="428"/>
      <c r="E20" s="428"/>
      <c r="F20" s="429"/>
      <c r="G20" s="411"/>
      <c r="H20" s="428"/>
      <c r="I20" s="429"/>
      <c r="J20" s="182"/>
      <c r="K20" s="428"/>
      <c r="L20" s="429"/>
      <c r="M20" s="411"/>
      <c r="N20" s="429"/>
      <c r="O20" s="182"/>
      <c r="P20" s="428"/>
      <c r="Q20" s="429"/>
      <c r="R20" s="411"/>
      <c r="S20" s="430"/>
      <c r="T20" s="222"/>
      <c r="U20" s="25">
        <v>2021</v>
      </c>
      <c r="V20" s="1075">
        <f>J13+J15+J17</f>
        <v>47</v>
      </c>
      <c r="W20" s="1075">
        <f>L13+L15+L17</f>
        <v>136107.24999999985</v>
      </c>
      <c r="X20" s="1076">
        <f>W20/V20</f>
        <v>2895.8989361702097</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
        <v>3314</v>
      </c>
      <c r="B21" s="24" t="s">
        <v>75</v>
      </c>
      <c r="C21" s="264" t="s">
        <v>97</v>
      </c>
      <c r="D21" s="179">
        <f>+INDEX('Budget original'!$A$2:$AO$500,MATCH($A21,'Budget original'!$A$2:$A$500,0),MATCH(D$2,'Budget original'!$A$2:$AO$2,0))</f>
        <v>0</v>
      </c>
      <c r="E21" s="179">
        <f t="shared" ref="E21:E23" si="18">IF(D21=0,0,F21/D21)</f>
        <v>0</v>
      </c>
      <c r="F21" s="179">
        <f>+INDEX('Budget original'!$A$2:$AO$500,MATCH($A21,'Budget original'!$A$2:$A$500,0),MATCH(F$2,'Budget original'!$A$2:$AO$2,0))</f>
        <v>1150.154076194684</v>
      </c>
      <c r="G21" s="303">
        <f>+INDEX('Budget original'!$A$2:$AO$500,MATCH($A21,'Budget original'!$A$2:$A$500,0),MATCH(G$2,'Budget original'!$A$2:$AO$2,0))</f>
        <v>0</v>
      </c>
      <c r="H21" s="179">
        <f t="shared" ref="H21:H23" si="19">IF(G21=0,0,I21/G21)</f>
        <v>0</v>
      </c>
      <c r="I21" s="179">
        <f>+INDEX('Budget révisé'!$A$2:$AO$500,MATCH($A21,'Budget révisé'!$A$2:$A$500,0),MATCH(I$2,'Budget révisé'!$A$2:$AO$2,0))</f>
        <v>1150.154076194684</v>
      </c>
      <c r="J21" s="182"/>
      <c r="K21" s="179">
        <f>IF(J13=0,0,L21/(J13+J15))</f>
        <v>134.66978723404253</v>
      </c>
      <c r="L21" s="180">
        <f>-SUMIFS(BV_Data_An_Cour!$O:$O,BV_Data_An_Cour!$U:$U,$B21,BV_Data_An_Cour!$V:$V,$C21,BV_Data_An_Cour!$W:$W,L$2)</f>
        <v>6329.48</v>
      </c>
      <c r="M21" s="182"/>
      <c r="N21" s="180">
        <f t="shared" ref="N21:N24" si="20">L21-I21</f>
        <v>5179.3259238053161</v>
      </c>
      <c r="O21" s="182"/>
      <c r="P21" s="179">
        <f>IF(O13=0,0,Q21/(O13+O15))</f>
        <v>0</v>
      </c>
      <c r="Q21" s="180">
        <f>-SUMIFS(BV_Data_An_Prec!$O:$O,BV_Data_An_Prec!$U:$U,$B21,BV_Data_An_Prec!$V:$V,$C21,BV_Data_An_Prec!$W:$W,Q$2)</f>
        <v>0</v>
      </c>
      <c r="R21" s="182">
        <f t="shared" ref="R21:R23" si="21">O21-K21</f>
        <v>-134.66978723404253</v>
      </c>
      <c r="S21" s="399">
        <f t="shared" ref="S21:S24" si="22">L21-Q21</f>
        <v>6329.48</v>
      </c>
      <c r="T21" s="222"/>
      <c r="U21" s="222"/>
      <c r="V21" s="514"/>
      <c r="W21" s="514"/>
      <c r="X21" s="1129">
        <f>X20-X19</f>
        <v>1003.2425629291538</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
        <v>3315</v>
      </c>
      <c r="B22" s="24" t="s">
        <v>75</v>
      </c>
      <c r="C22" s="264" t="s">
        <v>98</v>
      </c>
      <c r="D22" s="179">
        <f>+INDEX('Budget original'!$A$2:$AO$500,MATCH($A22,'Budget original'!$A$2:$A$500,0),MATCH(D$2,'Budget original'!$A$2:$AO$2,0))</f>
        <v>0</v>
      </c>
      <c r="E22" s="179">
        <f t="shared" si="18"/>
        <v>0</v>
      </c>
      <c r="F22" s="179">
        <f>+INDEX('Budget original'!$A$2:$AO$500,MATCH($A22,'Budget original'!$A$2:$A$500,0),MATCH(F$2,'Budget original'!$A$2:$AO$2,0))</f>
        <v>30759.269896087149</v>
      </c>
      <c r="G22" s="303">
        <f>+INDEX('Budget original'!$A$2:$AO$500,MATCH($A22,'Budget original'!$A$2:$A$500,0),MATCH(G$2,'Budget original'!$A$2:$AO$2,0))</f>
        <v>0</v>
      </c>
      <c r="H22" s="179">
        <f t="shared" si="19"/>
        <v>0</v>
      </c>
      <c r="I22" s="179">
        <f>+INDEX('Budget révisé'!$A$2:$AO$500,MATCH($A22,'Budget révisé'!$A$2:$A$500,0),MATCH(I$2,'Budget révisé'!$A$2:$AO$2,0))</f>
        <v>30759.269896087149</v>
      </c>
      <c r="J22" s="182"/>
      <c r="K22" s="179">
        <f>IF(J13=0,0,L22/(J13+J15))</f>
        <v>907.82170212765959</v>
      </c>
      <c r="L22" s="180">
        <f>-SUMIFS(BV_Data_An_Cour!$O:$O,BV_Data_An_Cour!$U:$U,$B22,BV_Data_An_Cour!$V:$V,$C22,BV_Data_An_Cour!$W:$W,L$2)</f>
        <v>42667.62</v>
      </c>
      <c r="M22" s="182"/>
      <c r="N22" s="180">
        <f t="shared" si="20"/>
        <v>11908.350103912853</v>
      </c>
      <c r="O22" s="182"/>
      <c r="P22" s="179">
        <f>IF(O13=0,0,Q22/(O13+O15))</f>
        <v>738.70727272727265</v>
      </c>
      <c r="Q22" s="180">
        <f>-SUMIFS(BV_Data_An_Prec!$O:$O,BV_Data_An_Prec!$U:$U,$B22,BV_Data_An_Prec!$V:$V,$C22,BV_Data_An_Prec!$W:$W,Q$2)</f>
        <v>16251.56</v>
      </c>
      <c r="R22" s="182">
        <f t="shared" si="21"/>
        <v>-907.82170212765959</v>
      </c>
      <c r="S22" s="399">
        <f t="shared" si="22"/>
        <v>26416.060000000005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
        <v>3316</v>
      </c>
      <c r="B23" s="24" t="s">
        <v>75</v>
      </c>
      <c r="C23" s="264" t="s">
        <v>99</v>
      </c>
      <c r="D23" s="179">
        <f>+INDEX('Budget original'!$A$2:$AO$500,MATCH($A23,'Budget original'!$A$2:$A$500,0),MATCH(D$2,'Budget original'!$A$2:$AO$2,0))</f>
        <v>0</v>
      </c>
      <c r="E23" s="179">
        <f t="shared" si="18"/>
        <v>0</v>
      </c>
      <c r="F23" s="179">
        <f>+INDEX('Budget original'!$A$2:$AO$500,MATCH($A23,'Budget original'!$A$2:$A$500,0),MATCH(F$2,'Budget original'!$A$2:$AO$2,0))</f>
        <v>761.29891928443465</v>
      </c>
      <c r="G23" s="303">
        <f>+INDEX('Budget original'!$A$2:$AO$500,MATCH($A23,'Budget original'!$A$2:$A$500,0),MATCH(G$2,'Budget original'!$A$2:$AO$2,0))</f>
        <v>0</v>
      </c>
      <c r="H23" s="179">
        <f t="shared" si="19"/>
        <v>0</v>
      </c>
      <c r="I23" s="179">
        <f>+INDEX('Budget révisé'!$A$2:$AO$500,MATCH($A23,'Budget révisé'!$A$2:$A$500,0),MATCH(I$2,'Budget révisé'!$A$2:$AO$2,0))</f>
        <v>761.29891928443465</v>
      </c>
      <c r="J23" s="182"/>
      <c r="K23" s="179">
        <f>IF(J13=0,0,L23/(J13+J15))</f>
        <v>7.3836170212765948</v>
      </c>
      <c r="L23" s="180">
        <f>-SUMIFS(BV_Data_An_Cour!$O:$O,BV_Data_An_Cour!$U:$U,$B23,BV_Data_An_Cour!$V:$V,$C23,BV_Data_An_Cour!$W:$W,L$2)</f>
        <v>347.03</v>
      </c>
      <c r="M23" s="406"/>
      <c r="N23" s="180">
        <f t="shared" si="20"/>
        <v>-414.26891928443467</v>
      </c>
      <c r="O23" s="182"/>
      <c r="P23" s="179">
        <f>IF(O13=0,0,Q23/(O13+O15))</f>
        <v>15.493636363636364</v>
      </c>
      <c r="Q23" s="180">
        <f>-SUMIFS(BV_Data_An_Prec!$O:$O,BV_Data_An_Prec!$U:$U,$B23,BV_Data_An_Prec!$V:$V,$C23,BV_Data_An_Prec!$W:$W,Q$2)</f>
        <v>340.86</v>
      </c>
      <c r="R23" s="182">
        <f t="shared" si="21"/>
        <v>-7.3836170212765948</v>
      </c>
      <c r="S23" s="399">
        <f t="shared" si="22"/>
        <v>6.1699999999999591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
        <v>3317</v>
      </c>
      <c r="B24" s="24" t="s">
        <v>75</v>
      </c>
      <c r="C24" s="400" t="s">
        <v>100</v>
      </c>
      <c r="D24" s="401">
        <f>+D15+D13</f>
        <v>38.436144578313261</v>
      </c>
      <c r="E24" s="401">
        <f>IF(D24&lt;=0,0,F24/D24)</f>
        <v>850</v>
      </c>
      <c r="F24" s="402">
        <f>F21+F22+F23</f>
        <v>32670.722891566271</v>
      </c>
      <c r="G24" s="403">
        <f>+G15+G13</f>
        <v>38.436144578313261</v>
      </c>
      <c r="H24" s="401">
        <f>IF(G24&lt;=0,0,I24/G24)</f>
        <v>850</v>
      </c>
      <c r="I24" s="402">
        <f>I21+I22+I23</f>
        <v>32670.722891566271</v>
      </c>
      <c r="J24" s="403">
        <f>+J15+J13</f>
        <v>47</v>
      </c>
      <c r="K24" s="401">
        <f>IF(J24&lt;=0,0,L24/J24)</f>
        <v>1049.8751063829789</v>
      </c>
      <c r="L24" s="402">
        <f>L21+L22+L23</f>
        <v>49344.130000000005</v>
      </c>
      <c r="M24" s="431">
        <f>J24-G24</f>
        <v>8.5638554216867391</v>
      </c>
      <c r="N24" s="402">
        <f t="shared" si="20"/>
        <v>16673.407108433734</v>
      </c>
      <c r="O24" s="403">
        <f>+O15+O13</f>
        <v>22</v>
      </c>
      <c r="P24" s="401">
        <f>IF(O24&lt;=0,0,Q24/O24)</f>
        <v>754.20090909090902</v>
      </c>
      <c r="Q24" s="402">
        <f>Q21+Q22+Q23</f>
        <v>16592.419999999998</v>
      </c>
      <c r="R24" s="411"/>
      <c r="S24" s="404">
        <f t="shared" si="22"/>
        <v>32751.710000000006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
        <v>75</v>
      </c>
      <c r="B25" s="24" t="s">
        <v>75</v>
      </c>
      <c r="C25" s="264"/>
      <c r="D25" s="178"/>
      <c r="E25" s="178"/>
      <c r="F25" s="304"/>
      <c r="G25" s="303"/>
      <c r="H25" s="178"/>
      <c r="I25" s="304"/>
      <c r="J25" s="303"/>
      <c r="K25" s="178"/>
      <c r="L25" s="304"/>
      <c r="M25" s="362"/>
      <c r="N25" s="332">
        <f>IF(N24=0,0,N24/I24)</f>
        <v>0.51034705181677698</v>
      </c>
      <c r="O25" s="303"/>
      <c r="P25" s="178"/>
      <c r="Q25" s="304"/>
      <c r="R25" s="325"/>
      <c r="S25" s="333">
        <f>IF(Q24=0,0,(S24/Q24))</f>
        <v>1.9738959115065802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
        <v>75</v>
      </c>
      <c r="B26" s="24" t="s">
        <v>75</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
        <v>3318</v>
      </c>
      <c r="B27" s="24" t="s">
        <v>75</v>
      </c>
      <c r="C27" s="269" t="s">
        <v>101</v>
      </c>
      <c r="D27" s="26">
        <f>+D13+D15+D17</f>
        <v>38.436144578313261</v>
      </c>
      <c r="E27" s="27">
        <f>IF(D27&lt;=0,0,F27/D27)</f>
        <v>2833.8903650597508</v>
      </c>
      <c r="F27" s="28">
        <f>F13+F17+F24+F19+F15</f>
        <v>108923.81979052552</v>
      </c>
      <c r="G27" s="29">
        <f>+G13+G15+G17</f>
        <v>38.436144578313261</v>
      </c>
      <c r="H27" s="30">
        <f>IF(G27&lt;=0,0,I27/G27)</f>
        <v>2833.8903650597508</v>
      </c>
      <c r="I27" s="28">
        <f>I13+I17+I24+I19+I15</f>
        <v>108923.81979052552</v>
      </c>
      <c r="J27" s="29">
        <f>+J13+J15+J17</f>
        <v>47</v>
      </c>
      <c r="K27" s="30">
        <f>IF(J27&lt;=0,0,L27/J27)</f>
        <v>4110.4397872340387</v>
      </c>
      <c r="L27" s="28">
        <f>L13+L17+L24+L19+L15</f>
        <v>193190.66999999984</v>
      </c>
      <c r="M27" s="29">
        <f>J27-G27</f>
        <v>8.5638554216867391</v>
      </c>
      <c r="N27" s="28">
        <f>L27-I27</f>
        <v>84266.850209474316</v>
      </c>
      <c r="O27" s="29">
        <f>+O13+O15+O17</f>
        <v>24</v>
      </c>
      <c r="P27" s="30">
        <f>IF(O27&lt;=0,0,Q27/O27)</f>
        <v>1949.3883333333367</v>
      </c>
      <c r="Q27" s="28">
        <f>Q13+Q17+Q24+Q19+Q15</f>
        <v>46785.32000000008</v>
      </c>
      <c r="R27" s="29">
        <f>J27-O27</f>
        <v>23</v>
      </c>
      <c r="S27" s="363">
        <f>L27-Q27</f>
        <v>146405.34999999974</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
        <v>75</v>
      </c>
      <c r="B28" s="24" t="s">
        <v>75</v>
      </c>
      <c r="C28" s="364"/>
      <c r="D28" s="365"/>
      <c r="E28" s="365"/>
      <c r="F28" s="32"/>
      <c r="G28" s="31"/>
      <c r="H28" s="365"/>
      <c r="I28" s="32"/>
      <c r="J28" s="31"/>
      <c r="K28" s="365"/>
      <c r="L28" s="32"/>
      <c r="M28" s="33">
        <f>M27/G27</f>
        <v>0.22280734750172379</v>
      </c>
      <c r="N28" s="34">
        <f>N27/I27</f>
        <v>0.77363106041938556</v>
      </c>
      <c r="O28" s="31"/>
      <c r="P28" s="365"/>
      <c r="Q28" s="32"/>
      <c r="R28" s="33">
        <f>R27/O27</f>
        <v>0.95833333333333337</v>
      </c>
      <c r="S28" s="272">
        <f>IF(Q27=0,0,S27/Q27)</f>
        <v>3.1293010286132379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
        <v>75</v>
      </c>
      <c r="B29" s="24" t="s">
        <v>75</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
        <v>3319</v>
      </c>
      <c r="B30" s="24" t="s">
        <v>75</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
        <v>3320</v>
      </c>
      <c r="B31" s="24" t="s">
        <v>75</v>
      </c>
      <c r="C31" s="264" t="s">
        <v>103</v>
      </c>
      <c r="D31" s="1126">
        <f>F31/(F15+F13)</f>
        <v>0.37878062400115425</v>
      </c>
      <c r="E31" s="197">
        <f t="shared" ref="E31:E40" si="23">F31/D$24</f>
        <v>716.90156207600876</v>
      </c>
      <c r="F31" s="179">
        <f>+INDEX('Budget original'!$A$2:$AO$500,MATCH($A31,'Budget original'!$A$2:$A$500,0),MATCH(F$2,'Budget original'!$A$2:$AO$2,0))</f>
        <v>27554.93208837209</v>
      </c>
      <c r="G31" s="965">
        <f>I31/(I15+I13)</f>
        <v>0.37878062400115425</v>
      </c>
      <c r="H31" s="197">
        <f t="shared" ref="H31:H40" si="24">I31/G$24</f>
        <v>716.90156207600876</v>
      </c>
      <c r="I31" s="179">
        <f>+INDEX('Budget révisé'!$A$2:$AO$500,MATCH($A31,'Budget révisé'!$A$2:$A$500,0),MATCH(I$2,'Budget révisé'!$A$2:$AO$2,0))</f>
        <v>27554.93208837209</v>
      </c>
      <c r="J31" s="965">
        <f>L31/(L15+L13)</f>
        <v>0.35994959857024555</v>
      </c>
      <c r="K31" s="197">
        <f t="shared" ref="K31:K36" si="25">IF(L31=0,0,L31/J$24)</f>
        <v>1042.377659574468</v>
      </c>
      <c r="L31" s="179">
        <f>SUMIFS(BV_Data_An_Cour!$O:$O,BV_Data_An_Cour!$U:$U,$B31,BV_Data_An_Cour!$V:$V,$C31,BV_Data_An_Cour!$W:$W,L$2)</f>
        <v>48991.75</v>
      </c>
      <c r="M31" s="303"/>
      <c r="N31" s="304">
        <f t="shared" ref="N31:N53" si="26">L31-I31</f>
        <v>21436.81791162791</v>
      </c>
      <c r="O31" s="303"/>
      <c r="P31" s="197">
        <f t="shared" ref="P31:P36" si="27">IF(Q31=0,0,Q31/O$24)</f>
        <v>888.06409090909085</v>
      </c>
      <c r="Q31" s="180">
        <f>SUMIFS(BV_Data_An_Prec!$O:$O,BV_Data_An_Prec!$U:$U,$B31,BV_Data_An_Prec!$V:$V,$C31,BV_Data_An_Prec!$W:$W,Q$2)</f>
        <v>19537.41</v>
      </c>
      <c r="R31" s="303"/>
      <c r="S31" s="199">
        <f t="shared" ref="S31:S41" si="28">L31-Q31</f>
        <v>29454.34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
        <v>3321</v>
      </c>
      <c r="B32" s="24" t="s">
        <v>75</v>
      </c>
      <c r="C32" s="326" t="s">
        <v>104</v>
      </c>
      <c r="D32" s="1127">
        <f>F32/F24</f>
        <v>0.3</v>
      </c>
      <c r="E32" s="413">
        <f t="shared" si="23"/>
        <v>254.99999999999997</v>
      </c>
      <c r="F32" s="177">
        <f>+INDEX('Budget original'!$A$2:$AO$500,MATCH($A32,'Budget original'!$A$2:$A$500,0),MATCH(F$2,'Budget original'!$A$2:$AO$2,0))</f>
        <v>9801.2168674698805</v>
      </c>
      <c r="G32" s="966">
        <f>I32/I24</f>
        <v>0.3</v>
      </c>
      <c r="H32" s="190">
        <f t="shared" si="24"/>
        <v>254.99999999999997</v>
      </c>
      <c r="I32" s="177">
        <f>+INDEX('Budget révisé'!$A$2:$AO$500,MATCH($A32,'Budget révisé'!$A$2:$A$500,0),MATCH(I$2,'Budget révisé'!$A$2:$AO$2,0))</f>
        <v>9801.2168674698805</v>
      </c>
      <c r="J32" s="1113">
        <f>L32/L24</f>
        <v>0.33032520788186964</v>
      </c>
      <c r="K32" s="413">
        <f t="shared" si="25"/>
        <v>346.80021276595744</v>
      </c>
      <c r="L32" s="244">
        <f>SUMIFS(BV_Data_An_Cour!$O:$O,BV_Data_An_Cour!$U:$U,$B32,BV_Data_An_Cour!$V:$V,$C32,BV_Data_An_Cour!$W:$W,L$2)</f>
        <v>16299.61</v>
      </c>
      <c r="M32" s="310"/>
      <c r="N32" s="311">
        <f t="shared" si="26"/>
        <v>6498.3931325301201</v>
      </c>
      <c r="O32" s="310"/>
      <c r="P32" s="413">
        <f t="shared" si="27"/>
        <v>222.40772727272727</v>
      </c>
      <c r="Q32" s="177">
        <f>SUMIFS(BV_Data_An_Prec!$O:$O,BV_Data_An_Prec!$U:$U,$B32,BV_Data_An_Prec!$V:$V,$C32,BV_Data_An_Prec!$W:$W,Q$2)</f>
        <v>4892.97</v>
      </c>
      <c r="R32" s="310"/>
      <c r="S32" s="202">
        <f t="shared" si="28"/>
        <v>11406.64</v>
      </c>
      <c r="T32" s="222"/>
      <c r="U32" s="514" t="s">
        <v>3155</v>
      </c>
      <c r="V32" s="514"/>
      <c r="W32" s="514"/>
      <c r="X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
        <v>3322</v>
      </c>
      <c r="B33" s="24" t="s">
        <v>75</v>
      </c>
      <c r="C33" s="264" t="s">
        <v>105</v>
      </c>
      <c r="D33" s="301"/>
      <c r="E33" s="197">
        <f t="shared" si="23"/>
        <v>167.84930226439226</v>
      </c>
      <c r="F33" s="179">
        <f>+INDEX('Budget original'!$A$2:$AO$500,MATCH($A33,'Budget original'!$A$2:$A$500,0),MATCH(F$2,'Budget original'!$A$2:$AO$2,0))</f>
        <v>6451.4800492031845</v>
      </c>
      <c r="G33" s="302"/>
      <c r="H33" s="197">
        <f t="shared" si="24"/>
        <v>167.84930226439226</v>
      </c>
      <c r="I33" s="179">
        <f>+INDEX('Budget révisé'!$A$2:$AO$500,MATCH($A33,'Budget révisé'!$A$2:$A$500,0),MATCH(I$2,'Budget révisé'!$A$2:$AO$2,0))</f>
        <v>6451.4800492031845</v>
      </c>
      <c r="J33" s="303"/>
      <c r="K33" s="228">
        <f t="shared" si="25"/>
        <v>131.15829787234043</v>
      </c>
      <c r="L33" s="231">
        <f>SUMIFS(BV_Data_An_Cour!$O:$O,BV_Data_An_Cour!$U:$U,$B33,BV_Data_An_Cour!$V:$V,$C33,BV_Data_An_Cour!$W:$W,L$2)</f>
        <v>6164.44</v>
      </c>
      <c r="M33" s="303"/>
      <c r="N33" s="304">
        <f t="shared" si="26"/>
        <v>-287.04004920318494</v>
      </c>
      <c r="O33" s="303"/>
      <c r="P33" s="197">
        <f t="shared" si="27"/>
        <v>218.10454545454547</v>
      </c>
      <c r="Q33" s="180">
        <f>SUMIFS(BV_Data_An_Prec!$O:$O,BV_Data_An_Prec!$U:$U,$B33,BV_Data_An_Prec!$V:$V,$C33,BV_Data_An_Prec!$W:$W,Q$2)</f>
        <v>4798.3</v>
      </c>
      <c r="R33" s="303"/>
      <c r="S33" s="199">
        <f t="shared" si="28"/>
        <v>1366.1399999999994</v>
      </c>
      <c r="T33" s="222"/>
      <c r="U33" s="514">
        <f>H33*$J$27</f>
        <v>7888.9172064264367</v>
      </c>
      <c r="V33" s="967">
        <f>L33-U33</f>
        <v>-1724.4772064264371</v>
      </c>
      <c r="W33" s="514"/>
      <c r="X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
        <v>3323</v>
      </c>
      <c r="B34" s="24" t="s">
        <v>75</v>
      </c>
      <c r="C34" s="264" t="s">
        <v>106</v>
      </c>
      <c r="D34" s="301"/>
      <c r="E34" s="197">
        <f t="shared" si="23"/>
        <v>7.3548076275245764</v>
      </c>
      <c r="F34" s="179">
        <f>+INDEX('Budget original'!$A$2:$AO$500,MATCH($A34,'Budget original'!$A$2:$A$500,0),MATCH(F$2,'Budget original'!$A$2:$AO$2,0))</f>
        <v>282.69044931721578</v>
      </c>
      <c r="G34" s="302"/>
      <c r="H34" s="197">
        <f t="shared" si="24"/>
        <v>7.3548076275245764</v>
      </c>
      <c r="I34" s="179">
        <f>+INDEX('Budget révisé'!$A$2:$AO$500,MATCH($A34,'Budget révisé'!$A$2:$A$500,0),MATCH(I$2,'Budget révisé'!$A$2:$AO$2,0))</f>
        <v>282.69044931721578</v>
      </c>
      <c r="J34" s="303"/>
      <c r="K34" s="197">
        <f t="shared" si="25"/>
        <v>0</v>
      </c>
      <c r="L34" s="231">
        <f>SUMIFS(BV_Data_An_Cour!$O:$O,BV_Data_An_Cour!$U:$U,$B34,BV_Data_An_Cour!$V:$V,$C34,BV_Data_An_Cour!$W:$W,L$2)</f>
        <v>0</v>
      </c>
      <c r="M34" s="303"/>
      <c r="N34" s="304">
        <f t="shared" si="26"/>
        <v>-282.69044931721578</v>
      </c>
      <c r="O34" s="303"/>
      <c r="P34" s="197">
        <f t="shared" si="27"/>
        <v>19.268636363636364</v>
      </c>
      <c r="Q34" s="180">
        <f>SUMIFS(BV_Data_An_Prec!$O:$O,BV_Data_An_Prec!$U:$U,$B34,BV_Data_An_Prec!$V:$V,$C34,BV_Data_An_Prec!$W:$W,Q$2)</f>
        <v>423.91</v>
      </c>
      <c r="R34" s="303"/>
      <c r="S34" s="199">
        <f t="shared" si="28"/>
        <v>-423.91</v>
      </c>
      <c r="T34" s="222"/>
      <c r="U34" s="514">
        <f>H34*$J$27</f>
        <v>345.67595849365512</v>
      </c>
      <c r="V34" s="967">
        <f>L34-U34</f>
        <v>-345.67595849365512</v>
      </c>
      <c r="W34" s="514"/>
      <c r="X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
        <v>3324</v>
      </c>
      <c r="B35" s="24" t="s">
        <v>75</v>
      </c>
      <c r="C35" s="326" t="s">
        <v>107</v>
      </c>
      <c r="D35" s="307"/>
      <c r="E35" s="413">
        <f t="shared" si="23"/>
        <v>17.73311821247648</v>
      </c>
      <c r="F35" s="177">
        <f>+INDEX('Budget original'!$A$2:$AO$500,MATCH($A35,'Budget original'!$A$2:$A$500,0),MATCH(F$2,'Budget original'!$A$2:$AO$2,0))</f>
        <v>681.59269543906601</v>
      </c>
      <c r="G35" s="309"/>
      <c r="H35" s="190">
        <f t="shared" si="24"/>
        <v>17.73311821247648</v>
      </c>
      <c r="I35" s="177">
        <f>+INDEX('Budget révisé'!$A$2:$AO$500,MATCH($A35,'Budget révisé'!$A$2:$A$500,0),MATCH(I$2,'Budget révisé'!$A$2:$AO$2,0))</f>
        <v>681.59269543906601</v>
      </c>
      <c r="J35" s="310"/>
      <c r="K35" s="1186">
        <f t="shared" si="25"/>
        <v>62.411276595744681</v>
      </c>
      <c r="L35" s="244">
        <f>SUMIFS(BV_Data_An_Cour!$O:$O,BV_Data_An_Cour!$U:$U,$B35,BV_Data_An_Cour!$V:$V,$C35,BV_Data_An_Cour!$W:$W,L$2)</f>
        <v>2933.33</v>
      </c>
      <c r="M35" s="310"/>
      <c r="N35" s="311">
        <f t="shared" si="26"/>
        <v>2251.7373045609338</v>
      </c>
      <c r="O35" s="310"/>
      <c r="P35" s="413">
        <f t="shared" si="27"/>
        <v>7.7249999999999996</v>
      </c>
      <c r="Q35" s="180">
        <f>SUMIFS(BV_Data_An_Prec!$O:$O,BV_Data_An_Prec!$U:$U,$B35,BV_Data_An_Prec!$V:$V,$C35,BV_Data_An_Prec!$W:$W,Q$2)</f>
        <v>169.95</v>
      </c>
      <c r="R35" s="310"/>
      <c r="S35" s="202">
        <f t="shared" si="28"/>
        <v>2763.38</v>
      </c>
      <c r="T35" s="222"/>
      <c r="U35" s="514">
        <f>H35*$J$27</f>
        <v>833.45655598639462</v>
      </c>
      <c r="V35" s="967">
        <f>L35-U35</f>
        <v>2099.8734440136054</v>
      </c>
      <c r="W35" s="1260" t="s">
        <v>3293</v>
      </c>
      <c r="X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
        <v>3325</v>
      </c>
      <c r="B36" s="24" t="s">
        <v>75</v>
      </c>
      <c r="C36" s="264" t="s">
        <v>108</v>
      </c>
      <c r="D36" s="301"/>
      <c r="E36" s="197">
        <f t="shared" si="23"/>
        <v>195.93765281173592</v>
      </c>
      <c r="F36" s="179">
        <f>+INDEX('Budget original'!$A$2:$AO$500,MATCH($A36,'Budget original'!$A$2:$A$500,0),MATCH(F$2,'Budget original'!$A$2:$AO$2,0))</f>
        <v>7531.0879518072297</v>
      </c>
      <c r="G36" s="302"/>
      <c r="H36" s="197">
        <f t="shared" si="24"/>
        <v>195.93765281173592</v>
      </c>
      <c r="I36" s="179">
        <f>+INDEX('Budget révisé'!$A$2:$AO$500,MATCH($A36,'Budget révisé'!$A$2:$A$500,0),MATCH(I$2,'Budget révisé'!$A$2:$AO$2,0))</f>
        <v>7531.0879518072297</v>
      </c>
      <c r="J36" s="303"/>
      <c r="K36" s="197">
        <f t="shared" si="25"/>
        <v>199.03404255319148</v>
      </c>
      <c r="L36" s="1190">
        <f>SUMIFS(BV_Data_An_Cour!$O:$O,BV_Data_An_Cour!$U:$U,$B36,BV_Data_An_Cour!$V:$V,$C36,BV_Data_An_Cour!$W:$W,L$2)</f>
        <v>9354.6</v>
      </c>
      <c r="M36" s="178"/>
      <c r="N36" s="304">
        <f t="shared" si="26"/>
        <v>1823.5120481927706</v>
      </c>
      <c r="O36" s="303"/>
      <c r="P36" s="197">
        <f t="shared" si="27"/>
        <v>335.45909090909095</v>
      </c>
      <c r="Q36" s="429">
        <f>SUMIFS(BV_Data_An_Prec!$O:$O,BV_Data_An_Prec!$U:$U,$B36,BV_Data_An_Prec!$V:$V,$C36,BV_Data_An_Prec!$W:$W,Q$2)</f>
        <v>7380.1</v>
      </c>
      <c r="R36" s="303"/>
      <c r="S36" s="199">
        <f t="shared" si="28"/>
        <v>1974.5</v>
      </c>
      <c r="T36" s="222"/>
      <c r="U36" s="514"/>
      <c r="W36" s="1259" t="s">
        <v>3294</v>
      </c>
      <c r="X36" s="1259" t="s">
        <v>3295</v>
      </c>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
        <v>3326</v>
      </c>
      <c r="B37" s="24" t="s">
        <v>75</v>
      </c>
      <c r="C37" s="264" t="s">
        <v>109</v>
      </c>
      <c r="D37" s="301"/>
      <c r="E37" s="197">
        <f t="shared" si="23"/>
        <v>146.62808861093757</v>
      </c>
      <c r="F37" s="179">
        <f>+INDEX('Budget original'!$A$2:$AO$500,MATCH($A37,'Budget original'!$A$2:$A$500,0),MATCH(F$2,'Budget original'!$A$2:$AO$2,0))</f>
        <v>5635.8184130917243</v>
      </c>
      <c r="G37" s="302"/>
      <c r="H37" s="197">
        <f t="shared" si="24"/>
        <v>146.62808861093757</v>
      </c>
      <c r="I37" s="179">
        <f>+INDEX('Budget révisé'!$A$2:$AO$500,MATCH($A37,'Budget révisé'!$A$2:$A$500,0),MATCH(I$2,'Budget révisé'!$A$2:$AO$2,0))</f>
        <v>5635.8184130917243</v>
      </c>
      <c r="J37" s="303"/>
      <c r="K37" s="197">
        <f t="shared" ref="K37:K40" si="29">IF(L37=0,0,L37/J$24)</f>
        <v>39.557659574468083</v>
      </c>
      <c r="L37" s="630">
        <f>SUMIFS(BV_Data_An_Cour!$O:$O,BV_Data_An_Cour!$U:$U,$B37,BV_Data_An_Cour!$V:$V,$C37,BV_Data_An_Cour!$W:$W,L$2)</f>
        <v>1859.21</v>
      </c>
      <c r="M37" s="178"/>
      <c r="N37" s="304">
        <f t="shared" ref="N37:N40" si="30">L37-I37</f>
        <v>-3776.6084130917243</v>
      </c>
      <c r="O37" s="303"/>
      <c r="P37" s="197">
        <f t="shared" ref="P37:P40" si="31">IF(Q37=0,0,Q37/O$24)</f>
        <v>524.33818181818185</v>
      </c>
      <c r="Q37" s="180">
        <f>SUMIFS(BV_Data_An_Prec!$O:$O,BV_Data_An_Prec!$U:$U,$B37,BV_Data_An_Prec!$V:$V,$C37,BV_Data_An_Prec!$W:$W,Q$2)</f>
        <v>11535.44</v>
      </c>
      <c r="R37" s="303"/>
      <c r="S37" s="199">
        <f t="shared" ref="S37:S40" si="32">L37-Q37</f>
        <v>-9676.23</v>
      </c>
      <c r="T37" s="222"/>
      <c r="U37" s="514"/>
      <c r="V37" s="967">
        <f>SUM(V33:V35)</f>
        <v>29.720279093513</v>
      </c>
      <c r="W37" s="1261" t="s">
        <v>3296</v>
      </c>
      <c r="X37" s="1261"/>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
        <v>3309</v>
      </c>
      <c r="B38" s="24" t="s">
        <v>75</v>
      </c>
      <c r="C38" s="264" t="s">
        <v>42</v>
      </c>
      <c r="D38" s="301"/>
      <c r="E38" s="197">
        <f t="shared" si="23"/>
        <v>0</v>
      </c>
      <c r="F38" s="179">
        <f>+INDEX('Budget original'!$A$2:$AO$500,MATCH($A38,'Budget original'!$A$2:$A$500,0),MATCH(F$2,'Budget original'!$A$2:$AO$2,0))</f>
        <v>0</v>
      </c>
      <c r="G38" s="302"/>
      <c r="H38" s="197">
        <f t="shared" si="24"/>
        <v>0</v>
      </c>
      <c r="I38" s="179">
        <f>+INDEX('Budget révisé'!$A$2:$AO$500,MATCH($A38,'Budget révisé'!$A$2:$A$500,0),MATCH(I$2,'Budget révisé'!$A$2:$AO$2,0))</f>
        <v>0</v>
      </c>
      <c r="J38" s="303"/>
      <c r="K38" s="197">
        <f t="shared" si="29"/>
        <v>0</v>
      </c>
      <c r="L38" s="630">
        <f>SUMIFS(BV_Data_An_Cour!$O:$O,BV_Data_An_Cour!$U:$U,$B38,BV_Data_An_Cour!$V:$V,$C38,BV_Data_An_Cour!$W:$W,L$2)</f>
        <v>0</v>
      </c>
      <c r="M38" s="178"/>
      <c r="N38" s="304">
        <f t="shared" si="30"/>
        <v>0</v>
      </c>
      <c r="O38" s="303"/>
      <c r="P38" s="197">
        <f t="shared" si="31"/>
        <v>0</v>
      </c>
      <c r="Q38" s="180">
        <f>SUMIFS(BV_Data_An_Prec!$O:$O,BV_Data_An_Prec!$U:$U,$B38,BV_Data_An_Prec!$V:$V,$C38,BV_Data_An_Prec!$W:$W,Q$2)</f>
        <v>0</v>
      </c>
      <c r="R38" s="303"/>
      <c r="S38" s="199">
        <f t="shared" si="32"/>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
        <v>3309</v>
      </c>
      <c r="B39" s="24" t="s">
        <v>75</v>
      </c>
      <c r="C39" s="264" t="s">
        <v>42</v>
      </c>
      <c r="D39" s="301"/>
      <c r="E39" s="197">
        <f t="shared" si="23"/>
        <v>0</v>
      </c>
      <c r="F39" s="179">
        <f>+INDEX('Budget original'!$A$2:$AO$500,MATCH($A39,'Budget original'!$A$2:$A$500,0),MATCH(F$2,'Budget original'!$A$2:$AO$2,0))</f>
        <v>0</v>
      </c>
      <c r="G39" s="302"/>
      <c r="H39" s="197">
        <f t="shared" si="24"/>
        <v>0</v>
      </c>
      <c r="I39" s="179">
        <f>+INDEX('Budget révisé'!$A$2:$AO$500,MATCH($A39,'Budget révisé'!$A$2:$A$500,0),MATCH(I$2,'Budget révisé'!$A$2:$AO$2,0))</f>
        <v>0</v>
      </c>
      <c r="J39" s="303"/>
      <c r="K39" s="197">
        <f t="shared" si="29"/>
        <v>0</v>
      </c>
      <c r="L39" s="630">
        <f>SUMIFS(BV_Data_An_Cour!$O:$O,BV_Data_An_Cour!$U:$U,$B39,BV_Data_An_Cour!$V:$V,$C39,BV_Data_An_Cour!$W:$W,L$2)</f>
        <v>0</v>
      </c>
      <c r="M39" s="178"/>
      <c r="N39" s="304">
        <f t="shared" si="30"/>
        <v>0</v>
      </c>
      <c r="O39" s="303"/>
      <c r="P39" s="197">
        <f t="shared" si="31"/>
        <v>0</v>
      </c>
      <c r="Q39" s="180">
        <f>SUMIFS(BV_Data_An_Prec!$O:$O,BV_Data_An_Prec!$U:$U,$B39,BV_Data_An_Prec!$V:$V,$C39,BV_Data_An_Prec!$W:$W,Q$2)</f>
        <v>0</v>
      </c>
      <c r="R39" s="303"/>
      <c r="S39" s="199">
        <f t="shared" si="32"/>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
        <v>3309</v>
      </c>
      <c r="B40" s="24" t="s">
        <v>75</v>
      </c>
      <c r="C40" s="264" t="s">
        <v>42</v>
      </c>
      <c r="D40" s="301"/>
      <c r="E40" s="197">
        <f t="shared" si="23"/>
        <v>0</v>
      </c>
      <c r="F40" s="179">
        <f>+INDEX('Budget original'!$A$2:$AO$500,MATCH($A40,'Budget original'!$A$2:$A$500,0),MATCH(F$2,'Budget original'!$A$2:$AO$2,0))</f>
        <v>0</v>
      </c>
      <c r="G40" s="302"/>
      <c r="H40" s="197">
        <f t="shared" si="24"/>
        <v>0</v>
      </c>
      <c r="I40" s="179">
        <f>+INDEX('Budget révisé'!$A$2:$AO$500,MATCH($A40,'Budget révisé'!$A$2:$A$500,0),MATCH(I$2,'Budget révisé'!$A$2:$AO$2,0))</f>
        <v>0</v>
      </c>
      <c r="J40" s="303"/>
      <c r="K40" s="197">
        <f t="shared" si="29"/>
        <v>0</v>
      </c>
      <c r="L40" s="631">
        <f>SUMIFS(BV_Data_An_Cour!$O:$O,BV_Data_An_Cour!$U:$U,$B40,BV_Data_An_Cour!$V:$V,$C40,BV_Data_An_Cour!$W:$W,L$2)</f>
        <v>0</v>
      </c>
      <c r="M40" s="178"/>
      <c r="N40" s="304">
        <f t="shared" si="30"/>
        <v>0</v>
      </c>
      <c r="O40" s="303"/>
      <c r="P40" s="197">
        <f t="shared" si="31"/>
        <v>0</v>
      </c>
      <c r="Q40" s="180">
        <f>SUMIFS(BV_Data_An_Prec!$O:$O,BV_Data_An_Prec!$U:$U,$B40,BV_Data_An_Prec!$V:$V,$C40,BV_Data_An_Prec!$W:$W,Q$2)</f>
        <v>0</v>
      </c>
      <c r="R40" s="303"/>
      <c r="S40" s="199">
        <f t="shared" si="32"/>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
        <v>3327</v>
      </c>
      <c r="B41" s="24" t="s">
        <v>75</v>
      </c>
      <c r="C41" s="298" t="s">
        <v>110</v>
      </c>
      <c r="D41" s="39" t="s">
        <v>111</v>
      </c>
      <c r="E41" s="40">
        <f>F41/F$27</f>
        <v>0.53192055352194012</v>
      </c>
      <c r="F41" s="41">
        <f>SUM(F31:F40)</f>
        <v>57938.818514700397</v>
      </c>
      <c r="G41" s="42" t="s">
        <v>111</v>
      </c>
      <c r="H41" s="40">
        <f>I41/I$27</f>
        <v>0.53192055352194012</v>
      </c>
      <c r="I41" s="41">
        <f>SUM(I31:I40)</f>
        <v>57938.818514700397</v>
      </c>
      <c r="J41" s="42" t="s">
        <v>111</v>
      </c>
      <c r="K41" s="40">
        <f>L41/L$27</f>
        <v>0.44310079777662187</v>
      </c>
      <c r="L41" s="41">
        <f>SUM(L31:L40)</f>
        <v>85602.940000000017</v>
      </c>
      <c r="M41" s="583"/>
      <c r="N41" s="41">
        <f t="shared" si="26"/>
        <v>27664.12148529962</v>
      </c>
      <c r="O41" s="42" t="s">
        <v>111</v>
      </c>
      <c r="P41" s="40">
        <f>Q41/Q$27</f>
        <v>1.0417387334317669</v>
      </c>
      <c r="Q41" s="582">
        <f>SUM(Q31:Q40)</f>
        <v>48738.080000000002</v>
      </c>
      <c r="R41" s="44"/>
      <c r="S41" s="316">
        <f t="shared" si="28"/>
        <v>36864.860000000015</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
        <v>3328</v>
      </c>
      <c r="B42" s="24" t="s">
        <v>75</v>
      </c>
      <c r="C42" s="305" t="s">
        <v>112</v>
      </c>
      <c r="D42" s="178"/>
      <c r="E42" s="178"/>
      <c r="F42" s="179">
        <f>+INDEX('Budget original'!$A$2:$AO$500,MATCH($A42,'Budget original'!$A$2:$A$500,0),MATCH(F$2,'Budget original'!$A$2:$AO$2,0))</f>
        <v>15359.233908045977</v>
      </c>
      <c r="G42" s="303"/>
      <c r="H42" s="178"/>
      <c r="I42" s="179">
        <f>+INDEX('Budget révisé'!$A$2:$AO$500,MATCH($A42,'Budget révisé'!$A$2:$A$500,0),MATCH(I$2,'Budget révisé'!$A$2:$AO$2,0))</f>
        <v>15359.233908045977</v>
      </c>
      <c r="J42" s="303"/>
      <c r="K42" s="178"/>
      <c r="L42" s="281">
        <f>SUMIFS(BV_Data_An_Cour!$O:$O,BV_Data_An_Cour!$U:$U,$B42,BV_Data_An_Cour!$V:$V,$C42,BV_Data_An_Cour!$W:$W,L$2)</f>
        <v>11574.55</v>
      </c>
      <c r="M42" s="303"/>
      <c r="N42" s="304">
        <f t="shared" si="26"/>
        <v>-3784.6839080459777</v>
      </c>
      <c r="O42" s="303"/>
      <c r="P42" s="178"/>
      <c r="Q42" s="180">
        <f>SUMIFS(BV_Data_An_Prec!$O:$O,BV_Data_An_Prec!$U:$U,$B42,BV_Data_An_Prec!$V:$V,$C42,BV_Data_An_Prec!$W:$W,Q$2)</f>
        <v>6384.14</v>
      </c>
      <c r="R42" s="303"/>
      <c r="S42" s="199">
        <f t="shared" ref="S42:S53" si="33">L42-Q42</f>
        <v>5190.4099999999989</v>
      </c>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
        <v>3329</v>
      </c>
      <c r="B43" s="24" t="s">
        <v>75</v>
      </c>
      <c r="C43" s="306" t="s">
        <v>113</v>
      </c>
      <c r="D43" s="301"/>
      <c r="E43" s="178"/>
      <c r="F43" s="177">
        <f>+INDEX('Budget original'!$A$2:$AO$500,MATCH($A43,'Budget original'!$A$2:$A$500,0),MATCH(F$2,'Budget original'!$A$2:$AO$2,0))</f>
        <v>9386.1060598965523</v>
      </c>
      <c r="G43" s="302"/>
      <c r="H43" s="178"/>
      <c r="I43" s="177">
        <f>+INDEX('Budget révisé'!$A$2:$AO$500,MATCH($A43,'Budget révisé'!$A$2:$A$500,0),MATCH(I$2,'Budget révisé'!$A$2:$AO$2,0))</f>
        <v>9386.1060598965523</v>
      </c>
      <c r="J43" s="303"/>
      <c r="K43" s="178"/>
      <c r="L43" s="281">
        <f>SUMIFS(BV_Data_An_Cour!$O:$O,BV_Data_An_Cour!$U:$U,$B43,BV_Data_An_Cour!$V:$V,$C43,BV_Data_An_Cour!$W:$W,L$2)</f>
        <v>7984.25</v>
      </c>
      <c r="M43" s="303"/>
      <c r="N43" s="304">
        <f t="shared" si="26"/>
        <v>-1401.8560598965523</v>
      </c>
      <c r="O43" s="303"/>
      <c r="P43" s="178"/>
      <c r="Q43" s="180">
        <f>SUMIFS(BV_Data_An_Prec!$O:$O,BV_Data_An_Prec!$U:$U,$B43,BV_Data_An_Prec!$V:$V,$C43,BV_Data_An_Prec!$W:$W,Q$2)</f>
        <v>5390.92</v>
      </c>
      <c r="R43" s="303"/>
      <c r="S43" s="199">
        <f t="shared" si="33"/>
        <v>2593.33</v>
      </c>
      <c r="T43" s="222"/>
      <c r="U43" s="222"/>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
        <v>3330</v>
      </c>
      <c r="B44" s="24" t="s">
        <v>75</v>
      </c>
      <c r="C44" s="305" t="s">
        <v>114</v>
      </c>
      <c r="D44" s="392"/>
      <c r="E44" s="352"/>
      <c r="F44" s="179">
        <f>+INDEX('Budget original'!$A$2:$AO$500,MATCH($A44,'Budget original'!$A$2:$A$500,0),MATCH(F$2,'Budget original'!$A$2:$AO$2,0))</f>
        <v>8515.883889011493</v>
      </c>
      <c r="G44" s="393"/>
      <c r="H44" s="352"/>
      <c r="I44" s="179">
        <f>+INDEX('Budget révisé'!$A$2:$AO$500,MATCH($A44,'Budget révisé'!$A$2:$A$500,0),MATCH(I$2,'Budget révisé'!$A$2:$AO$2,0))</f>
        <v>8515.883889011493</v>
      </c>
      <c r="J44" s="368"/>
      <c r="K44" s="352"/>
      <c r="L44" s="245">
        <f>SUMIFS(BV_Data_An_Cour!$O:$O,BV_Data_An_Cour!$U:$U,$B44,BV_Data_An_Cour!$V:$V,$C44,BV_Data_An_Cour!$W:$W,L$2)</f>
        <v>3433.02</v>
      </c>
      <c r="M44" s="368"/>
      <c r="N44" s="356">
        <f t="shared" si="26"/>
        <v>-5082.8638890114926</v>
      </c>
      <c r="O44" s="368"/>
      <c r="P44" s="352"/>
      <c r="Q44" s="181">
        <f>SUMIFS(BV_Data_An_Prec!$O:$O,BV_Data_An_Prec!$U:$U,$B44,BV_Data_An_Prec!$V:$V,$C44,BV_Data_An_Prec!$W:$W,Q$2)</f>
        <v>4197.1099999999997</v>
      </c>
      <c r="R44" s="368"/>
      <c r="S44" s="201">
        <f t="shared" si="33"/>
        <v>-764.08999999999969</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
        <v>3331</v>
      </c>
      <c r="B45" s="24" t="s">
        <v>75</v>
      </c>
      <c r="C45" s="305" t="s">
        <v>115</v>
      </c>
      <c r="D45" s="301"/>
      <c r="E45" s="178"/>
      <c r="F45" s="179">
        <f>+INDEX('Budget original'!$A$2:$AO$500,MATCH($A45,'Budget original'!$A$2:$A$500,0),MATCH(F$2,'Budget original'!$A$2:$AO$2,0))</f>
        <v>0</v>
      </c>
      <c r="G45" s="302"/>
      <c r="H45" s="178"/>
      <c r="I45" s="179">
        <f>+INDEX('Budget révisé'!$A$2:$AO$500,MATCH($A45,'Budget révisé'!$A$2:$A$500,0),MATCH(I$2,'Budget révisé'!$A$2:$AO$2,0))</f>
        <v>0</v>
      </c>
      <c r="J45" s="303"/>
      <c r="K45" s="178"/>
      <c r="L45" s="180">
        <f>SUMIFS(BV_Data_An_Cour!$O:$O,BV_Data_An_Cour!$U:$U,$B45,BV_Data_An_Cour!$V:$V,$C45,BV_Data_An_Cour!$W:$W,L$2)</f>
        <v>0</v>
      </c>
      <c r="M45" s="303"/>
      <c r="N45" s="304">
        <f t="shared" si="26"/>
        <v>0</v>
      </c>
      <c r="O45" s="303"/>
      <c r="P45" s="178"/>
      <c r="Q45" s="180">
        <f>SUMIFS(BV_Data_An_Prec!$O:$O,BV_Data_An_Prec!$U:$U,$B45,BV_Data_An_Prec!$V:$V,$C45,BV_Data_An_Prec!$W:$W,Q$2)</f>
        <v>0</v>
      </c>
      <c r="R45" s="303"/>
      <c r="S45" s="199">
        <f t="shared" si="33"/>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
        <v>3309</v>
      </c>
      <c r="B46" s="24" t="s">
        <v>75</v>
      </c>
      <c r="C46" s="305" t="s">
        <v>42</v>
      </c>
      <c r="D46" s="301"/>
      <c r="E46" s="178"/>
      <c r="F46" s="179">
        <f>+INDEX('Budget original'!$A$2:$AO$500,MATCH($A46,'Budget original'!$A$2:$A$500,0),MATCH(F$2,'Budget original'!$A$2:$AO$2,0))</f>
        <v>0</v>
      </c>
      <c r="G46" s="302"/>
      <c r="H46" s="178"/>
      <c r="I46" s="179">
        <f>+INDEX('Budget révisé'!$A$2:$AO$500,MATCH($A46,'Budget révisé'!$A$2:$A$500,0),MATCH(I$2,'Budget révisé'!$A$2:$AO$2,0))</f>
        <v>0</v>
      </c>
      <c r="J46" s="303"/>
      <c r="K46" s="178"/>
      <c r="L46" s="180">
        <f>SUMIFS(BV_Data_An_Cour!$O:$O,BV_Data_An_Cour!$U:$U,$B46,BV_Data_An_Cour!$V:$V,$C46,BV_Data_An_Cour!$W:$W,L$2)</f>
        <v>0</v>
      </c>
      <c r="M46" s="303"/>
      <c r="N46" s="304">
        <f t="shared" ref="N46:N48" si="34">L46-I46</f>
        <v>0</v>
      </c>
      <c r="O46" s="303"/>
      <c r="P46" s="178"/>
      <c r="Q46" s="180">
        <f>SUMIFS(BV_Data_An_Prec!$O:$O,BV_Data_An_Prec!$U:$U,$B46,BV_Data_An_Prec!$V:$V,$C46,BV_Data_An_Prec!$W:$W,Q$2)</f>
        <v>0</v>
      </c>
      <c r="R46" s="303"/>
      <c r="S46" s="199">
        <f t="shared" ref="S46:S48" si="35">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
        <v>3309</v>
      </c>
      <c r="B47" s="24" t="s">
        <v>75</v>
      </c>
      <c r="C47" s="305" t="s">
        <v>42</v>
      </c>
      <c r="D47" s="301"/>
      <c r="E47" s="178"/>
      <c r="F47" s="179">
        <f>+INDEX('Budget original'!$A$2:$AO$500,MATCH($A47,'Budget original'!$A$2:$A$500,0),MATCH(F$2,'Budget original'!$A$2:$AO$2,0))</f>
        <v>0</v>
      </c>
      <c r="G47" s="302"/>
      <c r="H47" s="178"/>
      <c r="I47" s="179">
        <f>+INDEX('Budget révisé'!$A$2:$AO$500,MATCH($A47,'Budget révisé'!$A$2:$A$500,0),MATCH(I$2,'Budget révisé'!$A$2:$AO$2,0))</f>
        <v>0</v>
      </c>
      <c r="J47" s="303"/>
      <c r="K47" s="178"/>
      <c r="L47" s="180">
        <f>SUMIFS(BV_Data_An_Cour!$O:$O,BV_Data_An_Cour!$U:$U,$B47,BV_Data_An_Cour!$V:$V,$C47,BV_Data_An_Cour!$W:$W,L$2)</f>
        <v>0</v>
      </c>
      <c r="M47" s="303"/>
      <c r="N47" s="304">
        <f t="shared" si="34"/>
        <v>0</v>
      </c>
      <c r="O47" s="303"/>
      <c r="P47" s="178"/>
      <c r="Q47" s="180">
        <f>SUMIFS(BV_Data_An_Prec!$O:$O,BV_Data_An_Prec!$U:$U,$B47,BV_Data_An_Prec!$V:$V,$C47,BV_Data_An_Prec!$W:$W,Q$2)</f>
        <v>0</v>
      </c>
      <c r="R47" s="303"/>
      <c r="S47" s="199">
        <f t="shared" si="35"/>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
        <v>3309</v>
      </c>
      <c r="B48" s="24" t="s">
        <v>75</v>
      </c>
      <c r="C48" s="305" t="s">
        <v>42</v>
      </c>
      <c r="D48" s="301"/>
      <c r="E48" s="178"/>
      <c r="F48" s="179">
        <f>+INDEX('Budget original'!$A$2:$AO$500,MATCH($A48,'Budget original'!$A$2:$A$500,0),MATCH(F$2,'Budget original'!$A$2:$AO$2,0))</f>
        <v>0</v>
      </c>
      <c r="G48" s="302"/>
      <c r="H48" s="178"/>
      <c r="I48" s="179">
        <f>+INDEX('Budget révisé'!$A$2:$AO$500,MATCH($A48,'Budget révisé'!$A$2:$A$500,0),MATCH(I$2,'Budget révisé'!$A$2:$AO$2,0))</f>
        <v>0</v>
      </c>
      <c r="J48" s="303"/>
      <c r="K48" s="178"/>
      <c r="L48" s="180">
        <f>SUMIFS(BV_Data_An_Cour!$O:$O,BV_Data_An_Cour!$U:$U,$B48,BV_Data_An_Cour!$V:$V,$C48,BV_Data_An_Cour!$W:$W,L$2)</f>
        <v>0</v>
      </c>
      <c r="M48" s="303"/>
      <c r="N48" s="304">
        <f t="shared" si="34"/>
        <v>0</v>
      </c>
      <c r="O48" s="303"/>
      <c r="P48" s="178"/>
      <c r="Q48" s="180">
        <f>SUMIFS(BV_Data_An_Prec!$O:$O,BV_Data_An_Prec!$U:$U,$B48,BV_Data_An_Prec!$V:$V,$C48,BV_Data_An_Prec!$W:$W,Q$2)</f>
        <v>0</v>
      </c>
      <c r="R48" s="303"/>
      <c r="S48" s="199">
        <f t="shared" si="35"/>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
        <v>3332</v>
      </c>
      <c r="B49" s="24" t="s">
        <v>75</v>
      </c>
      <c r="C49" s="306" t="s">
        <v>116</v>
      </c>
      <c r="D49" s="301"/>
      <c r="E49" s="178"/>
      <c r="F49" s="177">
        <f>+INDEX('Budget original'!$A$2:$AO$500,MATCH($A49,'Budget original'!$A$2:$A$500,0),MATCH(F$2,'Budget original'!$A$2:$AO$2,0))</f>
        <v>8813.5959114031139</v>
      </c>
      <c r="G49" s="302"/>
      <c r="H49" s="178"/>
      <c r="I49" s="177">
        <f>+INDEX('Budget révisé'!$A$2:$AO$500,MATCH($A49,'Budget révisé'!$A$2:$A$500,0),MATCH(I$2,'Budget révisé'!$A$2:$AO$2,0))</f>
        <v>8813.5959114031139</v>
      </c>
      <c r="J49" s="303"/>
      <c r="K49" s="178"/>
      <c r="L49" s="177">
        <f>SUMIFS(BV_Data_An_Cour!$O:$O,BV_Data_An_Cour!$U:$U,$B49,BV_Data_An_Cour!$V:$V,$C49,BV_Data_An_Cour!$W:$W,L$2)</f>
        <v>8813.36</v>
      </c>
      <c r="M49" s="303"/>
      <c r="N49" s="304">
        <f t="shared" si="26"/>
        <v>-0.23591140311327763</v>
      </c>
      <c r="O49" s="303"/>
      <c r="P49" s="178"/>
      <c r="Q49" s="177">
        <f>SUMIFS(BV_Data_An_Prec!$O:$O,BV_Data_An_Prec!$U:$U,$B49,BV_Data_An_Prec!$V:$V,$C49,BV_Data_An_Prec!$W:$W,Q$2)</f>
        <v>7394.06</v>
      </c>
      <c r="R49" s="303"/>
      <c r="S49" s="199">
        <f t="shared" si="33"/>
        <v>1419.3000000000002</v>
      </c>
      <c r="T49" s="222"/>
      <c r="U49" s="222"/>
      <c r="V49" s="222"/>
      <c r="W49" s="222"/>
      <c r="X49" s="537"/>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
        <v>3333</v>
      </c>
      <c r="B50" s="24" t="s">
        <v>75</v>
      </c>
      <c r="C50" s="280" t="s">
        <v>117</v>
      </c>
      <c r="D50" s="392"/>
      <c r="E50" s="352"/>
      <c r="F50" s="179">
        <f>+INDEX('Budget original'!$A$2:$AO$500,MATCH($A50,'Budget original'!$A$2:$A$500,0),MATCH(F$2,'Budget original'!$A$2:$AO$2,0))</f>
        <v>7893.4785827371907</v>
      </c>
      <c r="G50" s="393"/>
      <c r="H50" s="352"/>
      <c r="I50" s="179">
        <f>+INDEX('Budget révisé'!$A$2:$AO$500,MATCH($A50,'Budget révisé'!$A$2:$A$500,0),MATCH(I$2,'Budget révisé'!$A$2:$AO$2,0))</f>
        <v>7893.4785827371907</v>
      </c>
      <c r="J50" s="368"/>
      <c r="K50" s="352"/>
      <c r="L50" s="281">
        <f>SUMIFS(BV_Data_An_Cour!$O:$O,BV_Data_An_Cour!$U:$U,$B50,BV_Data_An_Cour!$V:$V,$C50,BV_Data_An_Cour!$W:$W,L$2)</f>
        <v>11443.72</v>
      </c>
      <c r="M50" s="368"/>
      <c r="N50" s="356">
        <f t="shared" si="26"/>
        <v>3550.2414172628087</v>
      </c>
      <c r="O50" s="368"/>
      <c r="P50" s="352"/>
      <c r="Q50" s="180">
        <f>SUMIFS(BV_Data_An_Prec!$O:$O,BV_Data_An_Prec!$U:$U,$B50,BV_Data_An_Prec!$V:$V,$C50,BV_Data_An_Prec!$W:$W,Q$2)</f>
        <v>14260.56</v>
      </c>
      <c r="R50" s="368"/>
      <c r="S50" s="201">
        <f t="shared" si="33"/>
        <v>-2816.84</v>
      </c>
      <c r="T50" s="222"/>
      <c r="U50" s="222"/>
      <c r="V50" s="222"/>
      <c r="W50" s="222"/>
      <c r="X50" s="537"/>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
        <v>3334</v>
      </c>
      <c r="B51" s="24" t="s">
        <v>75</v>
      </c>
      <c r="C51" s="280" t="s">
        <v>118</v>
      </c>
      <c r="D51" s="301"/>
      <c r="E51" s="178"/>
      <c r="F51" s="179">
        <f>+INDEX('Budget original'!$A$2:$AO$500,MATCH($A51,'Budget original'!$A$2:$A$500,0),MATCH(F$2,'Budget original'!$A$2:$AO$2,0))</f>
        <v>6268.3506392324753</v>
      </c>
      <c r="G51" s="302"/>
      <c r="H51" s="178"/>
      <c r="I51" s="179">
        <f>+INDEX('Budget révisé'!$A$2:$AO$500,MATCH($A51,'Budget révisé'!$A$2:$A$500,0),MATCH(I$2,'Budget révisé'!$A$2:$AO$2,0))</f>
        <v>6268.3506392324753</v>
      </c>
      <c r="J51" s="303"/>
      <c r="K51" s="178"/>
      <c r="L51" s="180">
        <f>SUMIFS(BV_Data_An_Cour!$O:$O,BV_Data_An_Cour!$U:$U,$B51,BV_Data_An_Cour!$V:$V,$C51,BV_Data_An_Cour!$W:$W,L$2)</f>
        <v>6110.59</v>
      </c>
      <c r="M51" s="303"/>
      <c r="N51" s="304">
        <f t="shared" si="26"/>
        <v>-157.76063923247511</v>
      </c>
      <c r="O51" s="303"/>
      <c r="P51" s="178"/>
      <c r="Q51" s="180">
        <f>SUMIFS(BV_Data_An_Prec!$O:$O,BV_Data_An_Prec!$U:$U,$B51,BV_Data_An_Prec!$V:$V,$C51,BV_Data_An_Prec!$W:$W,Q$2)</f>
        <v>5856</v>
      </c>
      <c r="R51" s="303"/>
      <c r="S51" s="199">
        <f t="shared" si="33"/>
        <v>254.59000000000015</v>
      </c>
      <c r="T51" s="222"/>
      <c r="U51" s="222"/>
      <c r="V51" s="222"/>
      <c r="W51" s="222"/>
      <c r="X51" s="537"/>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
        <v>3335</v>
      </c>
      <c r="B52" s="24" t="s">
        <v>75</v>
      </c>
      <c r="C52" s="280" t="s">
        <v>119</v>
      </c>
      <c r="D52" s="301"/>
      <c r="E52" s="178"/>
      <c r="F52" s="179">
        <f>+INDEX('Budget original'!$A$2:$AO$500,MATCH($A52,'Budget original'!$A$2:$A$500,0),MATCH(F$2,'Budget original'!$A$2:$AO$2,0))</f>
        <v>2553.7724826502681</v>
      </c>
      <c r="G52" s="302"/>
      <c r="H52" s="178"/>
      <c r="I52" s="179">
        <f>+INDEX('Budget révisé'!$A$2:$AO$500,MATCH($A52,'Budget révisé'!$A$2:$A$500,0),MATCH(I$2,'Budget révisé'!$A$2:$AO$2,0))</f>
        <v>2553.7724826502681</v>
      </c>
      <c r="J52" s="303"/>
      <c r="K52" s="178"/>
      <c r="L52" s="180">
        <f>SUMIFS(BV_Data_An_Cour!$O:$O,BV_Data_An_Cour!$U:$U,$B52,BV_Data_An_Cour!$V:$V,$C52,BV_Data_An_Cour!$W:$W,L$2)</f>
        <v>3312.72</v>
      </c>
      <c r="M52" s="303"/>
      <c r="N52" s="304">
        <f t="shared" si="26"/>
        <v>758.9475173497317</v>
      </c>
      <c r="O52" s="303"/>
      <c r="P52" s="178"/>
      <c r="Q52" s="180">
        <f>SUMIFS(BV_Data_An_Prec!$O:$O,BV_Data_An_Prec!$U:$U,$B52,BV_Data_An_Prec!$V:$V,$C52,BV_Data_An_Prec!$W:$W,Q$2)</f>
        <v>0</v>
      </c>
      <c r="R52" s="303"/>
      <c r="S52" s="199">
        <f t="shared" si="33"/>
        <v>3312.72</v>
      </c>
      <c r="T52" s="222"/>
      <c r="U52" s="222"/>
      <c r="V52" s="222"/>
      <c r="W52" s="222"/>
      <c r="X52" s="537"/>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
        <v>3309</v>
      </c>
      <c r="B53" s="24" t="s">
        <v>75</v>
      </c>
      <c r="C53" s="264" t="s">
        <v>42</v>
      </c>
      <c r="D53" s="307"/>
      <c r="E53" s="308"/>
      <c r="F53" s="179">
        <f>+INDEX('Budget original'!$A$2:$AO$500,MATCH($A53,'Budget original'!$A$2:$A$500,0),MATCH(F$2,'Budget original'!$A$2:$AO$2,0))</f>
        <v>0</v>
      </c>
      <c r="G53" s="309"/>
      <c r="H53" s="308"/>
      <c r="I53" s="179">
        <f>+INDEX('Budget révisé'!$A$2:$AO$500,MATCH($A53,'Budget révisé'!$A$2:$A$500,0),MATCH(I$2,'Budget révisé'!$A$2:$AO$2,0))</f>
        <v>0</v>
      </c>
      <c r="J53" s="310"/>
      <c r="K53" s="308"/>
      <c r="L53" s="180">
        <f>SUMIFS(BV_Data_An_Cour!$O:$O,BV_Data_An_Cour!$U:$U,$B53,BV_Data_An_Cour!$V:$V,$C53,BV_Data_An_Cour!$W:$W,L$2)</f>
        <v>0</v>
      </c>
      <c r="M53" s="310"/>
      <c r="N53" s="311">
        <f t="shared" si="26"/>
        <v>0</v>
      </c>
      <c r="O53" s="310"/>
      <c r="P53" s="308"/>
      <c r="Q53" s="180">
        <f>SUMIFS(BV_Data_An_Prec!$O:$O,BV_Data_An_Prec!$U:$U,$B53,BV_Data_An_Prec!$V:$V,$C53,BV_Data_An_Prec!$W:$W,Q$2)</f>
        <v>0</v>
      </c>
      <c r="R53" s="310"/>
      <c r="S53" s="202">
        <f t="shared" si="33"/>
        <v>0</v>
      </c>
      <c r="T53" s="222"/>
      <c r="U53" s="222"/>
      <c r="V53" s="222"/>
      <c r="W53" s="222"/>
      <c r="X53" s="537"/>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
        <v>3336</v>
      </c>
      <c r="B54" s="24" t="s">
        <v>75</v>
      </c>
      <c r="C54" s="298" t="s">
        <v>120</v>
      </c>
      <c r="D54" s="39" t="s">
        <v>111</v>
      </c>
      <c r="E54" s="40">
        <f>F54/F$27</f>
        <v>0.53973888894126731</v>
      </c>
      <c r="F54" s="41">
        <f>+SUM(F42:F53)</f>
        <v>58790.421472977068</v>
      </c>
      <c r="G54" s="42" t="s">
        <v>111</v>
      </c>
      <c r="H54" s="40">
        <f>I54/I$27</f>
        <v>0.53973888894126731</v>
      </c>
      <c r="I54" s="41">
        <f>+SUM(I42:I53)</f>
        <v>58790.421472977068</v>
      </c>
      <c r="J54" s="42" t="s">
        <v>111</v>
      </c>
      <c r="K54" s="40">
        <f>L54/L$27</f>
        <v>0.27264365302941418</v>
      </c>
      <c r="L54" s="41">
        <f>+SUM(L42:L53)</f>
        <v>52672.210000000006</v>
      </c>
      <c r="M54" s="44"/>
      <c r="N54" s="41">
        <f>+SUM(N42:N53)</f>
        <v>-6118.211472977071</v>
      </c>
      <c r="O54" s="42" t="s">
        <v>111</v>
      </c>
      <c r="P54" s="40">
        <f>Q54/Q$27</f>
        <v>0.92941097763144354</v>
      </c>
      <c r="Q54" s="41">
        <f>+SUM(Q42:Q53)</f>
        <v>43482.79</v>
      </c>
      <c r="R54" s="44"/>
      <c r="S54" s="316">
        <f>+SUM(S42:S53)</f>
        <v>9189.42</v>
      </c>
      <c r="T54" s="229"/>
      <c r="U54" s="222"/>
      <c r="V54" s="514"/>
      <c r="W54" s="514"/>
      <c r="X54" s="537"/>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
        <v>3337</v>
      </c>
      <c r="B55" s="24" t="s">
        <v>75</v>
      </c>
      <c r="C55" s="264" t="s">
        <v>121</v>
      </c>
      <c r="D55" s="301"/>
      <c r="E55" s="178"/>
      <c r="F55" s="179">
        <f>+INDEX('Budget original'!$A$2:$AO$500,MATCH($A55,'Budget original'!$A$2:$A$500,0),MATCH(F$2,'Budget original'!$A$2:$AO$2,0))</f>
        <v>0</v>
      </c>
      <c r="G55" s="302"/>
      <c r="H55" s="178"/>
      <c r="I55" s="179">
        <f>+INDEX('Budget révisé'!$A$2:$AO$500,MATCH($A55,'Budget révisé'!$A$2:$A$500,0),MATCH(I$2,'Budget révisé'!$A$2:$AO$2,0))</f>
        <v>0</v>
      </c>
      <c r="J55" s="303"/>
      <c r="K55" s="178"/>
      <c r="L55" s="180">
        <f>SUMIFS(BV_Data_An_Cour!$O:$O,BV_Data_An_Cour!$U:$U,$B55,BV_Data_An_Cour!$V:$V,$C55,BV_Data_An_Cour!$W:$W,L$2)</f>
        <v>0</v>
      </c>
      <c r="M55" s="303"/>
      <c r="N55" s="433">
        <f t="shared" ref="N55:N71" si="36">L55-I55</f>
        <v>0</v>
      </c>
      <c r="O55" s="303"/>
      <c r="P55" s="178"/>
      <c r="Q55" s="180">
        <f>SUMIFS(BV_Data_An_Prec!$O:$O,BV_Data_An_Prec!$U:$U,$B55,BV_Data_An_Prec!$V:$V,$C55,BV_Data_An_Prec!$W:$W,Q$2)</f>
        <v>0</v>
      </c>
      <c r="R55" s="303"/>
      <c r="S55" s="199">
        <f t="shared" ref="S55:S71" si="37">L55-Q55</f>
        <v>0</v>
      </c>
      <c r="T55" s="229"/>
      <c r="U55" s="222"/>
      <c r="V55" s="514"/>
      <c r="W55" s="514"/>
      <c r="X55" s="537"/>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
        <v>3338</v>
      </c>
      <c r="B56" s="24" t="s">
        <v>75</v>
      </c>
      <c r="C56" s="264" t="s">
        <v>122</v>
      </c>
      <c r="D56" s="301"/>
      <c r="E56" s="178"/>
      <c r="F56" s="179">
        <f>+INDEX('Budget original'!$A$2:$AO$500,MATCH($A56,'Budget original'!$A$2:$A$500,0),MATCH(F$2,'Budget original'!$A$2:$AO$2,0))</f>
        <v>0</v>
      </c>
      <c r="G56" s="302"/>
      <c r="H56" s="178"/>
      <c r="I56" s="179">
        <f>+INDEX('Budget révisé'!$A$2:$AO$500,MATCH($A56,'Budget révisé'!$A$2:$A$500,0),MATCH(I$2,'Budget révisé'!$A$2:$AO$2,0))</f>
        <v>0</v>
      </c>
      <c r="J56" s="303"/>
      <c r="K56" s="178"/>
      <c r="L56" s="180">
        <f>SUMIFS(BV_Data_An_Cour!$O:$O,BV_Data_An_Cour!$U:$U,$B56,BV_Data_An_Cour!$V:$V,$C56,BV_Data_An_Cour!$W:$W,L$2)</f>
        <v>0</v>
      </c>
      <c r="M56" s="303"/>
      <c r="N56" s="433">
        <f t="shared" si="36"/>
        <v>0</v>
      </c>
      <c r="O56" s="303"/>
      <c r="P56" s="178"/>
      <c r="Q56" s="180">
        <f>SUMIFS(BV_Data_An_Prec!$O:$O,BV_Data_An_Prec!$U:$U,$B56,BV_Data_An_Prec!$V:$V,$C56,BV_Data_An_Prec!$W:$W,Q$2)</f>
        <v>0</v>
      </c>
      <c r="R56" s="303"/>
      <c r="S56" s="199">
        <f t="shared" si="37"/>
        <v>0</v>
      </c>
      <c r="T56" s="229"/>
      <c r="U56" s="222"/>
      <c r="V56" s="514"/>
      <c r="W56" s="514"/>
      <c r="X56" s="79"/>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
        <v>3339</v>
      </c>
      <c r="B57" s="24" t="s">
        <v>75</v>
      </c>
      <c r="C57" s="326" t="s">
        <v>123</v>
      </c>
      <c r="D57" s="307"/>
      <c r="E57" s="308"/>
      <c r="F57" s="177">
        <f>+INDEX('Budget original'!$A$2:$AO$500,MATCH($A57,'Budget original'!$A$2:$A$500,0),MATCH(F$2,'Budget original'!$A$2:$AO$2,0))</f>
        <v>7322.9400000000005</v>
      </c>
      <c r="G57" s="309"/>
      <c r="H57" s="308"/>
      <c r="I57" s="177">
        <f>+INDEX('Budget révisé'!$A$2:$AO$500,MATCH($A57,'Budget révisé'!$A$2:$A$500,0),MATCH(I$2,'Budget révisé'!$A$2:$AO$2,0))</f>
        <v>7322.9400000000005</v>
      </c>
      <c r="J57" s="310"/>
      <c r="K57" s="308"/>
      <c r="L57" s="177">
        <f>SUMIFS(BV_Data_An_Cour!$O:$O,BV_Data_An_Cour!$U:$U,$B57,BV_Data_An_Cour!$V:$V,$C57,BV_Data_An_Cour!$W:$W,L$2)</f>
        <v>8073.06</v>
      </c>
      <c r="M57" s="310"/>
      <c r="N57" s="434">
        <f t="shared" si="36"/>
        <v>750.11999999999989</v>
      </c>
      <c r="O57" s="310"/>
      <c r="P57" s="308"/>
      <c r="Q57" s="177">
        <f>SUMIFS(BV_Data_An_Prec!$O:$O,BV_Data_An_Prec!$U:$U,$B57,BV_Data_An_Prec!$V:$V,$C57,BV_Data_An_Prec!$W:$W,Q$2)</f>
        <v>5359.43</v>
      </c>
      <c r="R57" s="310"/>
      <c r="S57" s="202">
        <f t="shared" si="37"/>
        <v>2713.63</v>
      </c>
      <c r="T57" s="525"/>
      <c r="U57" s="222"/>
      <c r="V57" s="514"/>
      <c r="W57" s="514"/>
      <c r="X57" s="537"/>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
        <v>3340</v>
      </c>
      <c r="B58" s="24" t="s">
        <v>75</v>
      </c>
      <c r="C58" s="264" t="s">
        <v>124</v>
      </c>
      <c r="D58" s="301"/>
      <c r="E58" s="178"/>
      <c r="F58" s="179">
        <f>+INDEX('Budget original'!$A$2:$AO$500,MATCH($A58,'Budget original'!$A$2:$A$500,0),MATCH(F$2,'Budget original'!$A$2:$AO$2,0))</f>
        <v>6834.1885933333333</v>
      </c>
      <c r="G58" s="302"/>
      <c r="H58" s="178"/>
      <c r="I58" s="179">
        <f>+INDEX('Budget révisé'!$A$2:$AO$500,MATCH($A58,'Budget révisé'!$A$2:$A$500,0),MATCH(I$2,'Budget révisé'!$A$2:$AO$2,0))</f>
        <v>6834.1885933333333</v>
      </c>
      <c r="J58" s="303"/>
      <c r="K58" s="178"/>
      <c r="L58" s="180">
        <f>SUMIFS(BV_Data_An_Cour!$O:$O,BV_Data_An_Cour!$U:$U,$B58,BV_Data_An_Cour!$V:$V,$C58,BV_Data_An_Cour!$W:$W,L$2)</f>
        <v>6629.17</v>
      </c>
      <c r="M58" s="303"/>
      <c r="N58" s="304">
        <f t="shared" si="36"/>
        <v>-205.01859333333323</v>
      </c>
      <c r="O58" s="303"/>
      <c r="P58" s="178"/>
      <c r="Q58" s="180">
        <f>SUMIFS(BV_Data_An_Prec!$O:$O,BV_Data_An_Prec!$U:$U,$B58,BV_Data_An_Prec!$V:$V,$C58,BV_Data_An_Prec!$W:$W,Q$2)</f>
        <v>5798.14</v>
      </c>
      <c r="R58" s="303"/>
      <c r="S58" s="199">
        <f t="shared" si="37"/>
        <v>831.02999999999975</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
        <v>3341</v>
      </c>
      <c r="B59" s="24" t="s">
        <v>75</v>
      </c>
      <c r="C59" s="264" t="s">
        <v>125</v>
      </c>
      <c r="D59" s="301"/>
      <c r="E59" s="178"/>
      <c r="F59" s="179">
        <f>+INDEX('Budget original'!$A$2:$AO$500,MATCH($A59,'Budget original'!$A$2:$A$500,0),MATCH(F$2,'Budget original'!$A$2:$AO$2,0))</f>
        <v>792.1418000000001</v>
      </c>
      <c r="G59" s="302"/>
      <c r="H59" s="178"/>
      <c r="I59" s="179">
        <f>+INDEX('Budget révisé'!$A$2:$AO$500,MATCH($A59,'Budget révisé'!$A$2:$A$500,0),MATCH(I$2,'Budget révisé'!$A$2:$AO$2,0))</f>
        <v>792.1418000000001</v>
      </c>
      <c r="J59" s="303"/>
      <c r="K59" s="178"/>
      <c r="L59" s="180">
        <f>SUMIFS(BV_Data_An_Cour!$O:$O,BV_Data_An_Cour!$U:$U,$B59,BV_Data_An_Cour!$V:$V,$C59,BV_Data_An_Cour!$W:$W,L$2)</f>
        <v>293.75</v>
      </c>
      <c r="M59" s="303"/>
      <c r="N59" s="304">
        <f t="shared" si="36"/>
        <v>-498.3918000000001</v>
      </c>
      <c r="O59" s="303"/>
      <c r="P59" s="178"/>
      <c r="Q59" s="180">
        <f>SUMIFS(BV_Data_An_Prec!$O:$O,BV_Data_An_Prec!$U:$U,$B59,BV_Data_An_Prec!$V:$V,$C59,BV_Data_An_Prec!$W:$W,Q$2)</f>
        <v>98.29</v>
      </c>
      <c r="R59" s="303"/>
      <c r="S59" s="199">
        <f t="shared" si="37"/>
        <v>195.45999999999998</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
        <v>3342</v>
      </c>
      <c r="B60" s="24" t="s">
        <v>75</v>
      </c>
      <c r="C60" s="326" t="s">
        <v>126</v>
      </c>
      <c r="D60" s="307"/>
      <c r="E60" s="308"/>
      <c r="F60" s="177">
        <f>+INDEX('Budget original'!$A$2:$AO$500,MATCH($A60,'Budget original'!$A$2:$A$500,0),MATCH(F$2,'Budget original'!$A$2:$AO$2,0))</f>
        <v>6763.7217777777787</v>
      </c>
      <c r="G60" s="309"/>
      <c r="H60" s="308"/>
      <c r="I60" s="177">
        <f>+INDEX('Budget révisé'!$A$2:$AO$500,MATCH($A60,'Budget révisé'!$A$2:$A$500,0),MATCH(I$2,'Budget révisé'!$A$2:$AO$2,0))</f>
        <v>6763.7217777777787</v>
      </c>
      <c r="J60" s="310"/>
      <c r="K60" s="308"/>
      <c r="L60" s="177">
        <f>SUMIFS(BV_Data_An_Cour!$O:$O,BV_Data_An_Cour!$U:$U,$B60,BV_Data_An_Cour!$V:$V,$C60,BV_Data_An_Cour!$W:$W,L$2)</f>
        <v>6418.22</v>
      </c>
      <c r="M60" s="310"/>
      <c r="N60" s="311">
        <f t="shared" si="36"/>
        <v>-345.50177777777844</v>
      </c>
      <c r="O60" s="310"/>
      <c r="P60" s="308"/>
      <c r="Q60" s="177">
        <f>SUMIFS(BV_Data_An_Prec!$O:$O,BV_Data_An_Prec!$U:$U,$B60,BV_Data_An_Prec!$V:$V,$C60,BV_Data_An_Prec!$W:$W,Q$2)</f>
        <v>6042.08</v>
      </c>
      <c r="R60" s="310"/>
      <c r="S60" s="202">
        <f t="shared" si="37"/>
        <v>376.14000000000033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
        <v>3343</v>
      </c>
      <c r="B61" s="24" t="s">
        <v>75</v>
      </c>
      <c r="C61" s="264" t="s">
        <v>127</v>
      </c>
      <c r="D61" s="301"/>
      <c r="E61" s="178"/>
      <c r="F61" s="179">
        <f>+INDEX('Budget original'!$A$2:$AO$500,MATCH($A61,'Budget original'!$A$2:$A$500,0),MATCH(F$2,'Budget original'!$A$2:$AO$2,0))</f>
        <v>50.536579190711528</v>
      </c>
      <c r="G61" s="302"/>
      <c r="H61" s="178"/>
      <c r="I61" s="179">
        <f>+INDEX('Budget révisé'!$A$2:$AO$500,MATCH($A61,'Budget révisé'!$A$2:$A$500,0),MATCH(I$2,'Budget révisé'!$A$2:$AO$2,0))</f>
        <v>50.536579190711528</v>
      </c>
      <c r="J61" s="303"/>
      <c r="K61" s="178"/>
      <c r="L61" s="180">
        <f>SUMIFS(BV_Data_An_Cour!$O:$O,BV_Data_An_Cour!$U:$U,$B61,BV_Data_An_Cour!$V:$V,$C61,BV_Data_An_Cour!$W:$W,L$2)</f>
        <v>9.59</v>
      </c>
      <c r="M61" s="303"/>
      <c r="N61" s="304">
        <f t="shared" si="36"/>
        <v>-40.946579190711532</v>
      </c>
      <c r="O61" s="303"/>
      <c r="P61" s="178"/>
      <c r="Q61" s="180">
        <f>SUMIFS(BV_Data_An_Prec!$O:$O,BV_Data_An_Prec!$U:$U,$B61,BV_Data_An_Prec!$V:$V,$C61,BV_Data_An_Prec!$W:$W,Q$2)</f>
        <v>0</v>
      </c>
      <c r="R61" s="303"/>
      <c r="S61" s="199">
        <f t="shared" si="37"/>
        <v>9.59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
        <v>3344</v>
      </c>
      <c r="B62" s="24" t="s">
        <v>75</v>
      </c>
      <c r="C62" s="264" t="s">
        <v>128</v>
      </c>
      <c r="D62" s="301"/>
      <c r="E62" s="178"/>
      <c r="F62" s="179">
        <f>+INDEX('Budget original'!$A$2:$AO$500,MATCH($A62,'Budget original'!$A$2:$A$500,0),MATCH(F$2,'Budget original'!$A$2:$AO$2,0))</f>
        <v>26.853809687373364</v>
      </c>
      <c r="G62" s="302"/>
      <c r="H62" s="178"/>
      <c r="I62" s="179">
        <f>+INDEX('Budget révisé'!$A$2:$AO$500,MATCH($A62,'Budget révisé'!$A$2:$A$500,0),MATCH(I$2,'Budget révisé'!$A$2:$AO$2,0))</f>
        <v>26.853809687373364</v>
      </c>
      <c r="J62" s="303"/>
      <c r="K62" s="178"/>
      <c r="L62" s="180">
        <f>SUMIFS(BV_Data_An_Cour!$O:$O,BV_Data_An_Cour!$U:$U,$B62,BV_Data_An_Cour!$V:$V,$C62,BV_Data_An_Cour!$W:$W,L$2)</f>
        <v>0</v>
      </c>
      <c r="M62" s="303"/>
      <c r="N62" s="304">
        <f t="shared" si="36"/>
        <v>-26.853809687373364</v>
      </c>
      <c r="O62" s="303"/>
      <c r="P62" s="178"/>
      <c r="Q62" s="180">
        <f>SUMIFS(BV_Data_An_Prec!$O:$O,BV_Data_An_Prec!$U:$U,$B62,BV_Data_An_Prec!$V:$V,$C62,BV_Data_An_Prec!$W:$W,Q$2)</f>
        <v>0</v>
      </c>
      <c r="R62" s="303"/>
      <c r="S62" s="199">
        <f t="shared" si="37"/>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
        <v>3345</v>
      </c>
      <c r="B63" s="24" t="s">
        <v>75</v>
      </c>
      <c r="C63" s="264" t="s">
        <v>129</v>
      </c>
      <c r="D63" s="301"/>
      <c r="E63" s="178"/>
      <c r="F63" s="179">
        <f>+INDEX('Budget original'!$A$2:$AO$500,MATCH($A63,'Budget original'!$A$2:$A$500,0),MATCH(F$2,'Budget original'!$A$2:$AO$2,0))</f>
        <v>652.86432000000002</v>
      </c>
      <c r="G63" s="302"/>
      <c r="H63" s="178"/>
      <c r="I63" s="179">
        <f>+INDEX('Budget révisé'!$A$2:$AO$500,MATCH($A63,'Budget révisé'!$A$2:$A$500,0),MATCH(I$2,'Budget révisé'!$A$2:$AO$2,0))</f>
        <v>652.86432000000002</v>
      </c>
      <c r="J63" s="303"/>
      <c r="K63" s="178"/>
      <c r="L63" s="554">
        <f>SUMIFS(BV_Data_An_Cour!$O:$O,BV_Data_An_Cour!$U:$U,$B63,BV_Data_An_Cour!$V:$V,$C63,BV_Data_An_Cour!$W:$W,L$2)</f>
        <v>845.92</v>
      </c>
      <c r="M63" s="303"/>
      <c r="N63" s="304">
        <f t="shared" si="36"/>
        <v>193.05567999999994</v>
      </c>
      <c r="O63" s="303"/>
      <c r="P63" s="178"/>
      <c r="Q63" s="554">
        <f>SUMIFS(BV_Data_An_Prec!$O:$O,BV_Data_An_Prec!$U:$U,$B63,BV_Data_An_Prec!$V:$V,$C63,BV_Data_An_Prec!$W:$W,Q$2)</f>
        <v>248.87</v>
      </c>
      <c r="R63" s="303"/>
      <c r="S63" s="199">
        <f t="shared" si="37"/>
        <v>597.04999999999995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
        <v>3346</v>
      </c>
      <c r="B64" s="24" t="s">
        <v>75</v>
      </c>
      <c r="C64" s="264" t="s">
        <v>130</v>
      </c>
      <c r="D64" s="301"/>
      <c r="E64" s="178"/>
      <c r="F64" s="179">
        <f>+INDEX('Budget original'!$A$2:$AO$500,MATCH($A64,'Budget original'!$A$2:$A$500,0),MATCH(F$2,'Budget original'!$A$2:$AO$2,0))</f>
        <v>301.4645266666667</v>
      </c>
      <c r="G64" s="302"/>
      <c r="H64" s="178"/>
      <c r="I64" s="179">
        <f>+INDEX('Budget révisé'!$A$2:$AO$500,MATCH($A64,'Budget révisé'!$A$2:$A$500,0),MATCH(I$2,'Budget révisé'!$A$2:$AO$2,0))</f>
        <v>301.4645266666667</v>
      </c>
      <c r="J64" s="303"/>
      <c r="K64" s="178"/>
      <c r="L64" s="180">
        <f>SUMIFS(BV_Data_An_Cour!$O:$O,BV_Data_An_Cour!$U:$U,$B64,BV_Data_An_Cour!$V:$V,$C64,BV_Data_An_Cour!$W:$W,L$2)</f>
        <v>241.13</v>
      </c>
      <c r="M64" s="303"/>
      <c r="N64" s="304">
        <f t="shared" si="36"/>
        <v>-60.334526666666704</v>
      </c>
      <c r="O64" s="303"/>
      <c r="P64" s="178"/>
      <c r="Q64" s="180">
        <f>SUMIFS(BV_Data_An_Prec!$O:$O,BV_Data_An_Prec!$U:$U,$B64,BV_Data_An_Prec!$V:$V,$C64,BV_Data_An_Prec!$W:$W,Q$2)</f>
        <v>456.53</v>
      </c>
      <c r="R64" s="303"/>
      <c r="S64" s="199">
        <f t="shared" si="37"/>
        <v>-215.39999999999998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
        <v>3347</v>
      </c>
      <c r="B65" s="24" t="s">
        <v>75</v>
      </c>
      <c r="C65" s="264" t="s">
        <v>131</v>
      </c>
      <c r="D65" s="301"/>
      <c r="E65" s="178"/>
      <c r="F65" s="179">
        <f>+INDEX('Budget original'!$A$2:$AO$500,MATCH($A65,'Budget original'!$A$2:$A$500,0),MATCH(F$2,'Budget original'!$A$2:$AO$2,0))</f>
        <v>160.91707333333329</v>
      </c>
      <c r="G65" s="302"/>
      <c r="H65" s="178"/>
      <c r="I65" s="179">
        <f>+INDEX('Budget révisé'!$A$2:$AO$500,MATCH($A65,'Budget révisé'!$A$2:$A$500,0),MATCH(I$2,'Budget révisé'!$A$2:$AO$2,0))</f>
        <v>160.91707333333329</v>
      </c>
      <c r="J65" s="303"/>
      <c r="K65" s="178"/>
      <c r="L65" s="281">
        <f>SUMIFS(BV_Data_An_Cour!$O:$O,BV_Data_An_Cour!$U:$U,$B65,BV_Data_An_Cour!$V:$V,$C65,BV_Data_An_Cour!$W:$W,L$2)</f>
        <v>48.56</v>
      </c>
      <c r="M65" s="303"/>
      <c r="N65" s="304">
        <f t="shared" si="36"/>
        <v>-112.35707333333329</v>
      </c>
      <c r="O65" s="303"/>
      <c r="P65" s="178"/>
      <c r="Q65" s="180">
        <f>SUMIFS(BV_Data_An_Prec!$O:$O,BV_Data_An_Prec!$U:$U,$B65,BV_Data_An_Prec!$V:$V,$C65,BV_Data_An_Prec!$W:$W,Q$2)</f>
        <v>65.22</v>
      </c>
      <c r="R65" s="303"/>
      <c r="S65" s="199">
        <f t="shared" si="37"/>
        <v>-16.659999999999997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
        <v>3348</v>
      </c>
      <c r="B66" s="24" t="s">
        <v>75</v>
      </c>
      <c r="C66" s="264" t="s">
        <v>132</v>
      </c>
      <c r="D66" s="301"/>
      <c r="E66" s="178"/>
      <c r="F66" s="179">
        <f>+INDEX('Budget original'!$A$2:$AO$500,MATCH($A66,'Budget original'!$A$2:$A$500,0),MATCH(F$2,'Budget original'!$A$2:$AO$2,0))</f>
        <v>776.23359333333315</v>
      </c>
      <c r="G66" s="302"/>
      <c r="H66" s="178"/>
      <c r="I66" s="179">
        <f>+INDEX('Budget révisé'!$A$2:$AO$500,MATCH($A66,'Budget révisé'!$A$2:$A$500,0),MATCH(I$2,'Budget révisé'!$A$2:$AO$2,0))</f>
        <v>776.23359333333315</v>
      </c>
      <c r="J66" s="303"/>
      <c r="K66" s="178"/>
      <c r="L66" s="281">
        <f>SUMIFS(BV_Data_An_Cour!$O:$O,BV_Data_An_Cour!$U:$U,$B66,BV_Data_An_Cour!$V:$V,$C66,BV_Data_An_Cour!$W:$W,L$2)</f>
        <v>331.4</v>
      </c>
      <c r="M66" s="303"/>
      <c r="N66" s="304">
        <f t="shared" si="36"/>
        <v>-444.83359333333317</v>
      </c>
      <c r="O66" s="303"/>
      <c r="P66" s="178"/>
      <c r="Q66" s="180">
        <f>SUMIFS(BV_Data_An_Prec!$O:$O,BV_Data_An_Prec!$U:$U,$B66,BV_Data_An_Prec!$V:$V,$C66,BV_Data_An_Prec!$W:$W,Q$2)</f>
        <v>252.3</v>
      </c>
      <c r="R66" s="303"/>
      <c r="S66" s="199">
        <f t="shared" si="37"/>
        <v>79.099999999999966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
        <v>3349</v>
      </c>
      <c r="B67" s="24" t="s">
        <v>75</v>
      </c>
      <c r="C67" s="264" t="s">
        <v>133</v>
      </c>
      <c r="D67" s="301"/>
      <c r="E67" s="178"/>
      <c r="F67" s="179">
        <f>+INDEX('Budget original'!$A$2:$AO$500,MATCH($A67,'Budget original'!$A$2:$A$500,0),MATCH(F$2,'Budget original'!$A$2:$AO$2,0))</f>
        <v>1153.2562666666668</v>
      </c>
      <c r="G67" s="302"/>
      <c r="H67" s="178"/>
      <c r="I67" s="179">
        <f>+INDEX('Budget révisé'!$A$2:$AO$500,MATCH($A67,'Budget révisé'!$A$2:$A$500,0),MATCH(I$2,'Budget révisé'!$A$2:$AO$2,0))</f>
        <v>1153.2562666666668</v>
      </c>
      <c r="J67" s="303"/>
      <c r="K67" s="178"/>
      <c r="L67" s="281">
        <f>SUMIFS(BV_Data_An_Cour!$O:$O,BV_Data_An_Cour!$U:$U,$B67,BV_Data_An_Cour!$V:$V,$C67,BV_Data_An_Cour!$W:$W,L$2)</f>
        <v>608.54</v>
      </c>
      <c r="M67" s="303"/>
      <c r="N67" s="304">
        <f t="shared" ref="N67" si="38">L67-I67</f>
        <v>-544.7162666666668</v>
      </c>
      <c r="O67" s="303"/>
      <c r="P67" s="178"/>
      <c r="Q67" s="180">
        <f>SUMIFS(BV_Data_An_Prec!$O:$O,BV_Data_An_Prec!$U:$U,$B67,BV_Data_An_Prec!$V:$V,$C67,BV_Data_An_Prec!$W:$W,Q$2)</f>
        <v>523.33000000000004</v>
      </c>
      <c r="R67" s="303"/>
      <c r="S67" s="199">
        <f t="shared" ref="S67" si="39">L67-Q67</f>
        <v>85.209999999999923</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
        <v>3350</v>
      </c>
      <c r="B68" s="24" t="s">
        <v>75</v>
      </c>
      <c r="C68" s="264" t="s">
        <v>134</v>
      </c>
      <c r="D68" s="301"/>
      <c r="E68" s="178"/>
      <c r="F68" s="179">
        <f>+INDEX('Budget original'!$A$2:$AO$500,MATCH($A68,'Budget original'!$A$2:$A$500,0),MATCH(F$2,'Budget original'!$A$2:$AO$2,0))</f>
        <v>1683.2372690061954</v>
      </c>
      <c r="G68" s="302"/>
      <c r="H68" s="178"/>
      <c r="I68" s="179">
        <f>+INDEX('Budget révisé'!$A$2:$AO$500,MATCH($A68,'Budget révisé'!$A$2:$A$500,0),MATCH(I$2,'Budget révisé'!$A$2:$AO$2,0))</f>
        <v>1683.2372690061954</v>
      </c>
      <c r="J68" s="303"/>
      <c r="K68" s="178"/>
      <c r="L68" s="974">
        <f>AF447*W3</f>
        <v>2241.4500000000003</v>
      </c>
      <c r="M68" s="303"/>
      <c r="N68" s="304">
        <f t="shared" ref="N68:N69" si="40">L68-I68</f>
        <v>558.21273099380483</v>
      </c>
      <c r="O68" s="303"/>
      <c r="P68" s="178"/>
      <c r="Q68" s="281">
        <f>AL447*W3</f>
        <v>1926.5490000000002</v>
      </c>
      <c r="R68" s="303"/>
      <c r="S68" s="199">
        <f t="shared" ref="S68:S69" si="41">L68-Q68</f>
        <v>314.90100000000007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
        <v>3309</v>
      </c>
      <c r="B69" s="24" t="s">
        <v>75</v>
      </c>
      <c r="C69" s="264" t="s">
        <v>42</v>
      </c>
      <c r="D69" s="301"/>
      <c r="E69" s="178"/>
      <c r="F69" s="179">
        <f>+INDEX('Budget original'!$A$2:$AO$500,MATCH($A69,'Budget original'!$A$2:$A$500,0),MATCH(F$2,'Budget original'!$A$2:$AO$2,0))</f>
        <v>0</v>
      </c>
      <c r="G69" s="302"/>
      <c r="H69" s="178"/>
      <c r="I69" s="179">
        <f>+INDEX('Budget révisé'!$A$2:$AO$500,MATCH($A69,'Budget révisé'!$A$2:$A$500,0),MATCH(I$2,'Budget révisé'!$A$2:$AO$2,0))</f>
        <v>0</v>
      </c>
      <c r="J69" s="303"/>
      <c r="K69" s="178"/>
      <c r="L69" s="281"/>
      <c r="M69" s="303"/>
      <c r="N69" s="304">
        <f t="shared" si="40"/>
        <v>0</v>
      </c>
      <c r="O69" s="303"/>
      <c r="P69" s="178"/>
      <c r="Q69" s="180">
        <f>SUMIFS(BV_Data_An_Prec!$O:$O,BV_Data_An_Prec!$U:$U,$B69,BV_Data_An_Prec!$V:$V,$C69,BV_Data_An_Prec!$W:$W,Q$2)</f>
        <v>0</v>
      </c>
      <c r="R69" s="303"/>
      <c r="S69" s="199">
        <f t="shared" si="41"/>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
        <v>3309</v>
      </c>
      <c r="B70" s="24" t="s">
        <v>75</v>
      </c>
      <c r="C70" s="264" t="s">
        <v>42</v>
      </c>
      <c r="D70" s="301"/>
      <c r="E70" s="178"/>
      <c r="F70" s="179">
        <f>+INDEX('Budget original'!$A$2:$AO$500,MATCH($A70,'Budget original'!$A$2:$A$500,0),MATCH(F$2,'Budget original'!$A$2:$AO$2,0))</f>
        <v>0</v>
      </c>
      <c r="G70" s="302"/>
      <c r="H70" s="178"/>
      <c r="I70" s="179">
        <f>+INDEX('Budget révisé'!$A$2:$AO$500,MATCH($A70,'Budget révisé'!$A$2:$A$500,0),MATCH(I$2,'Budget révisé'!$A$2:$AO$2,0))</f>
        <v>0</v>
      </c>
      <c r="J70" s="303"/>
      <c r="K70" s="178"/>
      <c r="L70" s="281">
        <f>SUMIFS(BV_Data_An_Cour!$O:$O,BV_Data_An_Cour!$U:$U,$B70,BV_Data_An_Cour!$V:$V,$C70,BV_Data_An_Cour!$W:$W,L$2)</f>
        <v>0</v>
      </c>
      <c r="M70" s="303"/>
      <c r="N70" s="304">
        <f t="shared" si="36"/>
        <v>0</v>
      </c>
      <c r="O70" s="303"/>
      <c r="P70" s="178"/>
      <c r="Q70" s="180">
        <f>SUMIFS(BV_Data_An_Prec!$O:$O,BV_Data_An_Prec!$U:$U,$B70,BV_Data_An_Prec!$V:$V,$C70,BV_Data_An_Prec!$W:$W,Q$2)</f>
        <v>0</v>
      </c>
      <c r="R70" s="303"/>
      <c r="S70" s="199">
        <f t="shared" si="37"/>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
        <v>3309</v>
      </c>
      <c r="B71" s="24" t="s">
        <v>75</v>
      </c>
      <c r="C71" s="264" t="s">
        <v>42</v>
      </c>
      <c r="D71" s="301"/>
      <c r="E71" s="178"/>
      <c r="F71" s="179">
        <f>+INDEX('Budget original'!$A$2:$AO$500,MATCH($A71,'Budget original'!$A$2:$A$500,0),MATCH(F$2,'Budget original'!$A$2:$AO$2,0))</f>
        <v>0</v>
      </c>
      <c r="G71" s="302"/>
      <c r="H71" s="178"/>
      <c r="I71" s="179">
        <f>+INDEX('Budget révisé'!$A$2:$AO$500,MATCH($A71,'Budget révisé'!$A$2:$A$500,0),MATCH(I$2,'Budget révisé'!$A$2:$AO$2,0))</f>
        <v>0</v>
      </c>
      <c r="J71" s="303"/>
      <c r="K71" s="178"/>
      <c r="L71" s="180">
        <f>SUMIFS(BV_Data_An_Cour!$O:$O,BV_Data_An_Cour!$U:$U,$B71,BV_Data_An_Cour!$V:$V,$C71,BV_Data_An_Cour!$W:$W,L$2)*0.32</f>
        <v>0</v>
      </c>
      <c r="M71" s="303"/>
      <c r="N71" s="304">
        <f t="shared" si="36"/>
        <v>0</v>
      </c>
      <c r="O71" s="303"/>
      <c r="P71" s="178"/>
      <c r="Q71" s="180">
        <f>SUMIFS(BV_Data_An_Prec!$O:$O,BV_Data_An_Prec!$U:$U,$B71,BV_Data_An_Prec!$V:$V,$C71,BV_Data_An_Prec!$W:$W,Q$2)*0.32</f>
        <v>0</v>
      </c>
      <c r="R71" s="303"/>
      <c r="S71" s="199">
        <f t="shared" si="37"/>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
        <v>3351</v>
      </c>
      <c r="B72" s="24" t="s">
        <v>75</v>
      </c>
      <c r="C72" s="298" t="s">
        <v>135</v>
      </c>
      <c r="D72" s="39" t="s">
        <v>111</v>
      </c>
      <c r="E72" s="40">
        <f>F72/F$27</f>
        <v>0.24345781905182537</v>
      </c>
      <c r="F72" s="41">
        <f>+SUM(F55:F71)</f>
        <v>26518.355608995396</v>
      </c>
      <c r="G72" s="42" t="s">
        <v>111</v>
      </c>
      <c r="H72" s="40">
        <f>I72/I$27</f>
        <v>0.24345781905182537</v>
      </c>
      <c r="I72" s="41">
        <f>+SUM(I55:I71)</f>
        <v>26518.355608995396</v>
      </c>
      <c r="J72" s="42" t="s">
        <v>111</v>
      </c>
      <c r="K72" s="40">
        <f>L72/L$27</f>
        <v>0.13324033712394096</v>
      </c>
      <c r="L72" s="41">
        <f>+SUM(L55:L71)</f>
        <v>25740.790000000005</v>
      </c>
      <c r="M72" s="44"/>
      <c r="N72" s="41">
        <f>+SUM(N55:N71)</f>
        <v>-777.56560899539204</v>
      </c>
      <c r="O72" s="42" t="s">
        <v>111</v>
      </c>
      <c r="P72" s="40">
        <f>Q72/Q$27</f>
        <v>0.44395846816907453</v>
      </c>
      <c r="Q72" s="41">
        <f>+SUM(Q55:Q71)</f>
        <v>20770.739000000001</v>
      </c>
      <c r="R72" s="44"/>
      <c r="S72" s="316">
        <f>+SUM(S55:S71)</f>
        <v>4970.0510000000013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
        <v>75</v>
      </c>
      <c r="B73" s="24" t="s">
        <v>75</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
        <v>3352</v>
      </c>
      <c r="B74" s="24" t="s">
        <v>75</v>
      </c>
      <c r="C74" s="298" t="s">
        <v>136</v>
      </c>
      <c r="D74" s="39" t="s">
        <v>111</v>
      </c>
      <c r="E74" s="40">
        <f>F74/F$27</f>
        <v>1.3151172615150328</v>
      </c>
      <c r="F74" s="41">
        <f>F41+F54+F72</f>
        <v>143247.59559667285</v>
      </c>
      <c r="G74" s="42" t="s">
        <v>111</v>
      </c>
      <c r="H74" s="40">
        <f>I74/I$27</f>
        <v>1.3151172615150328</v>
      </c>
      <c r="I74" s="41">
        <f>I41+I54+I72</f>
        <v>143247.59559667285</v>
      </c>
      <c r="J74" s="42" t="s">
        <v>111</v>
      </c>
      <c r="K74" s="40">
        <f>L74/L$27</f>
        <v>0.848984787929977</v>
      </c>
      <c r="L74" s="41">
        <f>L41+L54+L72</f>
        <v>164015.94000000003</v>
      </c>
      <c r="M74" s="44"/>
      <c r="N74" s="46">
        <f>L74-I74</f>
        <v>20768.344403327181</v>
      </c>
      <c r="O74" s="42" t="s">
        <v>111</v>
      </c>
      <c r="P74" s="40">
        <f>Q74/Q$27</f>
        <v>2.415108179232285</v>
      </c>
      <c r="Q74" s="41">
        <f>Q41+Q54+Q72</f>
        <v>112991.609</v>
      </c>
      <c r="R74" s="44"/>
      <c r="S74" s="299">
        <f>L74-Q74</f>
        <v>51024.331000000035</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
        <v>3353</v>
      </c>
      <c r="B75" s="24" t="s">
        <v>75</v>
      </c>
      <c r="C75" s="264" t="s">
        <v>137</v>
      </c>
      <c r="D75" s="301"/>
      <c r="E75" s="178"/>
      <c r="F75" s="179">
        <f>+INDEX('Budget original'!$A$2:$AO$500,MATCH($A75,'Budget original'!$A$2:$A$500,0),MATCH(F$2,'Budget original'!$A$2:$AO$2,0))</f>
        <v>0</v>
      </c>
      <c r="G75" s="302"/>
      <c r="H75" s="178"/>
      <c r="I75" s="179">
        <f>+INDEX('Budget révisé'!$A$2:$AO$500,MATCH($A75,'Budget révisé'!$A$2:$A$500,0),MATCH(I$2,'Budget révisé'!$A$2:$AO$2,0))</f>
        <v>0</v>
      </c>
      <c r="J75" s="303"/>
      <c r="K75" s="178"/>
      <c r="L75" s="974">
        <f>-SUMIFS(BV_Data_An_Cour!$O:$O,BV_Data_An_Cour!$U:$U,$B75,BV_Data_An_Cour!$V:$V,$C75,BV_Data_An_Cour!$W:$W,L$2)-L155</f>
        <v>0</v>
      </c>
      <c r="M75" s="303"/>
      <c r="N75" s="304">
        <f>L75-I75</f>
        <v>0</v>
      </c>
      <c r="O75" s="303"/>
      <c r="P75" s="178"/>
      <c r="Q75" s="554">
        <f>-SUMIFS(BV_Data_An_Prec!$O:$O,BV_Data_An_Prec!$U:$U,$B75,BV_Data_An_Prec!$V:$V,$C75,BV_Data_An_Prec!$W:$W,Q$2)-Q155</f>
        <v>11500</v>
      </c>
      <c r="R75" s="303"/>
      <c r="S75" s="199"/>
      <c r="T75" s="222"/>
      <c r="U75" s="222"/>
      <c r="V75" s="514" t="s">
        <v>3297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
        <v>3354</v>
      </c>
      <c r="B76" s="24" t="s">
        <v>75</v>
      </c>
      <c r="C76" s="264" t="s">
        <v>138</v>
      </c>
      <c r="D76" s="301"/>
      <c r="E76" s="178"/>
      <c r="F76" s="179">
        <f>+INDEX('Budget original'!$A$2:$AO$500,MATCH($A76,'Budget original'!$A$2:$A$500,0),MATCH(F$2,'Budget original'!$A$2:$AO$2,0))</f>
        <v>0</v>
      </c>
      <c r="G76" s="302"/>
      <c r="H76" s="178"/>
      <c r="I76" s="179">
        <f>+INDEX('Budget révisé'!$A$2:$AO$500,MATCH($A76,'Budget révisé'!$A$2:$A$500,0),MATCH(I$2,'Budget révisé'!$A$2:$AO$2,0))</f>
        <v>0</v>
      </c>
      <c r="J76" s="303"/>
      <c r="K76" s="178"/>
      <c r="L76" s="97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
        <v>3355</v>
      </c>
      <c r="B77" s="24" t="s">
        <v>75</v>
      </c>
      <c r="C77" s="264" t="s">
        <v>139</v>
      </c>
      <c r="D77" s="301"/>
      <c r="E77" s="178"/>
      <c r="F77" s="179">
        <f>+INDEX('Budget original'!$A$2:$AO$500,MATCH($A77,'Budget original'!$A$2:$A$500,0),MATCH(F$2,'Budget original'!$A$2:$AO$2,0))</f>
        <v>0</v>
      </c>
      <c r="G77" s="302"/>
      <c r="H77" s="178"/>
      <c r="I77" s="179">
        <f>+INDEX('Budget révisé'!$A$2:$AO$500,MATCH($A77,'Budget révisé'!$A$2:$A$500,0),MATCH(I$2,'Budget révisé'!$A$2:$AO$2,0))</f>
        <v>0</v>
      </c>
      <c r="J77" s="303"/>
      <c r="K77" s="178"/>
      <c r="L77" s="974">
        <f>-SUMIFS(BV_Data_An_Cour!$O:$O,BV_Data_An_Cour!$U:$U,$B77,BV_Data_An_Cour!$V:$V,$C77,BV_Data_An_Cour!$W:$W,L$2)</f>
        <v>0</v>
      </c>
      <c r="M77" s="303"/>
      <c r="N77" s="304">
        <f t="shared" ref="N77:N82" si="42">L77-I77</f>
        <v>0</v>
      </c>
      <c r="O77" s="303"/>
      <c r="P77" s="178"/>
      <c r="Q77" s="554">
        <f>-SUMIFS(BV_Data_An_Prec!$O:$O,BV_Data_An_Prec!$U:$U,$B77,BV_Data_An_Prec!$V:$V,$C77,BV_Data_An_Prec!$W:$W,Q$2)</f>
        <v>0</v>
      </c>
      <c r="R77" s="303"/>
      <c r="S77" s="199">
        <f t="shared" ref="S77:S82" si="43">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
        <v>3356</v>
      </c>
      <c r="B78" s="24" t="s">
        <v>75</v>
      </c>
      <c r="C78" s="264" t="s">
        <v>140</v>
      </c>
      <c r="D78" s="301"/>
      <c r="E78" s="178"/>
      <c r="F78" s="179">
        <f>+INDEX('Budget original'!$A$2:$AO$500,MATCH($A78,'Budget original'!$A$2:$A$500,0),MATCH(F$2,'Budget original'!$A$2:$AO$2,0))</f>
        <v>40795.839813252998</v>
      </c>
      <c r="G78" s="302"/>
      <c r="H78" s="178"/>
      <c r="I78" s="179">
        <f>+INDEX('Budget révisé'!$A$2:$AO$500,MATCH($A78,'Budget révisé'!$A$2:$A$500,0),MATCH(I$2,'Budget révisé'!$A$2:$AO$2,0))</f>
        <v>40795.839813252998</v>
      </c>
      <c r="J78" s="303"/>
      <c r="K78" s="178"/>
      <c r="L78" s="281">
        <f>-SUMIFS(BV_Data_An_Cour!$O:$O,BV_Data_An_Cour!$U:$U,$B78,BV_Data_An_Cour!$V:$V,$C78,BV_Data_An_Cour!$W:$W,L$2)</f>
        <v>55812.85</v>
      </c>
      <c r="M78" s="303"/>
      <c r="N78" s="304">
        <f t="shared" si="42"/>
        <v>15017.010186747</v>
      </c>
      <c r="O78" s="303"/>
      <c r="P78" s="178"/>
      <c r="Q78" s="554">
        <f>-SUMIFS(BV_Data_An_Prec!$O:$O,BV_Data_An_Prec!$U:$U,$B78,BV_Data_An_Prec!$V:$V,$C78,BV_Data_An_Prec!$W:$W,Q$2)</f>
        <v>22341</v>
      </c>
      <c r="R78" s="303"/>
      <c r="S78" s="199">
        <f t="shared" si="43"/>
        <v>33471.85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
        <v>3309</v>
      </c>
      <c r="B79" s="24" t="s">
        <v>75</v>
      </c>
      <c r="C79" s="264" t="s">
        <v>42</v>
      </c>
      <c r="D79" s="301"/>
      <c r="E79" s="178"/>
      <c r="F79" s="179">
        <f>+INDEX('Budget original'!$A$2:$AO$500,MATCH($A79,'Budget original'!$A$2:$A$500,0),MATCH(F$2,'Budget original'!$A$2:$AO$2,0))</f>
        <v>0</v>
      </c>
      <c r="G79" s="302"/>
      <c r="H79" s="178"/>
      <c r="I79" s="179">
        <f>+INDEX('Budget révisé'!$A$2:$AO$500,MATCH($A79,'Budget révisé'!$A$2:$A$500,0),MATCH(I$2,'Budget révisé'!$A$2:$AO$2,0))</f>
        <v>0</v>
      </c>
      <c r="J79" s="303"/>
      <c r="K79" s="178"/>
      <c r="L79" s="281">
        <f>-SUMIFS(BV_Data_An_Cour!$O:$O,BV_Data_An_Cour!$U:$U,$B79,BV_Data_An_Cour!$V:$V,$C79,BV_Data_An_Cour!$W:$W,L$2)</f>
        <v>0</v>
      </c>
      <c r="M79" s="303"/>
      <c r="N79" s="304">
        <f t="shared" ref="N79:N81" si="44">L79-I79</f>
        <v>0</v>
      </c>
      <c r="O79" s="303"/>
      <c r="P79" s="178"/>
      <c r="Q79" s="554">
        <f>-SUMIFS(BV_Data_An_Prec!$O:$O,BV_Data_An_Prec!$U:$U,$B79,BV_Data_An_Prec!$V:$V,$C79,BV_Data_An_Prec!$W:$W,Q$2)</f>
        <v>0</v>
      </c>
      <c r="R79" s="303"/>
      <c r="S79" s="199">
        <f t="shared" ref="S79:S81" si="45">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
        <v>3309</v>
      </c>
      <c r="B80" s="24" t="s">
        <v>75</v>
      </c>
      <c r="C80" s="264" t="s">
        <v>42</v>
      </c>
      <c r="D80" s="301"/>
      <c r="E80" s="178"/>
      <c r="F80" s="179">
        <f>+INDEX('Budget original'!$A$2:$AO$500,MATCH($A80,'Budget original'!$A$2:$A$500,0),MATCH(F$2,'Budget original'!$A$2:$AO$2,0))</f>
        <v>0</v>
      </c>
      <c r="G80" s="302"/>
      <c r="H80" s="178"/>
      <c r="I80" s="179">
        <f>+INDEX('Budget révisé'!$A$2:$AO$500,MATCH($A80,'Budget révisé'!$A$2:$A$500,0),MATCH(I$2,'Budget révisé'!$A$2:$AO$2,0))</f>
        <v>0</v>
      </c>
      <c r="J80" s="303"/>
      <c r="K80" s="178"/>
      <c r="L80" s="281">
        <f>-SUMIFS(BV_Data_An_Cour!$O:$O,BV_Data_An_Cour!$U:$U,$B80,BV_Data_An_Cour!$V:$V,$C80,BV_Data_An_Cour!$W:$W,L$2)</f>
        <v>0</v>
      </c>
      <c r="M80" s="303"/>
      <c r="N80" s="304">
        <f t="shared" si="44"/>
        <v>0</v>
      </c>
      <c r="O80" s="303"/>
      <c r="P80" s="178"/>
      <c r="Q80" s="554">
        <f>-SUMIFS(BV_Data_An_Prec!$O:$O,BV_Data_An_Prec!$U:$U,$B80,BV_Data_An_Prec!$V:$V,$C80,BV_Data_An_Prec!$W:$W,Q$2)</f>
        <v>0</v>
      </c>
      <c r="R80" s="303"/>
      <c r="S80" s="199">
        <f t="shared" si="45"/>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
        <v>3309</v>
      </c>
      <c r="B81" s="24" t="s">
        <v>75</v>
      </c>
      <c r="C81" s="264" t="s">
        <v>42</v>
      </c>
      <c r="D81" s="301"/>
      <c r="E81" s="178"/>
      <c r="F81" s="179">
        <f>+INDEX('Budget original'!$A$2:$AO$500,MATCH($A81,'Budget original'!$A$2:$A$500,0),MATCH(F$2,'Budget original'!$A$2:$AO$2,0))</f>
        <v>0</v>
      </c>
      <c r="G81" s="302"/>
      <c r="H81" s="178"/>
      <c r="I81" s="179">
        <f>+INDEX('Budget révisé'!$A$2:$AO$500,MATCH($A81,'Budget révisé'!$A$2:$A$500,0),MATCH(I$2,'Budget révisé'!$A$2:$AO$2,0))</f>
        <v>0</v>
      </c>
      <c r="J81" s="303"/>
      <c r="K81" s="178"/>
      <c r="L81" s="281">
        <f>-SUMIFS(BV_Data_An_Cour!$O:$O,BV_Data_An_Cour!$U:$U,$B81,BV_Data_An_Cour!$V:$V,$C81,BV_Data_An_Cour!$W:$W,L$2)</f>
        <v>0</v>
      </c>
      <c r="M81" s="303"/>
      <c r="N81" s="304">
        <f t="shared" si="44"/>
        <v>0</v>
      </c>
      <c r="O81" s="303"/>
      <c r="P81" s="178"/>
      <c r="Q81" s="554">
        <f>-SUMIFS(BV_Data_An_Prec!$O:$O,BV_Data_An_Prec!$U:$U,$B81,BV_Data_An_Prec!$V:$V,$C81,BV_Data_An_Prec!$W:$W,Q$2)</f>
        <v>0</v>
      </c>
      <c r="R81" s="303"/>
      <c r="S81" s="199">
        <f t="shared" si="45"/>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
        <v>3357</v>
      </c>
      <c r="B82" s="24" t="s">
        <v>75</v>
      </c>
      <c r="C82" s="264" t="s">
        <v>141</v>
      </c>
      <c r="D82" s="301"/>
      <c r="E82" s="178"/>
      <c r="F82" s="179">
        <f>+INDEX('Budget original'!$A$2:$AO$500,MATCH($A82,'Budget original'!$A$2:$A$500,0),MATCH(F$2,'Budget original'!$A$2:$AO$2,0))</f>
        <v>13802.419518072289</v>
      </c>
      <c r="G82" s="302"/>
      <c r="H82" s="178"/>
      <c r="I82" s="179">
        <f>+INDEX('Budget révisé'!$A$2:$AO$500,MATCH($A82,'Budget révisé'!$A$2:$A$500,0),MATCH(I$2,'Budget révisé'!$A$2:$AO$2,0))</f>
        <v>13802.419518072289</v>
      </c>
      <c r="J82" s="348">
        <f>L82/399</f>
        <v>31.438596491228068</v>
      </c>
      <c r="K82" s="1300">
        <f>J82/(J13+J15)</f>
        <v>0.66890630832400144</v>
      </c>
      <c r="L82" s="974">
        <f>-SUMIFS(BV_Data_An_Cour!$O:$O,BV_Data_An_Cour!$U:$U,$B82,BV_Data_An_Cour!$V:$V,$C82,BV_Data_An_Cour!$W:$W,L$2)-L158</f>
        <v>12544</v>
      </c>
      <c r="M82" s="303"/>
      <c r="N82" s="304">
        <f t="shared" si="42"/>
        <v>-1258.4195180722891</v>
      </c>
      <c r="O82" s="303"/>
      <c r="P82" s="178"/>
      <c r="Q82" s="554">
        <f>-SUMIFS(BV_Data_An_Prec!$O:$O,BV_Data_An_Prec!$U:$U,$B82,BV_Data_An_Prec!$V:$V,$C82,BV_Data_An_Prec!$W:$W,Q$2)-Q158</f>
        <v>6261</v>
      </c>
      <c r="R82" s="303"/>
      <c r="S82" s="199">
        <f t="shared" si="43"/>
        <v>6283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
        <v>3358</v>
      </c>
      <c r="B83" s="24" t="s">
        <v>75</v>
      </c>
      <c r="C83" s="298" t="s">
        <v>142</v>
      </c>
      <c r="D83" s="39"/>
      <c r="E83" s="40"/>
      <c r="F83" s="41">
        <f>+SUM(F75:F82)</f>
        <v>54598.259331325287</v>
      </c>
      <c r="G83" s="42"/>
      <c r="H83" s="40"/>
      <c r="I83" s="41">
        <f>+SUM(I75:I82)</f>
        <v>54598.259331325287</v>
      </c>
      <c r="J83" s="42"/>
      <c r="K83" s="40"/>
      <c r="L83" s="41">
        <f>+SUM(L75:L82)</f>
        <v>68356.850000000006</v>
      </c>
      <c r="M83" s="44"/>
      <c r="N83" s="41">
        <f>+SUM(N75:N82)</f>
        <v>13758.590668674711</v>
      </c>
      <c r="O83" s="42"/>
      <c r="P83" s="40"/>
      <c r="Q83" s="41">
        <f>+SUM(Q75:Q82)</f>
        <v>40102</v>
      </c>
      <c r="R83" s="44"/>
      <c r="S83" s="316">
        <f>+SUM(S75:S82)</f>
        <v>39754.85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
        <v>75</v>
      </c>
      <c r="B84" s="24" t="s">
        <v>75</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
        <v>3359</v>
      </c>
      <c r="B85" s="24" t="s">
        <v>75</v>
      </c>
      <c r="C85" s="340" t="s">
        <v>143</v>
      </c>
      <c r="D85" s="342"/>
      <c r="E85" s="346"/>
      <c r="F85" s="343">
        <f>F27-F74+F83</f>
        <v>20274.483525177959</v>
      </c>
      <c r="G85" s="436"/>
      <c r="H85" s="346"/>
      <c r="I85" s="343">
        <f>I27-I74+I83</f>
        <v>20274.483525177959</v>
      </c>
      <c r="J85" s="436"/>
      <c r="K85" s="342"/>
      <c r="L85" s="343">
        <f>L27-L74+L83</f>
        <v>97531.579999999813</v>
      </c>
      <c r="M85" s="436"/>
      <c r="N85" s="343">
        <f>N27-N41-N54-N72+N83</f>
        <v>77257.096474821868</v>
      </c>
      <c r="O85" s="436"/>
      <c r="P85" s="342"/>
      <c r="Q85" s="343">
        <f>Q27-Q74+Q83</f>
        <v>-26104.288999999917</v>
      </c>
      <c r="R85" s="436"/>
      <c r="S85" s="347">
        <f>S27-S41-S54-S72+S83</f>
        <v>135135.86899999972</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1301"/>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Janvier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87" t="s">
        <v>77</v>
      </c>
      <c r="E91" s="1288"/>
      <c r="F91" s="1289"/>
      <c r="G91" s="1290" t="s">
        <v>145</v>
      </c>
      <c r="H91" s="1288"/>
      <c r="I91" s="1289"/>
      <c r="J91" s="1290" t="s">
        <v>79</v>
      </c>
      <c r="K91" s="1288"/>
      <c r="L91" s="1289"/>
      <c r="M91" s="1290" t="s">
        <v>80</v>
      </c>
      <c r="N91" s="1289"/>
      <c r="O91" s="1287" t="s">
        <v>81</v>
      </c>
      <c r="P91" s="1288"/>
      <c r="Q91" s="1289"/>
      <c r="R91" s="1290" t="s">
        <v>82</v>
      </c>
      <c r="S91" s="129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
        <v>3360</v>
      </c>
      <c r="B93" s="24" t="s">
        <v>144</v>
      </c>
      <c r="C93" s="326" t="s">
        <v>88</v>
      </c>
      <c r="D93" s="184"/>
      <c r="E93" s="184"/>
      <c r="F93" s="177">
        <f>+INDEX('Budget original'!$A$2:$AO$500,MATCH($A93,'Budget original'!$A$2:$A$500,0),MATCH(F$2,'Budget original'!$A$2:$AO$2,0))</f>
        <v>849266.37829069817</v>
      </c>
      <c r="G93" s="183"/>
      <c r="H93" s="184"/>
      <c r="I93" s="177">
        <f>+INDEX('Budget révisé'!$A$2:$AO$500,MATCH($A93,'Budget révisé'!$A$2:$A$500,0),MATCH(I$2,'Budget révisé'!$A$2:$AO$2,0))</f>
        <v>849266.37829069817</v>
      </c>
      <c r="J93" s="568"/>
      <c r="K93" s="184"/>
      <c r="L93" s="177">
        <f>-SUMIFS(BV_Data_An_Cour!$O:$O,BV_Data_An_Cour!$X:$X,"Oui",BV_Data_An_Cour!$U:$U,$B93)</f>
        <v>680538.90999999992</v>
      </c>
      <c r="M93" s="395"/>
      <c r="N93" s="396"/>
      <c r="O93" s="568"/>
      <c r="P93" s="184"/>
      <c r="Q93" s="177">
        <f>-SUMIFS(BV_Data_An_Prec!$O:$O,BV_Data_An_Prec!$X:$X,"Oui",BV_Data_An_Prec!$U:$U,$B93)</f>
        <v>516369.14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
        <v>3361</v>
      </c>
      <c r="B94" s="24" t="s">
        <v>144</v>
      </c>
      <c r="C94" s="264" t="s">
        <v>146</v>
      </c>
      <c r="D94" s="179">
        <f>+INDEX('Budget original'!$A$2:$AO$500,MATCH($A94,'Budget original'!$A$2:$A$500,0),MATCH(D$2,'Budget original'!$A$2:$AO$2,0))</f>
        <v>25.922330097087379</v>
      </c>
      <c r="E94" s="179">
        <f>IF(D94=0,0,F94/D94)</f>
        <v>1300</v>
      </c>
      <c r="F94" s="179">
        <f>+INDEX('Budget original'!$A$2:$AO$500,MATCH($A94,'Budget original'!$A$2:$A$500,0),MATCH(F$2,'Budget original'!$A$2:$AO$2,0))</f>
        <v>33699.029126213594</v>
      </c>
      <c r="G94" s="182">
        <f>+INDEX('Budget révisé'!$A$2:$AO$500,MATCH($A94,'Budget révisé'!$A$2:$A$500,0),MATCH(G$2,'Budget révisé'!$A$2:$AO$2,0))</f>
        <v>25.922330097087379</v>
      </c>
      <c r="H94" s="179">
        <f>IF(G94=0,0,I94/G94)</f>
        <v>1300</v>
      </c>
      <c r="I94" s="179">
        <f>+INDEX('Budget révisé'!$A$2:$AO$500,MATCH($A94,'Budget révisé'!$A$2:$A$500,0),MATCH(I$2,'Budget révisé'!$A$2:$AO$2,0))</f>
        <v>33699.029126213594</v>
      </c>
      <c r="J94" s="569">
        <f>-SUMIFS(BV_Data_An_Cour!$O:$O,BV_Data_An_Cour!$U:$U,$B94,BV_Data_An_Cour!$V:$V,$C94,BV_Data_An_Cour!$W:$W,J$2)</f>
        <v>18</v>
      </c>
      <c r="K94" s="179">
        <f t="shared" ref="K94:K95" si="46">IF(J94=0,0,L94/J94)</f>
        <v>2809.9</v>
      </c>
      <c r="L94" s="281">
        <f>-SUMIFS(BV_Data_An_Cour!$O:$O,BV_Data_An_Cour!$U:$U,$B94,BV_Data_An_Cour!$V:$V,$C94,BV_Data_An_Cour!$W:$W,$L2)</f>
        <v>50578.200000000004</v>
      </c>
      <c r="M94" s="182">
        <f>J94-G94</f>
        <v>-7.9223300970873787</v>
      </c>
      <c r="N94" s="180">
        <f>L94-I94</f>
        <v>16879.17087378641</v>
      </c>
      <c r="O94" s="569">
        <f>-SUMIFS(BV_Data_An_Prec!$O:$O,BV_Data_An_Prec!$U:$U,$B94,BV_Data_An_Prec!$V:$V,$C94,BV_Data_An_Prec!$W:$W,O$2)</f>
        <v>14</v>
      </c>
      <c r="P94" s="179">
        <f t="shared" ref="P94:P95" si="47">IF(O94=0,0,Q94/O94)</f>
        <v>1047.6399999999994</v>
      </c>
      <c r="Q94" s="180">
        <f>-SUMIFS(BV_Data_An_Prec!$O:$O,BV_Data_An_Prec!$U:$U,$B94,BV_Data_An_Prec!$V:$V,$C94,BV_Data_An_Prec!$W:$W,$L2)</f>
        <v>14666.959999999992</v>
      </c>
      <c r="R94" s="182">
        <f t="shared" ref="R94:R95" si="48">J94-O94</f>
        <v>4</v>
      </c>
      <c r="S94" s="399">
        <f t="shared" ref="S94:S95" si="49">L94-Q94</f>
        <v>35911.240000000013</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
        <v>3362</v>
      </c>
      <c r="B95" s="24" t="s">
        <v>144</v>
      </c>
      <c r="C95" s="264" t="s">
        <v>147</v>
      </c>
      <c r="D95" s="179">
        <f>+INDEX('Budget original'!$A$2:$AO$500,MATCH($A95,'Budget original'!$A$2:$A$500,0),MATCH(D$2,'Budget original'!$A$2:$AO$2,0))</f>
        <v>1.4563106796116505</v>
      </c>
      <c r="E95" s="184">
        <f t="shared" ref="E95:E104" si="50">IF(D95=0,0,F95/D95)</f>
        <v>900</v>
      </c>
      <c r="F95" s="179">
        <f>+INDEX('Budget original'!$A$2:$AO$500,MATCH($A95,'Budget original'!$A$2:$A$500,0),MATCH(F$2,'Budget original'!$A$2:$AO$2,0))</f>
        <v>1310.6796116504854</v>
      </c>
      <c r="G95" s="182">
        <f>+INDEX('Budget révisé'!$A$2:$AO$500,MATCH($A95,'Budget révisé'!$A$2:$A$500,0),MATCH(G$2,'Budget révisé'!$A$2:$AO$2,0))</f>
        <v>1.4563106796116505</v>
      </c>
      <c r="H95" s="179">
        <f t="shared" ref="H95:H97" si="51">IF(G95=0,0,I95/G95)</f>
        <v>900</v>
      </c>
      <c r="I95" s="179">
        <f>+INDEX('Budget révisé'!$A$2:$AO$500,MATCH($A95,'Budget révisé'!$A$2:$A$500,0),MATCH(I$2,'Budget révisé'!$A$2:$AO$2,0))</f>
        <v>1310.6796116504854</v>
      </c>
      <c r="J95" s="182">
        <f>-SUMIFS(BV_Data_An_Cour!$O:$O,BV_Data_An_Cour!$U:$U,$B95,BV_Data_An_Cour!$V:$V,$C95,BV_Data_An_Cour!$W:$W,J$2)</f>
        <v>0</v>
      </c>
      <c r="K95" s="179">
        <f t="shared" si="46"/>
        <v>0</v>
      </c>
      <c r="L95" s="554">
        <f>-SUMIFS(BV_Data_An_Cour!$O:$O,BV_Data_An_Cour!$U:$U,$B95,BV_Data_An_Cour!$V:$V,$C95,BV_Data_An_Cour!$W:$W,$L2)</f>
        <v>0</v>
      </c>
      <c r="M95" s="182"/>
      <c r="N95" s="180"/>
      <c r="O95" s="182">
        <f>-SUMIFS(BV_Data_An_Prec!$O:$O,BV_Data_An_Prec!$U:$U,$B95,BV_Data_An_Prec!$V:$V,$C95,BV_Data_An_Prec!$W:$W,O$2)</f>
        <v>1</v>
      </c>
      <c r="P95" s="179">
        <f t="shared" si="47"/>
        <v>715</v>
      </c>
      <c r="Q95" s="554">
        <f>-SUMIFS(BV_Data_An_Prec!$O:$O,BV_Data_An_Prec!$U:$U,$B95,BV_Data_An_Prec!$V:$V,$C95,BV_Data_An_Prec!$W:$W,$L2)</f>
        <v>715</v>
      </c>
      <c r="R95" s="182">
        <f t="shared" si="48"/>
        <v>-1</v>
      </c>
      <c r="S95" s="399">
        <f t="shared" si="49"/>
        <v>-715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
        <v>3363</v>
      </c>
      <c r="B96" s="24" t="s">
        <v>144</v>
      </c>
      <c r="C96" s="400" t="s">
        <v>148</v>
      </c>
      <c r="D96" s="401">
        <f>+D95+D94</f>
        <v>27.378640776699029</v>
      </c>
      <c r="E96" s="179">
        <f t="shared" si="50"/>
        <v>1278.7234042553191</v>
      </c>
      <c r="F96" s="402">
        <f t="shared" ref="F96" si="52">+F94+F95</f>
        <v>35009.708737864079</v>
      </c>
      <c r="G96" s="403">
        <f>+G95+G94</f>
        <v>27.378640776699029</v>
      </c>
      <c r="H96" s="401">
        <f t="shared" si="51"/>
        <v>1278.7234042553191</v>
      </c>
      <c r="I96" s="402">
        <f t="shared" ref="I96" si="53">+I94+I95</f>
        <v>35009.708737864079</v>
      </c>
      <c r="J96" s="403">
        <f t="shared" ref="J96" si="54">+J94+J95</f>
        <v>18</v>
      </c>
      <c r="K96" s="401">
        <f>IF(J96&lt;=0,0,L96/J96)</f>
        <v>2809.9</v>
      </c>
      <c r="L96" s="402">
        <f>+L94+L95</f>
        <v>50578.200000000004</v>
      </c>
      <c r="M96" s="403">
        <f>J96-G96</f>
        <v>-9.3786407766990294</v>
      </c>
      <c r="N96" s="402">
        <f>L96-I96</f>
        <v>15568.491262135925</v>
      </c>
      <c r="O96" s="403">
        <f t="shared" ref="O96" si="55">+O94+O95</f>
        <v>15</v>
      </c>
      <c r="P96" s="401">
        <f>IF(O96&lt;=0,0,Q96/O96)</f>
        <v>1025.4639999999995</v>
      </c>
      <c r="Q96" s="402">
        <f>+Q94+Q95</f>
        <v>15381.959999999992</v>
      </c>
      <c r="R96" s="403">
        <f t="shared" ref="R96:S96" si="56">R94+R95</f>
        <v>3</v>
      </c>
      <c r="S96" s="404">
        <f t="shared" si="56"/>
        <v>35196.240000000013</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
        <v>144</v>
      </c>
      <c r="B97" s="24" t="s">
        <v>144</v>
      </c>
      <c r="C97" s="264"/>
      <c r="D97" s="178"/>
      <c r="E97" s="179">
        <f t="shared" si="50"/>
        <v>0</v>
      </c>
      <c r="F97" s="312"/>
      <c r="G97" s="303"/>
      <c r="H97" s="178">
        <f t="shared" si="51"/>
        <v>0</v>
      </c>
      <c r="I97" s="312"/>
      <c r="J97" s="303"/>
      <c r="K97" s="178"/>
      <c r="L97" s="312"/>
      <c r="M97" s="362">
        <f>M96/G96</f>
        <v>-0.3425531914893617</v>
      </c>
      <c r="N97" s="332">
        <f>N96/I96</f>
        <v>0.4446906821963395</v>
      </c>
      <c r="O97" s="303"/>
      <c r="P97" s="178"/>
      <c r="Q97" s="312"/>
      <c r="R97" s="362">
        <f>R96/O96</f>
        <v>0.2</v>
      </c>
      <c r="S97" s="333">
        <f>IF(Q96=0,0,(S96/Q96))</f>
        <v>2.2881505347823055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
        <v>3364</v>
      </c>
      <c r="B98" s="24" t="s">
        <v>144</v>
      </c>
      <c r="C98" s="264" t="s">
        <v>149</v>
      </c>
      <c r="D98" s="179"/>
      <c r="E98" s="179"/>
      <c r="F98" s="179"/>
      <c r="G98" s="179"/>
      <c r="H98" s="179"/>
      <c r="I98" s="179"/>
      <c r="J98" s="182"/>
      <c r="K98" s="179"/>
      <c r="L98" s="180"/>
      <c r="M98" s="182"/>
      <c r="N98" s="180"/>
      <c r="O98" s="182"/>
      <c r="P98" s="179"/>
      <c r="Q98" s="180"/>
      <c r="R98" s="182"/>
      <c r="S98" s="399"/>
      <c r="T98" s="222"/>
      <c r="U98" s="222"/>
      <c r="V98" s="968">
        <f>I96+I104</f>
        <v>85763.1049976754</v>
      </c>
      <c r="W98" s="968">
        <f>L96+L104-2659.18</f>
        <v>92293.74000000002</v>
      </c>
      <c r="X98" s="968">
        <f>(W98-V98)</f>
        <v>6530.6350023246196</v>
      </c>
      <c r="Y98" s="222">
        <f>X98/V98</f>
        <v>7.6147371325952243E-2</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
        <v>3365</v>
      </c>
      <c r="B99" s="24" t="s">
        <v>144</v>
      </c>
      <c r="C99" s="264" t="s">
        <v>150</v>
      </c>
      <c r="D99" s="179">
        <f>+INDEX('Budget original'!$A$2:$AO$500,MATCH($A99,'Budget original'!$A$2:$A$500,0),MATCH(D$2,'Budget original'!$A$2:$AO$2,0))</f>
        <v>23.824699225917971</v>
      </c>
      <c r="E99" s="179">
        <f t="shared" si="50"/>
        <v>212</v>
      </c>
      <c r="F99" s="179">
        <f>+INDEX('Budget original'!$A$2:$AO$500,MATCH($A99,'Budget original'!$A$2:$A$500,0),MATCH(F$2,'Budget original'!$A$2:$AO$2,0))</f>
        <v>5050.8362358946097</v>
      </c>
      <c r="G99" s="179">
        <f>+INDEX('Budget révisé'!$A$2:$AO$500,MATCH($A99,'Budget révisé'!$A$2:$A$500,0),MATCH(G$2,'Budget révisé'!$A$2:$AO$2,0))</f>
        <v>23.824699225917971</v>
      </c>
      <c r="H99" s="179">
        <f t="shared" ref="H99:H104" si="57">IF(G99=0,0,I99/G99)</f>
        <v>212</v>
      </c>
      <c r="I99" s="179">
        <f>+INDEX('Budget révisé'!$A$2:$AO$500,MATCH($A99,'Budget révisé'!$A$2:$A$500,0),MATCH(I$2,'Budget révisé'!$A$2:$AO$2,0))</f>
        <v>5050.8362358946097</v>
      </c>
      <c r="J99" s="182">
        <f>-SUMIFS(BV_Data_An_Cour!$O:$O,BV_Data_An_Cour!$U:$U,$B99,BV_Data_An_Cour!$V:$V,$C99,BV_Data_An_Cour!$W:$W,J$2)</f>
        <v>18</v>
      </c>
      <c r="K99" s="179">
        <f t="shared" ref="K99" si="58">IF(J99=0,0,L99/J99)</f>
        <v>435.46388888888919</v>
      </c>
      <c r="L99" s="180">
        <f>-SUMIFS(BV_Data_An_Cour!$O:$O,BV_Data_An_Cour!$U:$U,$B99,BV_Data_An_Cour!$V:$V,$C99,BV_Data_An_Cour!$W:$W,L$2)</f>
        <v>7838.3500000000058</v>
      </c>
      <c r="M99" s="182">
        <f t="shared" ref="M99" si="59">J99-G99</f>
        <v>-5.8246992259179713</v>
      </c>
      <c r="N99" s="180">
        <f t="shared" ref="N99" si="60">L99-I99</f>
        <v>2787.5137641053961</v>
      </c>
      <c r="O99" s="182">
        <f>-SUMIFS(BV_Data_An_Prec!$O:$O,BV_Data_An_Prec!$U:$U,$B99,BV_Data_An_Prec!$V:$V,$C99,BV_Data_An_Prec!$W:$W,O$2)</f>
        <v>20</v>
      </c>
      <c r="P99" s="179">
        <f t="shared" ref="P99" si="61">IF(O99=0,0,Q99/O99)</f>
        <v>-41.210000000000583</v>
      </c>
      <c r="Q99" s="180">
        <f>-SUMIFS(BV_Data_An_Prec!$O:$O,BV_Data_An_Prec!$U:$U,$B99,BV_Data_An_Prec!$V:$V,$C99,BV_Data_An_Prec!$W:$W,Q$2)</f>
        <v>-824.20000000001164</v>
      </c>
      <c r="R99" s="182">
        <f t="shared" ref="R99" si="62">J99-O99</f>
        <v>-2</v>
      </c>
      <c r="S99" s="399">
        <f t="shared" ref="S99" si="63">L99-Q99</f>
        <v>8662.5500000000175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
        <v>144</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
        <v>3366</v>
      </c>
      <c r="B101" s="24" t="s">
        <v>144</v>
      </c>
      <c r="C101" s="264" t="s">
        <v>97</v>
      </c>
      <c r="D101" s="179">
        <f>+INDEX('Budget original'!$A$2:$AO$500,MATCH($A101,'Budget original'!$A$2:$A$500,0),MATCH(D$2,'Budget original'!$A$2:$AO$2,0))</f>
        <v>0</v>
      </c>
      <c r="E101" s="179">
        <f t="shared" si="50"/>
        <v>0</v>
      </c>
      <c r="F101" s="180">
        <f>+INDEX('Budget original'!$A$2:$AO$500,MATCH($A101,'Budget original'!$A$2:$A$500,0),MATCH(F$2,'Budget original'!$A$2:$AO$2,0))</f>
        <v>18041.454097932594</v>
      </c>
      <c r="G101" s="182">
        <f>+INDEX('Budget révisé'!$A$2:$AO$500,MATCH($A101,'Budget révisé'!$A$2:$A$500,0),MATCH(G$2,'Budget révisé'!$A$2:$AO$2,0))</f>
        <v>0</v>
      </c>
      <c r="H101" s="179">
        <f t="shared" si="57"/>
        <v>0</v>
      </c>
      <c r="I101" s="179">
        <f>+INDEX('Budget révisé'!$A$2:$AO$500,MATCH($A101,'Budget révisé'!$A$2:$A$500,0),MATCH(I$2,'Budget révisé'!$A$2:$AO$2,0))</f>
        <v>18041.454097932594</v>
      </c>
      <c r="J101" s="182"/>
      <c r="K101" s="179">
        <f>IF(J96=0,0,L101/J96)</f>
        <v>1149</v>
      </c>
      <c r="L101" s="180">
        <f>-SUMIFS(BV_Data_An_Cour!$O:$O,BV_Data_An_Cour!$U:$U,$B101,BV_Data_An_Cour!$V:$V,$C101,BV_Data_An_Cour!$W:$W,$L2)</f>
        <v>20682</v>
      </c>
      <c r="M101" s="182"/>
      <c r="N101" s="180">
        <f t="shared" ref="N101:N104" si="64">L101-I101</f>
        <v>2640.5459020674061</v>
      </c>
      <c r="O101" s="182"/>
      <c r="P101" s="179">
        <f>IF(O96=0,0,Q101/O96)</f>
        <v>309.40733333333333</v>
      </c>
      <c r="Q101" s="180">
        <f>-SUMIFS(BV_Data_An_Prec!$O:$O,BV_Data_An_Prec!$U:$U,$B101,BV_Data_An_Prec!$V:$V,$C101,BV_Data_An_Prec!$W:$W,$L2)</f>
        <v>4641.1099999999997</v>
      </c>
      <c r="R101" s="182">
        <f t="shared" ref="R101:R103" si="65">O101-K101</f>
        <v>-1149</v>
      </c>
      <c r="S101" s="399">
        <f t="shared" ref="S101:S104" si="66">L101-Q101</f>
        <v>16040.89</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
        <v>3367</v>
      </c>
      <c r="B102" s="24" t="s">
        <v>144</v>
      </c>
      <c r="C102" s="264" t="s">
        <v>98</v>
      </c>
      <c r="D102" s="179">
        <f>+INDEX('Budget original'!$A$2:$AO$500,MATCH($A102,'Budget original'!$A$2:$A$500,0),MATCH(D$2,'Budget original'!$A$2:$AO$2,0))</f>
        <v>0</v>
      </c>
      <c r="E102" s="179">
        <f t="shared" si="50"/>
        <v>0</v>
      </c>
      <c r="F102" s="180">
        <f>+INDEX('Budget original'!$A$2:$AO$500,MATCH($A102,'Budget original'!$A$2:$A$500,0),MATCH(F$2,'Budget original'!$A$2:$AO$2,0))</f>
        <v>31809.728130004747</v>
      </c>
      <c r="G102" s="182">
        <f>+INDEX('Budget révisé'!$A$2:$AO$500,MATCH($A102,'Budget révisé'!$A$2:$A$500,0),MATCH(G$2,'Budget révisé'!$A$2:$AO$2,0))</f>
        <v>0</v>
      </c>
      <c r="H102" s="179">
        <f t="shared" si="57"/>
        <v>0</v>
      </c>
      <c r="I102" s="179">
        <f>+INDEX('Budget révisé'!$A$2:$AO$500,MATCH($A102,'Budget révisé'!$A$2:$A$500,0),MATCH(I$2,'Budget révisé'!$A$2:$AO$2,0))</f>
        <v>31809.728130004747</v>
      </c>
      <c r="J102" s="182"/>
      <c r="K102" s="179">
        <f>IF(J96=0,0,L102/J96)</f>
        <v>1300.0072222222223</v>
      </c>
      <c r="L102" s="180">
        <f>-SUMIFS(BV_Data_An_Cour!$O:$O,BV_Data_An_Cour!$U:$U,$B102,BV_Data_An_Cour!$V:$V,$C102,BV_Data_An_Cour!$W:$W,$L2)</f>
        <v>23400.13</v>
      </c>
      <c r="M102" s="182"/>
      <c r="N102" s="180">
        <f t="shared" si="64"/>
        <v>-8409.5981300047461</v>
      </c>
      <c r="O102" s="182"/>
      <c r="P102" s="179">
        <f>IF(O96=0,0,Q102/O96)</f>
        <v>1352.4093333333333</v>
      </c>
      <c r="Q102" s="180">
        <f>-SUMIFS(BV_Data_An_Prec!$O:$O,BV_Data_An_Prec!$U:$U,$B102,BV_Data_An_Prec!$V:$V,$C102,BV_Data_An_Prec!$W:$W,$L2)</f>
        <v>20286.14</v>
      </c>
      <c r="R102" s="182">
        <f t="shared" si="65"/>
        <v>-1300.0072222222223</v>
      </c>
      <c r="S102" s="399">
        <f t="shared" si="66"/>
        <v>3113.9900000000016</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
        <v>3368</v>
      </c>
      <c r="B103" s="24" t="s">
        <v>144</v>
      </c>
      <c r="C103" s="264" t="s">
        <v>99</v>
      </c>
      <c r="D103" s="179">
        <f>+INDEX('Budget original'!$A$2:$AO$500,MATCH($A103,'Budget original'!$A$2:$A$500,0),MATCH(D$2,'Budget original'!$A$2:$AO$2,0))</f>
        <v>0</v>
      </c>
      <c r="E103" s="184">
        <f t="shared" si="50"/>
        <v>0</v>
      </c>
      <c r="F103" s="180">
        <f>+INDEX('Budget original'!$A$2:$AO$500,MATCH($A103,'Budget original'!$A$2:$A$500,0),MATCH(F$2,'Budget original'!$A$2:$AO$2,0))</f>
        <v>902.21403187396959</v>
      </c>
      <c r="G103" s="182">
        <f>+INDEX('Budget révisé'!$A$2:$AO$500,MATCH($A103,'Budget révisé'!$A$2:$A$500,0),MATCH(G$2,'Budget révisé'!$A$2:$AO$2,0))</f>
        <v>0</v>
      </c>
      <c r="H103" s="407">
        <f t="shared" si="57"/>
        <v>0</v>
      </c>
      <c r="I103" s="179">
        <f>+INDEX('Budget révisé'!$A$2:$AO$500,MATCH($A103,'Budget révisé'!$A$2:$A$500,0),MATCH(I$2,'Budget révisé'!$A$2:$AO$2,0))</f>
        <v>902.21403187396959</v>
      </c>
      <c r="J103" s="182"/>
      <c r="K103" s="407">
        <f>IF(J96=0,0,L103/J96)</f>
        <v>16.254999999999999</v>
      </c>
      <c r="L103" s="180">
        <f>-SUMIFS(BV_Data_An_Cour!$O:$O,BV_Data_An_Cour!$U:$U,$B103,BV_Data_An_Cour!$V:$V,$C103,BV_Data_An_Cour!$W:$W,$L$2)</f>
        <v>292.58999999999997</v>
      </c>
      <c r="M103" s="406"/>
      <c r="N103" s="180">
        <f t="shared" si="64"/>
        <v>-609.62403187396967</v>
      </c>
      <c r="O103" s="182"/>
      <c r="P103" s="407">
        <f>IF(O96=0,0,Q103/O96)</f>
        <v>43.192666666666668</v>
      </c>
      <c r="Q103" s="180">
        <f>-SUMIFS(BV_Data_An_Prec!$O:$O,BV_Data_An_Prec!$U:$U,$B103,BV_Data_An_Prec!$V:$V,$C103,BV_Data_An_Prec!$W:$W,$L$2)</f>
        <v>647.89</v>
      </c>
      <c r="R103" s="182">
        <f t="shared" si="65"/>
        <v>-16.254999999999999</v>
      </c>
      <c r="S103" s="399">
        <f t="shared" si="66"/>
        <v>-355.3</v>
      </c>
      <c r="T103" s="222"/>
      <c r="U103" s="222" t="s">
        <v>2908</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
        <v>3369</v>
      </c>
      <c r="B104" s="24" t="s">
        <v>144</v>
      </c>
      <c r="C104" s="400" t="s">
        <v>100</v>
      </c>
      <c r="D104" s="401">
        <f>D96</f>
        <v>27.378640776699029</v>
      </c>
      <c r="E104" s="179">
        <f t="shared" si="50"/>
        <v>1853.7587995604842</v>
      </c>
      <c r="F104" s="402">
        <f>F101+F102+F103</f>
        <v>50753.396259811314</v>
      </c>
      <c r="G104" s="403">
        <f>G96</f>
        <v>27.378640776699029</v>
      </c>
      <c r="H104" s="401">
        <f t="shared" si="57"/>
        <v>1853.7587995604842</v>
      </c>
      <c r="I104" s="402">
        <f>I101+I102+I103</f>
        <v>50753.396259811314</v>
      </c>
      <c r="J104" s="403">
        <f>J96</f>
        <v>18</v>
      </c>
      <c r="K104" s="401">
        <f>IF(J104&lt;=0,0,L104/J104)</f>
        <v>2465.2622222222221</v>
      </c>
      <c r="L104" s="402">
        <f>L101+L102+L103</f>
        <v>44374.720000000001</v>
      </c>
      <c r="M104" s="182">
        <f>J104-G104</f>
        <v>-9.3786407766990294</v>
      </c>
      <c r="N104" s="402">
        <f t="shared" si="64"/>
        <v>-6378.6762598113128</v>
      </c>
      <c r="O104" s="403">
        <f>O96</f>
        <v>15</v>
      </c>
      <c r="P104" s="401">
        <f>IF(O104&lt;=0,0,Q104/O104)</f>
        <v>1705.0093333333332</v>
      </c>
      <c r="Q104" s="402">
        <f>Q101+Q102+Q103</f>
        <v>25575.14</v>
      </c>
      <c r="R104" s="411"/>
      <c r="S104" s="404">
        <f t="shared" si="66"/>
        <v>18799.580000000002</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
        <v>144</v>
      </c>
      <c r="B105" s="24" t="s">
        <v>144</v>
      </c>
      <c r="C105" s="264"/>
      <c r="D105" s="178"/>
      <c r="E105" s="178"/>
      <c r="F105" s="304"/>
      <c r="G105" s="303"/>
      <c r="H105" s="349"/>
      <c r="I105" s="304"/>
      <c r="J105" s="303"/>
      <c r="K105" s="178"/>
      <c r="L105" s="304"/>
      <c r="M105" s="362"/>
      <c r="N105" s="332">
        <f>N104/I104</f>
        <v>-0.12567979149923841</v>
      </c>
      <c r="O105" s="303"/>
      <c r="P105" s="178"/>
      <c r="Q105" s="304"/>
      <c r="R105" s="325"/>
      <c r="S105" s="333">
        <f>IF(Q104=0,0,(S104/Q104))</f>
        <v>0.73507241798089873</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
        <v>144</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
        <v>3370</v>
      </c>
      <c r="B107" s="24" t="s">
        <v>144</v>
      </c>
      <c r="C107" s="269" t="s">
        <v>151</v>
      </c>
      <c r="D107" s="26">
        <f>D96+D99</f>
        <v>51.203340002616997</v>
      </c>
      <c r="E107" s="30">
        <f>IF(D107&lt;=0,0,F107/D107)</f>
        <v>1773.5940903255239</v>
      </c>
      <c r="F107" s="28">
        <f>F96+F104+F99</f>
        <v>90813.941233570004</v>
      </c>
      <c r="G107" s="29">
        <f>G96+G99</f>
        <v>51.203340002616997</v>
      </c>
      <c r="H107" s="30">
        <f>IF(G107&lt;=0,0,I107/G107)</f>
        <v>1773.5940903255239</v>
      </c>
      <c r="I107" s="28">
        <f>I96+I104+I99</f>
        <v>90813.941233570004</v>
      </c>
      <c r="J107" s="29">
        <f>J96+J99</f>
        <v>36</v>
      </c>
      <c r="K107" s="30">
        <f>IF(J107&lt;=0,0,L107/J107)</f>
        <v>2855.3130555555563</v>
      </c>
      <c r="L107" s="28">
        <f>L96+L104+L99</f>
        <v>102791.27000000002</v>
      </c>
      <c r="M107" s="29">
        <f>J107-G107</f>
        <v>-15.203340002616997</v>
      </c>
      <c r="N107" s="28">
        <f>L107-I107</f>
        <v>11977.328766430015</v>
      </c>
      <c r="O107" s="29">
        <f>O96+O99</f>
        <v>35</v>
      </c>
      <c r="P107" s="30">
        <f>IF(O107&lt;=0,0,Q107/O107)</f>
        <v>1146.6542857142852</v>
      </c>
      <c r="Q107" s="28">
        <f>Q96+Q104+Q99</f>
        <v>40132.89999999998</v>
      </c>
      <c r="R107" s="29">
        <f>J107-O107</f>
        <v>1</v>
      </c>
      <c r="S107" s="363">
        <f>L107-Q107</f>
        <v>62658.370000000039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
        <v>144</v>
      </c>
      <c r="B108" s="24" t="s">
        <v>144</v>
      </c>
      <c r="C108" s="364"/>
      <c r="D108" s="365"/>
      <c r="E108" s="365"/>
      <c r="F108" s="32"/>
      <c r="G108" s="31"/>
      <c r="H108" s="365"/>
      <c r="I108" s="32"/>
      <c r="J108" s="31"/>
      <c r="K108" s="365"/>
      <c r="L108" s="32"/>
      <c r="M108" s="33">
        <f>M107/G107</f>
        <v>-0.29692086496388626</v>
      </c>
      <c r="N108" s="34">
        <f>N107/I107</f>
        <v>0.13188865722306645</v>
      </c>
      <c r="O108" s="31"/>
      <c r="P108" s="365"/>
      <c r="Q108" s="32"/>
      <c r="R108" s="33">
        <f>O107/R107</f>
        <v>35</v>
      </c>
      <c r="S108" s="412">
        <f>IF(Q107=0,0,(S107/Q107))</f>
        <v>1.561271924032404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
        <v>144</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
        <v>3371</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
        <v>3372</v>
      </c>
      <c r="B111" s="24" t="s">
        <v>144</v>
      </c>
      <c r="C111" s="264" t="s">
        <v>103</v>
      </c>
      <c r="D111" s="301"/>
      <c r="E111" s="197">
        <f t="shared" ref="E111:E116" si="67">F111/D$96</f>
        <v>569.42021276595744</v>
      </c>
      <c r="F111" s="179">
        <f>+INDEX('Budget original'!$A$2:$AO$500,MATCH($A111,'Budget original'!$A$2:$A$500,0),MATCH(F$2,'Budget original'!$A$2:$AO$2,0))</f>
        <v>15589.95145631068</v>
      </c>
      <c r="G111" s="965">
        <f>I111/I96</f>
        <v>0.44530366056572379</v>
      </c>
      <c r="H111" s="197">
        <f t="shared" ref="H111:H116" si="68">I111/G$96</f>
        <v>569.42021276595744</v>
      </c>
      <c r="I111" s="179">
        <f>+INDEX('Budget révisé'!$A$2:$AO$500,MATCH($A111,'Budget révisé'!$A$2:$A$500,0),MATCH(I$2,'Budget révisé'!$A$2:$AO$2,0))</f>
        <v>15589.95145631068</v>
      </c>
      <c r="J111" s="965">
        <f>L111/L96</f>
        <v>0.34249874451838935</v>
      </c>
      <c r="K111" s="197">
        <f t="shared" ref="K111:K116" si="69">IF($J$96=0,0,L111/(J$94+J$95))</f>
        <v>962.38722222222225</v>
      </c>
      <c r="L111" s="180">
        <f>SUMIFS(BV_Data_An_Cour!$O:$O,BV_Data_An_Cour!$U:$U,$B111,BV_Data_An_Cour!$V:$V,$C111,BV_Data_An_Cour!$W:$W,$L$2)</f>
        <v>17322.97</v>
      </c>
      <c r="M111" s="303"/>
      <c r="N111" s="304">
        <f t="shared" ref="N111:N121" si="70">L111-I111</f>
        <v>1733.0185436893207</v>
      </c>
      <c r="O111" s="303"/>
      <c r="P111" s="197">
        <f t="shared" ref="P111:P116" si="71">IF($J$96=0,0,Q111/(O$94+O$95))</f>
        <v>518.3846666666667</v>
      </c>
      <c r="Q111" s="180">
        <f>SUMIFS(BV_Data_An_Prec!$O:$O,BV_Data_An_Prec!$U:$U,$B111,BV_Data_An_Prec!$V:$V,$C111,BV_Data_An_Prec!$W:$W,$L$2)</f>
        <v>7775.77</v>
      </c>
      <c r="R111" s="303"/>
      <c r="S111" s="199">
        <f t="shared" ref="S111:S121" si="72">L111-Q111</f>
        <v>9547.2000000000007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
        <v>3373</v>
      </c>
      <c r="B112" s="24" t="s">
        <v>144</v>
      </c>
      <c r="C112" s="326" t="s">
        <v>104</v>
      </c>
      <c r="D112" s="307"/>
      <c r="E112" s="413">
        <f t="shared" si="67"/>
        <v>556.12763986814525</v>
      </c>
      <c r="F112" s="177">
        <f>+INDEX('Budget original'!$A$2:$AO$500,MATCH($A112,'Budget original'!$A$2:$A$500,0),MATCH(F$2,'Budget original'!$A$2:$AO$2,0))</f>
        <v>15226.018877943394</v>
      </c>
      <c r="G112" s="966">
        <f>I112/I104</f>
        <v>0.3</v>
      </c>
      <c r="H112" s="413">
        <f t="shared" si="68"/>
        <v>556.12763986814525</v>
      </c>
      <c r="I112" s="177">
        <f>+INDEX('Budget révisé'!$A$2:$AO$500,MATCH($A112,'Budget révisé'!$A$2:$A$500,0),MATCH(I$2,'Budget révisé'!$A$2:$AO$2,0))</f>
        <v>15226.018877943394</v>
      </c>
      <c r="J112" s="966">
        <f>L112/L104</f>
        <v>0.30601748022297381</v>
      </c>
      <c r="K112" s="413">
        <f t="shared" si="69"/>
        <v>754.41333333333341</v>
      </c>
      <c r="L112" s="281">
        <f>SUMIFS(BV_Data_An_Cour!$O:$O,BV_Data_An_Cour!$U:$U,$B112,BV_Data_An_Cour!$V:$V,$C112,BV_Data_An_Cour!$W:$W,$L$2)</f>
        <v>13579.44</v>
      </c>
      <c r="M112" s="310"/>
      <c r="N112" s="311">
        <f t="shared" si="70"/>
        <v>-1646.5788779433933</v>
      </c>
      <c r="O112" s="310"/>
      <c r="P112" s="413">
        <f t="shared" si="71"/>
        <v>492.9133333333333</v>
      </c>
      <c r="Q112" s="180">
        <f>SUMIFS(BV_Data_An_Prec!$O:$O,BV_Data_An_Prec!$U:$U,$B112,BV_Data_An_Prec!$V:$V,$C112,BV_Data_An_Prec!$W:$W,$L$2)</f>
        <v>7393.7</v>
      </c>
      <c r="R112" s="310"/>
      <c r="S112" s="202">
        <f t="shared" si="72"/>
        <v>6185.7400000000007</v>
      </c>
      <c r="T112" s="222"/>
      <c r="U112" s="222"/>
      <c r="V112" s="514" t="s">
        <v>3155</v>
      </c>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
        <v>3374</v>
      </c>
      <c r="B113" s="24" t="s">
        <v>144</v>
      </c>
      <c r="C113" s="264" t="s">
        <v>105</v>
      </c>
      <c r="D113" s="301"/>
      <c r="E113" s="197">
        <f t="shared" si="67"/>
        <v>69.809353301886787</v>
      </c>
      <c r="F113" s="179">
        <f>+INDEX('Budget original'!$A$2:$AO$500,MATCH($A113,'Budget original'!$A$2:$A$500,0),MATCH(F$2,'Budget original'!$A$2:$AO$2,0))</f>
        <v>1911.2852069060266</v>
      </c>
      <c r="G113" s="302"/>
      <c r="H113" s="197">
        <f t="shared" si="68"/>
        <v>69.809353301886787</v>
      </c>
      <c r="I113" s="179">
        <f>+INDEX('Budget révisé'!$A$2:$AO$500,MATCH($A113,'Budget révisé'!$A$2:$A$500,0),MATCH(I$2,'Budget révisé'!$A$2:$AO$2,0))</f>
        <v>1911.2852069060266</v>
      </c>
      <c r="J113" s="303"/>
      <c r="K113" s="228">
        <f t="shared" si="69"/>
        <v>67.162777777777777</v>
      </c>
      <c r="L113" s="245">
        <f>SUMIFS(BV_Data_An_Cour!$O:$O,BV_Data_An_Cour!$U:$U,$B113,BV_Data_An_Cour!$V:$V,$C113,BV_Data_An_Cour!$W:$W,$L$2)</f>
        <v>1208.93</v>
      </c>
      <c r="M113" s="303"/>
      <c r="N113" s="304">
        <f t="shared" si="70"/>
        <v>-702.35520690602652</v>
      </c>
      <c r="O113" s="303"/>
      <c r="P113" s="197">
        <f t="shared" si="71"/>
        <v>36.961999999999996</v>
      </c>
      <c r="Q113" s="181">
        <f>SUMIFS(BV_Data_An_Prec!$O:$O,BV_Data_An_Prec!$U:$U,$B113,BV_Data_An_Prec!$V:$V,$C113,BV_Data_An_Prec!$W:$W,$L$2)</f>
        <v>554.42999999999995</v>
      </c>
      <c r="R113" s="303"/>
      <c r="S113" s="199">
        <f t="shared" si="72"/>
        <v>654.50000000000011</v>
      </c>
      <c r="T113" s="222"/>
      <c r="U113" s="222"/>
      <c r="V113" s="514">
        <f>H113*$J$96</f>
        <v>1256.5683594339621</v>
      </c>
      <c r="W113" s="967">
        <f>L113-V113</f>
        <v>-47.638359433962023</v>
      </c>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
        <v>3375</v>
      </c>
      <c r="B114" s="24" t="s">
        <v>144</v>
      </c>
      <c r="C114" s="264" t="s">
        <v>106</v>
      </c>
      <c r="D114" s="301"/>
      <c r="E114" s="197">
        <f t="shared" si="67"/>
        <v>33.51101497641509</v>
      </c>
      <c r="F114" s="179">
        <f>+INDEX('Budget original'!$A$2:$AO$500,MATCH($A114,'Budget original'!$A$2:$A$500,0),MATCH(F$2,'Budget original'!$A$2:$AO$2,0))</f>
        <v>917.48604110185011</v>
      </c>
      <c r="G114" s="302"/>
      <c r="H114" s="197">
        <f t="shared" si="68"/>
        <v>33.51101497641509</v>
      </c>
      <c r="I114" s="179">
        <f>+INDEX('Budget révisé'!$A$2:$AO$500,MATCH($A114,'Budget révisé'!$A$2:$A$500,0),MATCH(I$2,'Budget révisé'!$A$2:$AO$2,0))</f>
        <v>917.48604110185011</v>
      </c>
      <c r="J114" s="303"/>
      <c r="K114" s="228">
        <f t="shared" si="69"/>
        <v>41.167777777777779</v>
      </c>
      <c r="L114" s="281">
        <f>SUMIFS(BV_Data_An_Cour!$O:$O,BV_Data_An_Cour!$U:$U,$B114,BV_Data_An_Cour!$V:$V,$C114,BV_Data_An_Cour!$W:$W,$L$2)</f>
        <v>741.02</v>
      </c>
      <c r="M114" s="303"/>
      <c r="N114" s="304">
        <f t="shared" si="70"/>
        <v>-176.46604110185012</v>
      </c>
      <c r="O114" s="303"/>
      <c r="P114" s="197">
        <f t="shared" si="71"/>
        <v>135.06200000000001</v>
      </c>
      <c r="Q114" s="180">
        <f>SUMIFS(BV_Data_An_Prec!$O:$O,BV_Data_An_Prec!$U:$U,$B114,BV_Data_An_Prec!$V:$V,$C114,BV_Data_An_Prec!$W:$W,$L$2)</f>
        <v>2025.93</v>
      </c>
      <c r="R114" s="303"/>
      <c r="S114" s="199">
        <f t="shared" si="72"/>
        <v>-1284.9100000000001</v>
      </c>
      <c r="T114" s="222"/>
      <c r="U114" s="222"/>
      <c r="V114" s="514">
        <f>H114*$J$96</f>
        <v>603.19826957547161</v>
      </c>
      <c r="W114" s="967">
        <f>L114-V114</f>
        <v>137.82173042452837</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
        <v>3376</v>
      </c>
      <c r="B115" s="24" t="s">
        <v>144</v>
      </c>
      <c r="C115" s="326" t="s">
        <v>107</v>
      </c>
      <c r="D115" s="307"/>
      <c r="E115" s="413">
        <f t="shared" si="67"/>
        <v>88.549952830188673</v>
      </c>
      <c r="F115" s="177">
        <f>+INDEX('Budget original'!$A$2:$AO$500,MATCH($A115,'Budget original'!$A$2:$A$500,0),MATCH(F$2,'Budget original'!$A$2:$AO$2,0))</f>
        <v>2424.3773493313793</v>
      </c>
      <c r="G115" s="309"/>
      <c r="H115" s="413">
        <f t="shared" si="68"/>
        <v>88.549952830188673</v>
      </c>
      <c r="I115" s="177">
        <f>+INDEX('Budget révisé'!$A$2:$AO$500,MATCH($A115,'Budget révisé'!$A$2:$A$500,0),MATCH(I$2,'Budget révisé'!$A$2:$AO$2,0))</f>
        <v>2424.3773493313793</v>
      </c>
      <c r="J115" s="310"/>
      <c r="K115" s="1186">
        <f t="shared" si="69"/>
        <v>96.403888888888886</v>
      </c>
      <c r="L115" s="1191">
        <f>SUMIFS(BV_Data_An_Cour!$O:$O,BV_Data_An_Cour!$U:$U,$B115,BV_Data_An_Cour!$V:$V,$C115,BV_Data_An_Cour!$W:$W,$L$2)</f>
        <v>1735.27</v>
      </c>
      <c r="M115" s="310"/>
      <c r="N115" s="311">
        <f t="shared" si="70"/>
        <v>-689.10734933137928</v>
      </c>
      <c r="O115" s="310"/>
      <c r="P115" s="413">
        <f t="shared" si="71"/>
        <v>127.66666666666667</v>
      </c>
      <c r="Q115" s="405">
        <f>SUMIFS(BV_Data_An_Prec!$O:$O,BV_Data_An_Prec!$U:$U,$B115,BV_Data_An_Prec!$V:$V,$C115,BV_Data_An_Prec!$W:$W,$L$2)</f>
        <v>1915</v>
      </c>
      <c r="R115" s="310"/>
      <c r="S115" s="202">
        <f t="shared" si="72"/>
        <v>-179.73000000000002</v>
      </c>
      <c r="T115" s="222"/>
      <c r="U115" s="229"/>
      <c r="V115" s="514">
        <f>H115*$J$96</f>
        <v>1593.8991509433961</v>
      </c>
      <c r="W115" s="967">
        <f>L115-V115</f>
        <v>141.3708490566039</v>
      </c>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
        <v>3377</v>
      </c>
      <c r="B116" s="24" t="s">
        <v>144</v>
      </c>
      <c r="C116" s="264" t="s">
        <v>108</v>
      </c>
      <c r="D116" s="301"/>
      <c r="E116" s="197">
        <f t="shared" si="67"/>
        <v>42.755319148936188</v>
      </c>
      <c r="F116" s="179">
        <f>+INDEX('Budget original'!$A$2:$AO$500,MATCH($A116,'Budget original'!$A$2:$A$500,0),MATCH(F$2,'Budget original'!$A$2:$AO$2,0))</f>
        <v>1170.5825242718452</v>
      </c>
      <c r="G116" s="302"/>
      <c r="H116" s="197">
        <f t="shared" si="68"/>
        <v>42.755319148936188</v>
      </c>
      <c r="I116" s="179">
        <f>+INDEX('Budget révisé'!$A$2:$AO$500,MATCH($A116,'Budget révisé'!$A$2:$A$500,0),MATCH(I$2,'Budget révisé'!$A$2:$AO$2,0))</f>
        <v>1170.5825242718452</v>
      </c>
      <c r="J116" s="303"/>
      <c r="K116" s="228">
        <f t="shared" si="69"/>
        <v>76.487222222222215</v>
      </c>
      <c r="L116" s="281">
        <f>SUMIFS(BV_Data_An_Cour!$O:$O,BV_Data_An_Cour!$U:$U,$B116,BV_Data_An_Cour!$V:$V,$C116,BV_Data_An_Cour!$W:$W,$L$2)</f>
        <v>1376.77</v>
      </c>
      <c r="M116" s="303"/>
      <c r="N116" s="304">
        <f t="shared" si="70"/>
        <v>206.18747572815482</v>
      </c>
      <c r="O116" s="303"/>
      <c r="P116" s="197">
        <f t="shared" si="71"/>
        <v>187.96800000000002</v>
      </c>
      <c r="Q116" s="180">
        <f>SUMIFS(BV_Data_An_Prec!$O:$O,BV_Data_An_Prec!$U:$U,$B116,BV_Data_An_Prec!$V:$V,$C116,BV_Data_An_Prec!$W:$W,$L$2)</f>
        <v>2819.5200000000004</v>
      </c>
      <c r="R116" s="303"/>
      <c r="S116" s="199">
        <f t="shared" si="72"/>
        <v>-1442.7500000000005</v>
      </c>
      <c r="T116" s="222"/>
      <c r="U116" s="222"/>
      <c r="V116" s="514">
        <f>H116*J104</f>
        <v>769.59574468085134</v>
      </c>
      <c r="W116" s="967">
        <f>L116-V116</f>
        <v>607.17425531914864</v>
      </c>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
        <v>3378</v>
      </c>
      <c r="B117" s="24" t="s">
        <v>144</v>
      </c>
      <c r="C117" s="264" t="s">
        <v>109</v>
      </c>
      <c r="D117" s="301"/>
      <c r="E117" s="197">
        <f t="shared" ref="E117:E119" si="73">F117/D$96</f>
        <v>24.785639765065945</v>
      </c>
      <c r="F117" s="179">
        <f>+INDEX('Budget original'!$A$2:$AO$500,MATCH($A117,'Budget original'!$A$2:$A$500,0),MATCH(F$2,'Budget original'!$A$2:$AO$2,0))</f>
        <v>678.59712754840746</v>
      </c>
      <c r="G117" s="302"/>
      <c r="H117" s="197">
        <f t="shared" ref="H117:H119" si="74">I117/G$96</f>
        <v>24.785639765065945</v>
      </c>
      <c r="I117" s="179">
        <f>+INDEX('Budget révisé'!$A$2:$AO$500,MATCH($A117,'Budget révisé'!$A$2:$A$500,0),MATCH(I$2,'Budget révisé'!$A$2:$AO$2,0))</f>
        <v>678.59712754840746</v>
      </c>
      <c r="J117" s="303"/>
      <c r="K117" s="197">
        <f t="shared" ref="K117:K119" si="75">IF($J$96=0,0,L117/(J$94+J$95))</f>
        <v>79.443333333333328</v>
      </c>
      <c r="L117" s="180">
        <f>SUMIFS(BV_Data_An_Cour!$O:$O,BV_Data_An_Cour!$U:$U,$B117,BV_Data_An_Cour!$V:$V,$C117,BV_Data_An_Cour!$W:$W,$L$2)</f>
        <v>1429.98</v>
      </c>
      <c r="M117" s="303"/>
      <c r="N117" s="304">
        <f t="shared" ref="N117:N119" si="76">L117-I117</f>
        <v>751.38287245159256</v>
      </c>
      <c r="O117" s="303"/>
      <c r="P117" s="197">
        <f t="shared" ref="P117:P119" si="77">IF($J$96=0,0,Q117/(O$94+O$95))</f>
        <v>35.275333333333336</v>
      </c>
      <c r="Q117" s="180">
        <f>SUMIFS(BV_Data_An_Prec!$O:$O,BV_Data_An_Prec!$U:$U,$B117,BV_Data_An_Prec!$V:$V,$C117,BV_Data_An_Prec!$W:$W,$L$2)</f>
        <v>529.13</v>
      </c>
      <c r="R117" s="303"/>
      <c r="S117" s="199">
        <f t="shared" ref="S117:S119" si="78">L117-Q117</f>
        <v>900.85</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
        <v>3379</v>
      </c>
      <c r="B118" s="24" t="s">
        <v>144</v>
      </c>
      <c r="C118" s="264" t="s">
        <v>42</v>
      </c>
      <c r="D118" s="301"/>
      <c r="E118" s="197">
        <f t="shared" si="73"/>
        <v>0</v>
      </c>
      <c r="F118" s="179">
        <f>+INDEX('Budget original'!$A$2:$AO$500,MATCH($A118,'Budget original'!$A$2:$A$500,0),MATCH(F$2,'Budget original'!$A$2:$AO$2,0))</f>
        <v>0</v>
      </c>
      <c r="G118" s="302"/>
      <c r="H118" s="197">
        <f t="shared" si="74"/>
        <v>0</v>
      </c>
      <c r="I118" s="179">
        <f>+INDEX('Budget révisé'!$A$2:$AO$500,MATCH($A118,'Budget révisé'!$A$2:$A$500,0),MATCH(I$2,'Budget révisé'!$A$2:$AO$2,0))</f>
        <v>0</v>
      </c>
      <c r="J118" s="303"/>
      <c r="K118" s="197">
        <f t="shared" si="75"/>
        <v>0</v>
      </c>
      <c r="L118" s="180">
        <f>SUMIFS(BV_Data_An_Cour!$O:$O,BV_Data_An_Cour!$U:$U,$B118,BV_Data_An_Cour!$V:$V,$C118,BV_Data_An_Cour!$W:$W,$L$2)</f>
        <v>0</v>
      </c>
      <c r="M118" s="303"/>
      <c r="N118" s="304">
        <f t="shared" si="76"/>
        <v>0</v>
      </c>
      <c r="O118" s="303"/>
      <c r="P118" s="197">
        <f t="shared" si="77"/>
        <v>0</v>
      </c>
      <c r="Q118" s="180">
        <f>SUMIFS(BV_Data_An_Prec!$O:$O,BV_Data_An_Prec!$U:$U,$B118,BV_Data_An_Prec!$V:$V,$C118,BV_Data_An_Prec!$W:$W,$L$2)</f>
        <v>0</v>
      </c>
      <c r="R118" s="303"/>
      <c r="S118" s="199">
        <f t="shared" si="7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
        <v>3379</v>
      </c>
      <c r="B119" s="24" t="s">
        <v>144</v>
      </c>
      <c r="C119" s="264" t="s">
        <v>42</v>
      </c>
      <c r="D119" s="301"/>
      <c r="E119" s="197">
        <f t="shared" si="73"/>
        <v>0</v>
      </c>
      <c r="F119" s="179">
        <f>+INDEX('Budget original'!$A$2:$AO$500,MATCH($A119,'Budget original'!$A$2:$A$500,0),MATCH(F$2,'Budget original'!$A$2:$AO$2,0))</f>
        <v>0</v>
      </c>
      <c r="G119" s="302"/>
      <c r="H119" s="197">
        <f t="shared" si="74"/>
        <v>0</v>
      </c>
      <c r="I119" s="179">
        <f>+INDEX('Budget révisé'!$A$2:$AO$500,MATCH($A119,'Budget révisé'!$A$2:$A$500,0),MATCH(I$2,'Budget révisé'!$A$2:$AO$2,0))</f>
        <v>0</v>
      </c>
      <c r="J119" s="303"/>
      <c r="K119" s="197">
        <f t="shared" si="75"/>
        <v>0</v>
      </c>
      <c r="L119" s="180">
        <f>SUMIFS(BV_Data_An_Cour!$O:$O,BV_Data_An_Cour!$U:$U,$B119,BV_Data_An_Cour!$V:$V,$C119,BV_Data_An_Cour!$W:$W,$L$2)</f>
        <v>0</v>
      </c>
      <c r="M119" s="303"/>
      <c r="N119" s="304">
        <f t="shared" si="76"/>
        <v>0</v>
      </c>
      <c r="O119" s="303"/>
      <c r="P119" s="197">
        <f t="shared" si="77"/>
        <v>0</v>
      </c>
      <c r="Q119" s="180">
        <f>SUMIFS(BV_Data_An_Prec!$O:$O,BV_Data_An_Prec!$U:$U,$B119,BV_Data_An_Prec!$V:$V,$C119,BV_Data_An_Prec!$W:$W,$L$2)</f>
        <v>0</v>
      </c>
      <c r="R119" s="303"/>
      <c r="S119" s="199">
        <f t="shared" si="7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
        <v>3379</v>
      </c>
      <c r="B120" s="24" t="s">
        <v>144</v>
      </c>
      <c r="C120" s="264" t="s">
        <v>42</v>
      </c>
      <c r="D120" s="301"/>
      <c r="E120" s="197">
        <f>F120/D$96</f>
        <v>0</v>
      </c>
      <c r="F120" s="179">
        <f>+INDEX('Budget original'!$A$2:$AO$500,MATCH($A120,'Budget original'!$A$2:$A$500,0),MATCH(F$2,'Budget original'!$A$2:$AO$2,0))</f>
        <v>0</v>
      </c>
      <c r="G120" s="302"/>
      <c r="H120" s="197">
        <f>I120/G$96</f>
        <v>0</v>
      </c>
      <c r="I120" s="179">
        <f>+INDEX('Budget révisé'!$A$2:$AO$500,MATCH($A120,'Budget révisé'!$A$2:$A$500,0),MATCH(I$2,'Budget révisé'!$A$2:$AO$2,0))</f>
        <v>0</v>
      </c>
      <c r="J120" s="303"/>
      <c r="K120" s="197">
        <f>IF($J$96=0,0,L120/(J$94+J$95))</f>
        <v>0</v>
      </c>
      <c r="L120" s="180">
        <f>SUMIFS(BV_Data_An_Cour!$O:$O,BV_Data_An_Cour!$U:$U,$B120,BV_Data_An_Cour!$V:$V,$C120,BV_Data_An_Cour!$W:$W,$L$2)</f>
        <v>0</v>
      </c>
      <c r="M120" s="303"/>
      <c r="N120" s="304">
        <f t="shared" si="70"/>
        <v>0</v>
      </c>
      <c r="O120" s="303"/>
      <c r="P120" s="197">
        <f>IF($J$96=0,0,Q120/(O$94+O$95))</f>
        <v>0</v>
      </c>
      <c r="Q120" s="180">
        <f>SUMIFS(BV_Data_An_Prec!$O:$O,BV_Data_An_Prec!$U:$U,$B120,BV_Data_An_Prec!$V:$V,$C120,BV_Data_An_Prec!$W:$W,$L$2)</f>
        <v>0</v>
      </c>
      <c r="R120" s="303"/>
      <c r="S120" s="199">
        <f t="shared" si="7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
        <v>3380</v>
      </c>
      <c r="B121" s="24" t="s">
        <v>144</v>
      </c>
      <c r="C121" s="298" t="s">
        <v>110</v>
      </c>
      <c r="D121" s="39" t="s">
        <v>111</v>
      </c>
      <c r="E121" s="40">
        <f>F121/F$107</f>
        <v>0.41753829938829717</v>
      </c>
      <c r="F121" s="41">
        <f>SUM(F111:F120)</f>
        <v>37918.298583413576</v>
      </c>
      <c r="G121" s="42" t="s">
        <v>111</v>
      </c>
      <c r="H121" s="40">
        <f>I121/I$107</f>
        <v>0.41753829938829717</v>
      </c>
      <c r="I121" s="41">
        <f>SUM(I111:I120)</f>
        <v>37918.298583413576</v>
      </c>
      <c r="J121" s="42" t="s">
        <v>111</v>
      </c>
      <c r="K121" s="40">
        <f>L121/L$107</f>
        <v>0.36378945410441949</v>
      </c>
      <c r="L121" s="41">
        <f>SUM(L111:L120)</f>
        <v>37394.379999999997</v>
      </c>
      <c r="M121" s="44"/>
      <c r="N121" s="41">
        <f t="shared" si="70"/>
        <v>-523.91858341357874</v>
      </c>
      <c r="O121" s="42" t="s">
        <v>111</v>
      </c>
      <c r="P121" s="40">
        <f>Q121/Q$107</f>
        <v>0.57343177293442571</v>
      </c>
      <c r="Q121" s="41">
        <f>SUM(Q111:Q120)</f>
        <v>23013.480000000003</v>
      </c>
      <c r="R121" s="44"/>
      <c r="S121" s="316">
        <f t="shared" si="72"/>
        <v>14380.899999999994</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
        <v>3381</v>
      </c>
      <c r="B122" s="24" t="s">
        <v>144</v>
      </c>
      <c r="C122" s="305" t="s">
        <v>112</v>
      </c>
      <c r="D122" s="178"/>
      <c r="E122" s="178"/>
      <c r="F122" s="179">
        <f>+INDEX('Budget original'!$A$2:$AO$500,MATCH($A122,'Budget original'!$A$2:$A$500,0),MATCH(F$2,'Budget original'!$A$2:$AO$2,0))</f>
        <v>7896.8540229885057</v>
      </c>
      <c r="G122" s="303"/>
      <c r="H122" s="178"/>
      <c r="I122" s="179">
        <f>+INDEX('Budget révisé'!$A$2:$AO$500,MATCH($A122,'Budget révisé'!$A$2:$A$500,0),MATCH(I$2,'Budget révisé'!$A$2:$AO$2,0))</f>
        <v>7896.8540229885057</v>
      </c>
      <c r="J122" s="303"/>
      <c r="K122" s="178"/>
      <c r="L122" s="281">
        <f>SUMIFS(BV_Data_An_Cour!$O:$O,BV_Data_An_Cour!$U:$U,$B122,BV_Data_An_Cour!$V:$V,$C122,BV_Data_An_Cour!$W:$W,$L$2)</f>
        <v>6950.18</v>
      </c>
      <c r="M122" s="303"/>
      <c r="N122" s="304">
        <f t="shared" ref="N122:N133" si="79">L122-I122</f>
        <v>-946.67402298850539</v>
      </c>
      <c r="O122" s="303"/>
      <c r="P122" s="178"/>
      <c r="Q122" s="180">
        <f>SUMIFS(BV_Data_An_Prec!$O:$O,BV_Data_An_Prec!$U:$U,$B122,BV_Data_An_Prec!$V:$V,$C122,BV_Data_An_Prec!$W:$W,$L$2)</f>
        <v>11571</v>
      </c>
      <c r="R122" s="303"/>
      <c r="S122" s="199">
        <f t="shared" ref="S122:S133" si="80">L122-Q122</f>
        <v>-4620.82</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
        <v>3382</v>
      </c>
      <c r="B123" s="24" t="s">
        <v>144</v>
      </c>
      <c r="C123" s="306" t="s">
        <v>113</v>
      </c>
      <c r="D123" s="301"/>
      <c r="E123" s="178"/>
      <c r="F123" s="177">
        <f>+INDEX('Budget original'!$A$2:$AO$500,MATCH($A123,'Budget original'!$A$2:$A$500,0),MATCH(F$2,'Budget original'!$A$2:$AO$2,0))</f>
        <v>2085.8013466436782</v>
      </c>
      <c r="G123" s="302"/>
      <c r="H123" s="178"/>
      <c r="I123" s="177">
        <f>+INDEX('Budget révisé'!$A$2:$AO$500,MATCH($A123,'Budget révisé'!$A$2:$A$500,0),MATCH(I$2,'Budget révisé'!$A$2:$AO$2,0))</f>
        <v>2085.8013466436782</v>
      </c>
      <c r="J123" s="303"/>
      <c r="K123" s="178"/>
      <c r="L123" s="177">
        <f>SUMIFS(BV_Data_An_Cour!$O:$O,BV_Data_An_Cour!$U:$U,$B123,BV_Data_An_Cour!$V:$V,$C123,BV_Data_An_Cour!$W:$W,$L$2)</f>
        <v>1774.29</v>
      </c>
      <c r="M123" s="303"/>
      <c r="N123" s="304">
        <f t="shared" si="79"/>
        <v>-311.51134664367828</v>
      </c>
      <c r="O123" s="303"/>
      <c r="P123" s="178"/>
      <c r="Q123" s="177">
        <f>SUMIFS(BV_Data_An_Prec!$O:$O,BV_Data_An_Prec!$U:$U,$B123,BV_Data_An_Prec!$V:$V,$C123,BV_Data_An_Prec!$W:$W,$L$2)</f>
        <v>2021.59</v>
      </c>
      <c r="R123" s="303"/>
      <c r="S123" s="199">
        <f t="shared" si="80"/>
        <v>-247.29999999999995</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
        <v>3383</v>
      </c>
      <c r="B124" s="24" t="s">
        <v>144</v>
      </c>
      <c r="C124" s="305" t="s">
        <v>114</v>
      </c>
      <c r="D124" s="392"/>
      <c r="E124" s="352"/>
      <c r="F124" s="179">
        <f>+INDEX('Budget original'!$A$2:$AO$500,MATCH($A124,'Budget original'!$A$2:$A$500,0),MATCH(F$2,'Budget original'!$A$2:$AO$2,0))</f>
        <v>7817.5317199080455</v>
      </c>
      <c r="G124" s="393"/>
      <c r="H124" s="352"/>
      <c r="I124" s="179">
        <f>+INDEX('Budget révisé'!$A$2:$AO$500,MATCH($A124,'Budget révisé'!$A$2:$A$500,0),MATCH(I$2,'Budget révisé'!$A$2:$AO$2,0))</f>
        <v>7817.5317199080455</v>
      </c>
      <c r="J124" s="368"/>
      <c r="K124" s="352"/>
      <c r="L124" s="281">
        <f>SUMIFS(BV_Data_An_Cour!$O:$O,BV_Data_An_Cour!$U:$U,$B124,BV_Data_An_Cour!$V:$V,$C124,BV_Data_An_Cour!$W:$W,$L$2)</f>
        <v>6981.02</v>
      </c>
      <c r="M124" s="368"/>
      <c r="N124" s="356">
        <f t="shared" si="79"/>
        <v>-836.51171990804505</v>
      </c>
      <c r="O124" s="368"/>
      <c r="P124" s="352"/>
      <c r="Q124" s="180">
        <f>SUMIFS(BV_Data_An_Prec!$O:$O,BV_Data_An_Prec!$U:$U,$B124,BV_Data_An_Prec!$V:$V,$C124,BV_Data_An_Prec!$W:$W,$L$2)</f>
        <v>5454.29</v>
      </c>
      <c r="R124" s="368"/>
      <c r="S124" s="201">
        <f t="shared" si="80"/>
        <v>1526.7300000000005</v>
      </c>
      <c r="T124" s="233"/>
      <c r="U124" s="233" t="s">
        <v>2923</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
        <v>3384</v>
      </c>
      <c r="B125" s="24" t="s">
        <v>144</v>
      </c>
      <c r="C125" s="305" t="s">
        <v>115</v>
      </c>
      <c r="D125" s="301"/>
      <c r="E125" s="178"/>
      <c r="F125" s="179">
        <f>+INDEX('Budget original'!$A$2:$AO$500,MATCH($A125,'Budget original'!$A$2:$A$500,0),MATCH(F$2,'Budget original'!$A$2:$AO$2,0))</f>
        <v>0</v>
      </c>
      <c r="G125" s="302"/>
      <c r="H125" s="178"/>
      <c r="I125" s="179">
        <f>+INDEX('Budget révisé'!$A$2:$AO$500,MATCH($A125,'Budget révisé'!$A$2:$A$500,0),MATCH(I$2,'Budget révisé'!$A$2:$AO$2,0))</f>
        <v>0</v>
      </c>
      <c r="J125" s="303"/>
      <c r="K125" s="178"/>
      <c r="L125" s="180">
        <f>SUMIFS(BV_Data_An_Cour!$O:$O,BV_Data_An_Cour!$U:$U,$B125,BV_Data_An_Cour!$V:$V,$C125,BV_Data_An_Cour!$W:$W,$L$2)</f>
        <v>0</v>
      </c>
      <c r="M125" s="303"/>
      <c r="N125" s="304">
        <f t="shared" si="79"/>
        <v>0</v>
      </c>
      <c r="O125" s="303"/>
      <c r="P125" s="178"/>
      <c r="Q125" s="180">
        <f>SUMIFS(BV_Data_An_Prec!$O:$O,BV_Data_An_Prec!$U:$U,$B125,BV_Data_An_Prec!$V:$V,$C125,BV_Data_An_Prec!$W:$W,$L$2)</f>
        <v>0</v>
      </c>
      <c r="R125" s="303"/>
      <c r="S125" s="199">
        <f t="shared" si="8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
        <v>3379</v>
      </c>
      <c r="B126" s="24" t="s">
        <v>144</v>
      </c>
      <c r="C126" s="305" t="s">
        <v>42</v>
      </c>
      <c r="D126" s="301"/>
      <c r="E126" s="178"/>
      <c r="F126" s="179">
        <f>+INDEX('Budget original'!$A$2:$AO$500,MATCH($A126,'Budget original'!$A$2:$A$500,0),MATCH(F$2,'Budget original'!$A$2:$AO$2,0))</f>
        <v>0</v>
      </c>
      <c r="G126" s="302"/>
      <c r="H126" s="178"/>
      <c r="I126" s="179">
        <f>+INDEX('Budget révisé'!$A$2:$AO$500,MATCH($A126,'Budget révisé'!$A$2:$A$500,0),MATCH(I$2,'Budget révisé'!$A$2:$AO$2,0))</f>
        <v>0</v>
      </c>
      <c r="J126" s="303"/>
      <c r="K126" s="178"/>
      <c r="L126" s="180">
        <f>SUMIFS(BV_Data_An_Cour!$O:$O,BV_Data_An_Cour!$U:$U,$B126,BV_Data_An_Cour!$V:$V,$C126,BV_Data_An_Cour!$W:$W,$L$2)</f>
        <v>0</v>
      </c>
      <c r="M126" s="303"/>
      <c r="N126" s="304">
        <f t="shared" ref="N126:N129" si="81">L126-I126</f>
        <v>0</v>
      </c>
      <c r="O126" s="303"/>
      <c r="P126" s="178"/>
      <c r="Q126" s="180">
        <f>SUMIFS(BV_Data_An_Prec!$O:$O,BV_Data_An_Prec!$U:$U,$B126,BV_Data_An_Prec!$V:$V,$C126,BV_Data_An_Prec!$W:$W,$L$2)</f>
        <v>0</v>
      </c>
      <c r="R126" s="303"/>
      <c r="S126" s="199">
        <f t="shared" ref="S126:S129" si="8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
        <v>3379</v>
      </c>
      <c r="B127" s="24" t="s">
        <v>144</v>
      </c>
      <c r="C127" s="305" t="s">
        <v>42</v>
      </c>
      <c r="D127" s="301"/>
      <c r="E127" s="178"/>
      <c r="F127" s="179">
        <f>+INDEX('Budget original'!$A$2:$AO$500,MATCH($A127,'Budget original'!$A$2:$A$500,0),MATCH(F$2,'Budget original'!$A$2:$AO$2,0))</f>
        <v>0</v>
      </c>
      <c r="G127" s="302"/>
      <c r="H127" s="178"/>
      <c r="I127" s="179">
        <f>+INDEX('Budget révisé'!$A$2:$AO$500,MATCH($A127,'Budget révisé'!$A$2:$A$500,0),MATCH(I$2,'Budget révisé'!$A$2:$AO$2,0))</f>
        <v>0</v>
      </c>
      <c r="J127" s="303"/>
      <c r="K127" s="178"/>
      <c r="L127" s="180">
        <f>SUMIFS(BV_Data_An_Cour!$O:$O,BV_Data_An_Cour!$U:$U,$B127,BV_Data_An_Cour!$V:$V,$C127,BV_Data_An_Cour!$W:$W,$L$2)</f>
        <v>0</v>
      </c>
      <c r="M127" s="303"/>
      <c r="N127" s="304">
        <f t="shared" si="81"/>
        <v>0</v>
      </c>
      <c r="O127" s="303"/>
      <c r="P127" s="178"/>
      <c r="Q127" s="180">
        <f>SUMIFS(BV_Data_An_Prec!$O:$O,BV_Data_An_Prec!$U:$U,$B127,BV_Data_An_Prec!$V:$V,$C127,BV_Data_An_Prec!$W:$W,$L$2)</f>
        <v>0</v>
      </c>
      <c r="R127" s="303"/>
      <c r="S127" s="199">
        <f t="shared" si="8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
        <v>3379</v>
      </c>
      <c r="B128" s="24" t="s">
        <v>144</v>
      </c>
      <c r="C128" s="305" t="s">
        <v>42</v>
      </c>
      <c r="D128" s="301"/>
      <c r="E128" s="178"/>
      <c r="F128" s="179">
        <f>+INDEX('Budget original'!$A$2:$AO$500,MATCH($A128,'Budget original'!$A$2:$A$500,0),MATCH(F$2,'Budget original'!$A$2:$AO$2,0))</f>
        <v>0</v>
      </c>
      <c r="G128" s="302"/>
      <c r="H128" s="178"/>
      <c r="I128" s="179">
        <f>+INDEX('Budget révisé'!$A$2:$AO$500,MATCH($A128,'Budget révisé'!$A$2:$A$500,0),MATCH(I$2,'Budget révisé'!$A$2:$AO$2,0))</f>
        <v>0</v>
      </c>
      <c r="J128" s="303"/>
      <c r="K128" s="178"/>
      <c r="L128" s="180">
        <f>SUMIFS(BV_Data_An_Cour!$O:$O,BV_Data_An_Cour!$U:$U,$B128,BV_Data_An_Cour!$V:$V,$C128,BV_Data_An_Cour!$W:$W,$L$2)</f>
        <v>0</v>
      </c>
      <c r="M128" s="303"/>
      <c r="N128" s="304">
        <f t="shared" si="81"/>
        <v>0</v>
      </c>
      <c r="O128" s="303"/>
      <c r="P128" s="178"/>
      <c r="Q128" s="180">
        <f>SUMIFS(BV_Data_An_Prec!$O:$O,BV_Data_An_Prec!$U:$U,$B128,BV_Data_An_Prec!$V:$V,$C128,BV_Data_An_Prec!$W:$W,$L$2)</f>
        <v>0</v>
      </c>
      <c r="R128" s="303"/>
      <c r="S128" s="199">
        <f t="shared" si="8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
        <v>3385</v>
      </c>
      <c r="B129" s="24" t="s">
        <v>144</v>
      </c>
      <c r="C129" s="306" t="s">
        <v>116</v>
      </c>
      <c r="D129" s="301"/>
      <c r="E129" s="178"/>
      <c r="F129" s="179">
        <f>+INDEX('Budget original'!$A$2:$AO$500,MATCH($A129,'Budget original'!$A$2:$A$500,0),MATCH(F$2,'Budget original'!$A$2:$AO$2,0))</f>
        <v>5708.2175695350834</v>
      </c>
      <c r="G129" s="302"/>
      <c r="H129" s="178"/>
      <c r="I129" s="179">
        <f>+INDEX('Budget révisé'!$A$2:$AO$500,MATCH($A129,'Budget révisé'!$A$2:$A$500,0),MATCH(I$2,'Budget révisé'!$A$2:$AO$2,0))</f>
        <v>5708.2175695350834</v>
      </c>
      <c r="J129" s="303"/>
      <c r="K129" s="178"/>
      <c r="L129" s="180">
        <f>SUMIFS(BV_Data_An_Cour!$O:$O,BV_Data_An_Cour!$U:$U,$B129,BV_Data_An_Cour!$V:$V,$C129,BV_Data_An_Cour!$W:$W,$L$2)</f>
        <v>5707.93</v>
      </c>
      <c r="M129" s="303"/>
      <c r="N129" s="304">
        <f t="shared" si="81"/>
        <v>-0.2875695350830938</v>
      </c>
      <c r="O129" s="303"/>
      <c r="P129" s="178"/>
      <c r="Q129" s="180">
        <f>SUMIFS(BV_Data_An_Prec!$O:$O,BV_Data_An_Prec!$U:$U,$B129,BV_Data_An_Prec!$V:$V,$C129,BV_Data_An_Prec!$W:$W,$L$2)</f>
        <v>2069.35</v>
      </c>
      <c r="R129" s="303"/>
      <c r="S129" s="199">
        <f t="shared" si="82"/>
        <v>3638.5800000000004</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
        <v>3386</v>
      </c>
      <c r="B130" s="24" t="s">
        <v>144</v>
      </c>
      <c r="C130" s="280" t="s">
        <v>117</v>
      </c>
      <c r="D130" s="285"/>
      <c r="E130" s="286"/>
      <c r="F130" s="632">
        <f>+INDEX('Budget original'!$A$2:$AO$500,MATCH($A130,'Budget original'!$A$2:$A$500,0),MATCH(F$2,'Budget original'!$A$2:$AO$2,0))</f>
        <v>5112.2939585230188</v>
      </c>
      <c r="G130" s="287"/>
      <c r="H130" s="286"/>
      <c r="I130" s="632">
        <f>+INDEX('Budget révisé'!$A$2:$AO$500,MATCH($A130,'Budget révisé'!$A$2:$A$500,0),MATCH(I$2,'Budget révisé'!$A$2:$AO$2,0))</f>
        <v>5112.2939585230188</v>
      </c>
      <c r="J130" s="288"/>
      <c r="K130" s="286"/>
      <c r="L130" s="633">
        <f>SUMIFS(BV_Data_An_Cour!$O:$O,BV_Data_An_Cour!$U:$U,$B130,BV_Data_An_Cour!$V:$V,$C130,BV_Data_An_Cour!$W:$W,$L$2)</f>
        <v>6041.59</v>
      </c>
      <c r="M130" s="288"/>
      <c r="N130" s="356">
        <f t="shared" si="79"/>
        <v>929.29604147698137</v>
      </c>
      <c r="O130" s="288"/>
      <c r="P130" s="286"/>
      <c r="Q130" s="633">
        <f>SUMIFS(BV_Data_An_Prec!$O:$O,BV_Data_An_Prec!$U:$U,$B130,BV_Data_An_Prec!$V:$V,$C130,BV_Data_An_Prec!$W:$W,$L$2)</f>
        <v>2743.13</v>
      </c>
      <c r="R130" s="288"/>
      <c r="S130" s="290">
        <f t="shared" si="80"/>
        <v>3298.46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
        <v>3387</v>
      </c>
      <c r="B131" s="24" t="s">
        <v>144</v>
      </c>
      <c r="C131" s="280" t="s">
        <v>118</v>
      </c>
      <c r="D131" s="262"/>
      <c r="E131" s="233"/>
      <c r="F131" s="231">
        <f>+INDEX('Budget original'!$A$2:$AO$500,MATCH($A131,'Budget original'!$A$2:$A$500,0),MATCH(F$2,'Budget original'!$A$2:$AO$2,0))</f>
        <v>4059.7628494153387</v>
      </c>
      <c r="G131" s="283"/>
      <c r="H131" s="233"/>
      <c r="I131" s="231">
        <f>+INDEX('Budget révisé'!$A$2:$AO$500,MATCH($A131,'Budget révisé'!$A$2:$A$500,0),MATCH(I$2,'Budget révisé'!$A$2:$AO$2,0))</f>
        <v>4059.7628494153387</v>
      </c>
      <c r="J131" s="227"/>
      <c r="K131" s="233"/>
      <c r="L131" s="281">
        <f>SUMIFS(BV_Data_An_Cour!$O:$O,BV_Data_An_Cour!$U:$U,$B131,BV_Data_An_Cour!$V:$V,$C131,BV_Data_An_Cour!$W:$W,$L$2)</f>
        <v>3226.35</v>
      </c>
      <c r="M131" s="227"/>
      <c r="N131" s="304">
        <f t="shared" si="79"/>
        <v>-833.41284941533877</v>
      </c>
      <c r="O131" s="227"/>
      <c r="P131" s="233"/>
      <c r="Q131" s="281">
        <f>SUMIFS(BV_Data_An_Prec!$O:$O,BV_Data_An_Prec!$U:$U,$B131,BV_Data_An_Prec!$V:$V,$C131,BV_Data_An_Prec!$W:$W,$L$2)</f>
        <v>2196</v>
      </c>
      <c r="R131" s="227"/>
      <c r="S131" s="284">
        <f t="shared" si="80"/>
        <v>1030.3499999999999</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
        <v>3388</v>
      </c>
      <c r="B132" s="24" t="s">
        <v>144</v>
      </c>
      <c r="C132" s="280" t="s">
        <v>119</v>
      </c>
      <c r="D132" s="262"/>
      <c r="E132" s="233"/>
      <c r="F132" s="231">
        <f>+INDEX('Budget original'!$A$2:$AO$500,MATCH($A132,'Budget original'!$A$2:$A$500,0),MATCH(F$2,'Budget original'!$A$2:$AO$2,0))</f>
        <v>1653.9774571692121</v>
      </c>
      <c r="G132" s="283"/>
      <c r="H132" s="233"/>
      <c r="I132" s="231">
        <f>+INDEX('Budget révisé'!$A$2:$AO$500,MATCH($A132,'Budget révisé'!$A$2:$A$500,0),MATCH(I$2,'Budget révisé'!$A$2:$AO$2,0))</f>
        <v>1653.9774571692121</v>
      </c>
      <c r="J132" s="227"/>
      <c r="K132" s="233"/>
      <c r="L132" s="281">
        <f>SUMIFS(BV_Data_An_Cour!$O:$O,BV_Data_An_Cour!$U:$U,$B132,BV_Data_An_Cour!$V:$V,$C132,BV_Data_An_Cour!$W:$W,$L$2)</f>
        <v>1748.62</v>
      </c>
      <c r="M132" s="227"/>
      <c r="N132" s="304">
        <f t="shared" si="79"/>
        <v>94.642542830787761</v>
      </c>
      <c r="O132" s="227"/>
      <c r="P132" s="233"/>
      <c r="Q132" s="281">
        <f>SUMIFS(BV_Data_An_Prec!$O:$O,BV_Data_An_Prec!$U:$U,$B132,BV_Data_An_Prec!$V:$V,$C132,BV_Data_An_Prec!$W:$W,$L$2)</f>
        <v>0</v>
      </c>
      <c r="R132" s="227"/>
      <c r="S132" s="284">
        <f t="shared" si="80"/>
        <v>1748.62</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
        <v>3379</v>
      </c>
      <c r="B133" s="24" t="s">
        <v>144</v>
      </c>
      <c r="C133" s="291" t="s">
        <v>42</v>
      </c>
      <c r="D133" s="292"/>
      <c r="E133" s="293"/>
      <c r="F133" s="231">
        <f>+INDEX('Budget original'!$A$2:$AO$500,MATCH($A133,'Budget original'!$A$2:$A$500,0),MATCH(F$2,'Budget original'!$A$2:$AO$2,0))</f>
        <v>0</v>
      </c>
      <c r="G133" s="294"/>
      <c r="H133" s="293"/>
      <c r="I133" s="231">
        <f>+INDEX('Budget révisé'!$A$2:$AO$500,MATCH($A133,'Budget révisé'!$A$2:$A$500,0),MATCH(I$2,'Budget révisé'!$A$2:$AO$2,0))</f>
        <v>0</v>
      </c>
      <c r="J133" s="295"/>
      <c r="K133" s="293"/>
      <c r="L133" s="281">
        <f>SUMIFS(BV_Data_An_Cour!$O:$O,BV_Data_An_Cour!$U:$U,$B133,BV_Data_An_Cour!$V:$V,$C133,BV_Data_An_Cour!$W:$W,$L$2)</f>
        <v>0</v>
      </c>
      <c r="M133" s="295"/>
      <c r="N133" s="196">
        <f t="shared" si="79"/>
        <v>0</v>
      </c>
      <c r="O133" s="295"/>
      <c r="P133" s="293"/>
      <c r="Q133" s="281">
        <f>SUMIFS(BV_Data_An_Prec!$O:$O,BV_Data_An_Prec!$U:$U,$B133,BV_Data_An_Prec!$V:$V,$C133,BV_Data_An_Prec!$W:$W,$L$2)</f>
        <v>0</v>
      </c>
      <c r="R133" s="295"/>
      <c r="S133" s="297">
        <f t="shared" si="8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
        <v>3389</v>
      </c>
      <c r="B134" s="24" t="s">
        <v>144</v>
      </c>
      <c r="C134" s="298" t="s">
        <v>120</v>
      </c>
      <c r="D134" s="39" t="s">
        <v>111</v>
      </c>
      <c r="E134" s="40">
        <f>F134/F$107</f>
        <v>0.37807453853231643</v>
      </c>
      <c r="F134" s="41">
        <f>+SUM(F122:F133)</f>
        <v>34334.438924182883</v>
      </c>
      <c r="G134" s="42" t="s">
        <v>111</v>
      </c>
      <c r="H134" s="40">
        <f>I134/I$107</f>
        <v>0.37807453853231643</v>
      </c>
      <c r="I134" s="41">
        <f>+SUM(I122:I133)</f>
        <v>34334.438924182883</v>
      </c>
      <c r="J134" s="42" t="s">
        <v>111</v>
      </c>
      <c r="K134" s="40">
        <f>L134/L$107</f>
        <v>0.31549352391501723</v>
      </c>
      <c r="L134" s="41">
        <f>SUM(L122:L133)</f>
        <v>32429.98</v>
      </c>
      <c r="M134" s="43"/>
      <c r="N134" s="46">
        <f t="shared" ref="N134:N147" si="83">L134-I134</f>
        <v>-1904.4589241828835</v>
      </c>
      <c r="O134" s="42" t="s">
        <v>111</v>
      </c>
      <c r="P134" s="40">
        <f>Q134/Q$107</f>
        <v>0.64922694348028709</v>
      </c>
      <c r="Q134" s="41">
        <f>SUM(Q122:Q133)</f>
        <v>26055.360000000001</v>
      </c>
      <c r="R134" s="43"/>
      <c r="S134" s="299">
        <f t="shared" ref="S134:S147" si="84">L134-Q134</f>
        <v>6374.619999999999</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
        <v>3390</v>
      </c>
      <c r="B135" s="24" t="s">
        <v>144</v>
      </c>
      <c r="C135" s="264" t="s">
        <v>121</v>
      </c>
      <c r="D135" s="301"/>
      <c r="E135" s="178"/>
      <c r="F135" s="179">
        <f>+INDEX('Budget original'!$A$2:$AO$500,MATCH($A135,'Budget original'!$A$2:$A$500,0),MATCH(F$2,'Budget original'!$A$2:$AO$2,0))</f>
        <v>0</v>
      </c>
      <c r="G135" s="302"/>
      <c r="H135" s="178"/>
      <c r="I135" s="179">
        <f>+INDEX('Budget révisé'!$A$2:$AO$500,MATCH($A135,'Budget révisé'!$A$2:$A$500,0),MATCH(I$2,'Budget révisé'!$A$2:$AO$2,0))</f>
        <v>0</v>
      </c>
      <c r="J135" s="303"/>
      <c r="K135" s="178"/>
      <c r="L135" s="281">
        <f>SUMIFS(BV_Data_An_Cour!$O:$O,BV_Data_An_Cour!$U:$U,$B135,BV_Data_An_Cour!$V:$V,$C135,BV_Data_An_Cour!$W:$W,$L$2)</f>
        <v>0</v>
      </c>
      <c r="M135" s="303"/>
      <c r="N135" s="304">
        <f t="shared" si="83"/>
        <v>0</v>
      </c>
      <c r="O135" s="303"/>
      <c r="P135" s="178"/>
      <c r="Q135" s="281">
        <f>SUMIFS(BV_Data_An_Prec!$O:$O,BV_Data_An_Prec!$U:$U,$B135,BV_Data_An_Prec!$V:$V,$C135,BV_Data_An_Prec!$W:$W,$L$2)</f>
        <v>0</v>
      </c>
      <c r="R135" s="303"/>
      <c r="S135" s="199">
        <f t="shared" si="8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
        <v>3391</v>
      </c>
      <c r="B136" s="24" t="s">
        <v>144</v>
      </c>
      <c r="C136" s="264" t="s">
        <v>122</v>
      </c>
      <c r="D136" s="301"/>
      <c r="E136" s="178"/>
      <c r="F136" s="179">
        <f>+INDEX('Budget original'!$A$2:$AO$500,MATCH($A136,'Budget original'!$A$2:$A$500,0),MATCH(F$2,'Budget original'!$A$2:$AO$2,0))</f>
        <v>0</v>
      </c>
      <c r="G136" s="302"/>
      <c r="H136" s="178"/>
      <c r="I136" s="179">
        <f>+INDEX('Budget révisé'!$A$2:$AO$500,MATCH($A136,'Budget révisé'!$A$2:$A$500,0),MATCH(I$2,'Budget révisé'!$A$2:$AO$2,0))</f>
        <v>0</v>
      </c>
      <c r="J136" s="303"/>
      <c r="K136" s="178"/>
      <c r="L136" s="281">
        <f>SUMIFS(BV_Data_An_Cour!$O:$O,BV_Data_An_Cour!$U:$U,$B136,BV_Data_An_Cour!$V:$V,$C136,BV_Data_An_Cour!$W:$W,$L$2)</f>
        <v>0</v>
      </c>
      <c r="M136" s="303"/>
      <c r="N136" s="304">
        <f t="shared" si="83"/>
        <v>0</v>
      </c>
      <c r="O136" s="303"/>
      <c r="P136" s="178"/>
      <c r="Q136" s="180">
        <f>SUMIFS(BV_Data_An_Prec!$O:$O,BV_Data_An_Prec!$U:$U,$B136,BV_Data_An_Prec!$V:$V,$C136,BV_Data_An_Prec!$W:$W,$L$2)</f>
        <v>0</v>
      </c>
      <c r="R136" s="303"/>
      <c r="S136" s="199">
        <f t="shared" si="8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
        <v>3392</v>
      </c>
      <c r="B137" s="24" t="s">
        <v>144</v>
      </c>
      <c r="C137" s="326" t="s">
        <v>123</v>
      </c>
      <c r="D137" s="307"/>
      <c r="E137" s="308"/>
      <c r="F137" s="177">
        <f>+INDEX('Budget original'!$A$2:$AO$500,MATCH($A137,'Budget original'!$A$2:$A$500,0),MATCH(F$2,'Budget original'!$A$2:$AO$2,0))</f>
        <v>125.03999999999999</v>
      </c>
      <c r="G137" s="309"/>
      <c r="H137" s="308"/>
      <c r="I137" s="177">
        <f>+INDEX('Budget révisé'!$A$2:$AO$500,MATCH($A137,'Budget révisé'!$A$2:$A$500,0),MATCH(I$2,'Budget révisé'!$A$2:$AO$2,0))</f>
        <v>125.03999999999999</v>
      </c>
      <c r="J137" s="310"/>
      <c r="K137" s="308"/>
      <c r="L137" s="244">
        <f>SUMIFS(BV_Data_An_Cour!$O:$O,BV_Data_An_Cour!$U:$U,$B137,BV_Data_An_Cour!$V:$V,$C137,BV_Data_An_Cour!$W:$W,$L$2)</f>
        <v>132.36000000000001</v>
      </c>
      <c r="M137" s="310"/>
      <c r="N137" s="311">
        <f t="shared" si="83"/>
        <v>7.3200000000000216</v>
      </c>
      <c r="O137" s="310"/>
      <c r="P137" s="308"/>
      <c r="Q137" s="177">
        <f>SUMIFS(BV_Data_An_Prec!$O:$O,BV_Data_An_Prec!$U:$U,$B137,BV_Data_An_Prec!$V:$V,$C137,BV_Data_An_Prec!$W:$W,$L$2)</f>
        <v>-409.62</v>
      </c>
      <c r="R137" s="310"/>
      <c r="S137" s="202">
        <f t="shared" si="84"/>
        <v>541.98</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
        <v>3393</v>
      </c>
      <c r="B138" s="24" t="s">
        <v>144</v>
      </c>
      <c r="C138" s="264" t="s">
        <v>124</v>
      </c>
      <c r="D138" s="301"/>
      <c r="E138" s="178"/>
      <c r="F138" s="179">
        <f>+INDEX('Budget original'!$A$2:$AO$500,MATCH($A138,'Budget original'!$A$2:$A$500,0),MATCH(F$2,'Budget original'!$A$2:$AO$2,0))</f>
        <v>2428.3689099999997</v>
      </c>
      <c r="G138" s="302"/>
      <c r="H138" s="178"/>
      <c r="I138" s="179">
        <f>+INDEX('Budget révisé'!$A$2:$AO$500,MATCH($A138,'Budget révisé'!$A$2:$A$500,0),MATCH(I$2,'Budget révisé'!$A$2:$AO$2,0))</f>
        <v>2428.3689099999997</v>
      </c>
      <c r="J138" s="303"/>
      <c r="K138" s="178"/>
      <c r="L138" s="281">
        <f>SUMIFS(BV_Data_An_Cour!$O:$O,BV_Data_An_Cour!$U:$U,$B138,BV_Data_An_Cour!$V:$V,$C138,BV_Data_An_Cour!$W:$W,$L$2)</f>
        <v>2579.3000000000002</v>
      </c>
      <c r="M138" s="303"/>
      <c r="N138" s="304">
        <f t="shared" si="83"/>
        <v>150.93109000000049</v>
      </c>
      <c r="O138" s="303"/>
      <c r="P138" s="178"/>
      <c r="Q138" s="180">
        <f>SUMIFS(BV_Data_An_Prec!$O:$O,BV_Data_An_Prec!$U:$U,$B138,BV_Data_An_Prec!$V:$V,$C138,BV_Data_An_Prec!$W:$W,$L$2)</f>
        <v>2438.41</v>
      </c>
      <c r="R138" s="303"/>
      <c r="S138" s="199">
        <f t="shared" si="84"/>
        <v>140.89000000000033</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
        <v>3394</v>
      </c>
      <c r="B139" s="24" t="s">
        <v>144</v>
      </c>
      <c r="C139" s="264" t="s">
        <v>125</v>
      </c>
      <c r="D139" s="301"/>
      <c r="E139" s="178"/>
      <c r="F139" s="179">
        <f>+INDEX('Budget original'!$A$2:$AO$500,MATCH($A139,'Budget original'!$A$2:$A$500,0),MATCH(F$2,'Budget original'!$A$2:$AO$2,0))</f>
        <v>297.05317500000001</v>
      </c>
      <c r="G139" s="302"/>
      <c r="H139" s="178"/>
      <c r="I139" s="179">
        <f>+INDEX('Budget révisé'!$A$2:$AO$500,MATCH($A139,'Budget révisé'!$A$2:$A$500,0),MATCH(I$2,'Budget révisé'!$A$2:$AO$2,0))</f>
        <v>297.05317500000001</v>
      </c>
      <c r="J139" s="303"/>
      <c r="K139" s="178"/>
      <c r="L139" s="281">
        <f>SUMIFS(BV_Data_An_Cour!$O:$O,BV_Data_An_Cour!$U:$U,$B139,BV_Data_An_Cour!$V:$V,$C139,BV_Data_An_Cour!$W:$W,$L$2)</f>
        <v>110.15</v>
      </c>
      <c r="M139" s="303"/>
      <c r="N139" s="304">
        <f t="shared" si="83"/>
        <v>-186.903175</v>
      </c>
      <c r="O139" s="303"/>
      <c r="P139" s="178"/>
      <c r="Q139" s="180">
        <f>SUMIFS(BV_Data_An_Prec!$O:$O,BV_Data_An_Prec!$U:$U,$B139,BV_Data_An_Prec!$V:$V,$C139,BV_Data_An_Prec!$W:$W,$L$2)</f>
        <v>23.26</v>
      </c>
      <c r="R139" s="303"/>
      <c r="S139" s="199">
        <f t="shared" si="84"/>
        <v>86.89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
        <v>3395</v>
      </c>
      <c r="B140" s="24" t="s">
        <v>144</v>
      </c>
      <c r="C140" s="326" t="s">
        <v>126</v>
      </c>
      <c r="D140" s="307"/>
      <c r="E140" s="308"/>
      <c r="F140" s="177">
        <f>+INDEX('Budget original'!$A$2:$AO$500,MATCH($A140,'Budget original'!$A$2:$A$500,0),MATCH(F$2,'Budget original'!$A$2:$AO$2,0))</f>
        <v>1533.2706666666666</v>
      </c>
      <c r="G140" s="309"/>
      <c r="H140" s="308"/>
      <c r="I140" s="177">
        <f>+INDEX('Budget révisé'!$A$2:$AO$500,MATCH($A140,'Budget révisé'!$A$2:$A$500,0),MATCH(I$2,'Budget révisé'!$A$2:$AO$2,0))</f>
        <v>1533.2706666666666</v>
      </c>
      <c r="J140" s="310"/>
      <c r="K140" s="308"/>
      <c r="L140" s="244">
        <f>SUMIFS(BV_Data_An_Cour!$O:$O,BV_Data_An_Cour!$U:$U,$B140,BV_Data_An_Cour!$V:$V,$C140,BV_Data_An_Cour!$W:$W,$L$2)</f>
        <v>935.28</v>
      </c>
      <c r="M140" s="310"/>
      <c r="N140" s="311">
        <f t="shared" si="83"/>
        <v>-597.99066666666658</v>
      </c>
      <c r="O140" s="310"/>
      <c r="P140" s="308"/>
      <c r="Q140" s="177">
        <f>SUMIFS(BV_Data_An_Prec!$O:$O,BV_Data_An_Prec!$U:$U,$B140,BV_Data_An_Prec!$V:$V,$C140,BV_Data_An_Prec!$W:$W,$L$2)</f>
        <v>798.93</v>
      </c>
      <c r="R140" s="310"/>
      <c r="S140" s="202">
        <f t="shared" si="84"/>
        <v>136.35000000000002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
        <v>3396</v>
      </c>
      <c r="B141" s="24" t="s">
        <v>144</v>
      </c>
      <c r="C141" s="264" t="s">
        <v>127</v>
      </c>
      <c r="D141" s="301"/>
      <c r="E141" s="178"/>
      <c r="F141" s="179">
        <f>+INDEX('Budget original'!$A$2:$AO$500,MATCH($A141,'Budget original'!$A$2:$A$500,0),MATCH(F$2,'Budget original'!$A$2:$AO$2,0))</f>
        <v>50.536579190711528</v>
      </c>
      <c r="G141" s="302"/>
      <c r="H141" s="178"/>
      <c r="I141" s="179">
        <f>+INDEX('Budget révisé'!$A$2:$AO$500,MATCH($A141,'Budget révisé'!$A$2:$A$500,0),MATCH(I$2,'Budget révisé'!$A$2:$AO$2,0))</f>
        <v>50.536579190711528</v>
      </c>
      <c r="J141" s="303"/>
      <c r="K141" s="178"/>
      <c r="L141" s="281">
        <f>SUMIFS(BV_Data_An_Cour!$O:$O,BV_Data_An_Cour!$U:$U,$B141,BV_Data_An_Cour!$V:$V,$C141,BV_Data_An_Cour!$W:$W,$L$2)</f>
        <v>130.66</v>
      </c>
      <c r="M141" s="303"/>
      <c r="N141" s="304">
        <f t="shared" si="83"/>
        <v>80.123420809288461</v>
      </c>
      <c r="O141" s="303"/>
      <c r="P141" s="178"/>
      <c r="Q141" s="180">
        <f>SUMIFS(BV_Data_An_Prec!$O:$O,BV_Data_An_Prec!$U:$U,$B141,BV_Data_An_Prec!$V:$V,$C141,BV_Data_An_Prec!$W:$W,$L$2)</f>
        <v>0</v>
      </c>
      <c r="R141" s="303"/>
      <c r="S141" s="199">
        <f t="shared" si="84"/>
        <v>130.66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
        <v>3397</v>
      </c>
      <c r="B142" s="24" t="s">
        <v>144</v>
      </c>
      <c r="C142" s="264" t="s">
        <v>128</v>
      </c>
      <c r="D142" s="301"/>
      <c r="E142" s="178"/>
      <c r="F142" s="179">
        <f>+INDEX('Budget original'!$A$2:$AO$500,MATCH($A142,'Budget original'!$A$2:$A$500,0),MATCH(F$2,'Budget original'!$A$2:$AO$2,0))</f>
        <v>26.853809687373364</v>
      </c>
      <c r="G142" s="302"/>
      <c r="H142" s="178"/>
      <c r="I142" s="179">
        <f>+INDEX('Budget révisé'!$A$2:$AO$500,MATCH($A142,'Budget révisé'!$A$2:$A$500,0),MATCH(I$2,'Budget révisé'!$A$2:$AO$2,0))</f>
        <v>26.853809687373364</v>
      </c>
      <c r="J142" s="303"/>
      <c r="K142" s="178"/>
      <c r="L142" s="281">
        <f>SUMIFS(BV_Data_An_Cour!$O:$O,BV_Data_An_Cour!$U:$U,$B142,BV_Data_An_Cour!$V:$V,$C142,BV_Data_An_Cour!$W:$W,$L$2)</f>
        <v>0</v>
      </c>
      <c r="M142" s="303"/>
      <c r="N142" s="304">
        <f t="shared" si="83"/>
        <v>-26.853809687373364</v>
      </c>
      <c r="O142" s="303"/>
      <c r="P142" s="178"/>
      <c r="Q142" s="180">
        <f>SUMIFS(BV_Data_An_Prec!$O:$O,BV_Data_An_Prec!$U:$U,$B142,BV_Data_An_Prec!$V:$V,$C142,BV_Data_An_Prec!$W:$W,$L$2)</f>
        <v>0</v>
      </c>
      <c r="R142" s="303"/>
      <c r="S142" s="199">
        <f t="shared" si="84"/>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
        <v>3398</v>
      </c>
      <c r="B143" s="24" t="s">
        <v>144</v>
      </c>
      <c r="C143" s="264" t="s">
        <v>129</v>
      </c>
      <c r="D143" s="301"/>
      <c r="E143" s="178"/>
      <c r="F143" s="179">
        <f>+INDEX('Budget original'!$A$2:$AO$500,MATCH($A143,'Budget original'!$A$2:$A$500,0),MATCH(F$2,'Budget original'!$A$2:$AO$2,0))</f>
        <v>244.82411999999999</v>
      </c>
      <c r="G143" s="302"/>
      <c r="H143" s="178"/>
      <c r="I143" s="179">
        <f>+INDEX('Budget révisé'!$A$2:$AO$500,MATCH($A143,'Budget révisé'!$A$2:$A$500,0),MATCH(I$2,'Budget révisé'!$A$2:$AO$2,0))</f>
        <v>244.82411999999999</v>
      </c>
      <c r="J143" s="303"/>
      <c r="K143" s="178"/>
      <c r="L143" s="974">
        <f>SUMIFS(BV_Data_An_Cour!$O:$O,BV_Data_An_Cour!$U:$U,$B143,BV_Data_An_Cour!$V:$V,$C143,BV_Data_An_Cour!$W:$W,$L$2)</f>
        <v>317.22000000000003</v>
      </c>
      <c r="M143" s="303"/>
      <c r="N143" s="304">
        <f t="shared" si="83"/>
        <v>72.395880000000034</v>
      </c>
      <c r="O143" s="303"/>
      <c r="P143" s="178"/>
      <c r="Q143" s="554">
        <f>SUMIFS(BV_Data_An_Prec!$O:$O,BV_Data_An_Prec!$U:$U,$B143,BV_Data_An_Prec!$V:$V,$C143,BV_Data_An_Prec!$W:$W,$L$2)</f>
        <v>93.33</v>
      </c>
      <c r="R143" s="303"/>
      <c r="S143" s="199">
        <f t="shared" si="84"/>
        <v>223.89000000000004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
        <v>3399</v>
      </c>
      <c r="B144" s="24" t="s">
        <v>144</v>
      </c>
      <c r="C144" s="264" t="s">
        <v>130</v>
      </c>
      <c r="D144" s="301"/>
      <c r="E144" s="178"/>
      <c r="F144" s="179">
        <f>+INDEX('Budget original'!$A$2:$AO$500,MATCH($A144,'Budget original'!$A$2:$A$500,0),MATCH(F$2,'Budget original'!$A$2:$AO$2,0))</f>
        <v>113.04919750000001</v>
      </c>
      <c r="G144" s="302"/>
      <c r="H144" s="178"/>
      <c r="I144" s="179">
        <f>+INDEX('Budget révisé'!$A$2:$AO$500,MATCH($A144,'Budget révisé'!$A$2:$A$500,0),MATCH(I$2,'Budget révisé'!$A$2:$AO$2,0))</f>
        <v>113.04919750000001</v>
      </c>
      <c r="J144" s="303"/>
      <c r="K144" s="178"/>
      <c r="L144" s="281">
        <f>SUMIFS(BV_Data_An_Cour!$O:$O,BV_Data_An_Cour!$U:$U,$B144,BV_Data_An_Cour!$V:$V,$C144,BV_Data_An_Cour!$W:$W,$L$2)</f>
        <v>39.049999999999997</v>
      </c>
      <c r="M144" s="303"/>
      <c r="N144" s="304">
        <f t="shared" si="83"/>
        <v>-73.999197500000008</v>
      </c>
      <c r="O144" s="303"/>
      <c r="P144" s="178"/>
      <c r="Q144" s="180">
        <f>SUMIFS(BV_Data_An_Prec!$O:$O,BV_Data_An_Prec!$U:$U,$B144,BV_Data_An_Prec!$V:$V,$C144,BV_Data_An_Prec!$W:$W,$L$2)</f>
        <v>123.27</v>
      </c>
      <c r="R144" s="303"/>
      <c r="S144" s="199">
        <f t="shared" si="84"/>
        <v>-84.22</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
        <v>3400</v>
      </c>
      <c r="B145" s="24" t="s">
        <v>144</v>
      </c>
      <c r="C145" s="264" t="s">
        <v>131</v>
      </c>
      <c r="D145" s="301"/>
      <c r="E145" s="178"/>
      <c r="F145" s="179">
        <f>+INDEX('Budget original'!$A$2:$AO$500,MATCH($A145,'Budget original'!$A$2:$A$500,0),MATCH(F$2,'Budget original'!$A$2:$AO$2,0))</f>
        <v>60.343902499999984</v>
      </c>
      <c r="G145" s="302"/>
      <c r="H145" s="178"/>
      <c r="I145" s="179">
        <f>+INDEX('Budget révisé'!$A$2:$AO$500,MATCH($A145,'Budget révisé'!$A$2:$A$500,0),MATCH(I$2,'Budget révisé'!$A$2:$AO$2,0))</f>
        <v>60.343902499999984</v>
      </c>
      <c r="J145" s="303"/>
      <c r="K145" s="178"/>
      <c r="L145" s="281">
        <f>SUMIFS(BV_Data_An_Cour!$O:$O,BV_Data_An_Cour!$U:$U,$B145,BV_Data_An_Cour!$V:$V,$C145,BV_Data_An_Cour!$W:$W,$L$2)</f>
        <v>18.21</v>
      </c>
      <c r="M145" s="303"/>
      <c r="N145" s="304">
        <f t="shared" si="83"/>
        <v>-42.133902499999984</v>
      </c>
      <c r="O145" s="303"/>
      <c r="P145" s="178"/>
      <c r="Q145" s="180">
        <f>SUMIFS(BV_Data_An_Prec!$O:$O,BV_Data_An_Prec!$U:$U,$B145,BV_Data_An_Prec!$V:$V,$C145,BV_Data_An_Prec!$W:$W,$L$2)</f>
        <v>38.65</v>
      </c>
      <c r="R145" s="303"/>
      <c r="S145" s="199">
        <f t="shared" si="84"/>
        <v>-20.439999999999998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
        <v>3401</v>
      </c>
      <c r="B146" s="24" t="s">
        <v>144</v>
      </c>
      <c r="C146" s="264" t="s">
        <v>132</v>
      </c>
      <c r="D146" s="301"/>
      <c r="E146" s="178"/>
      <c r="F146" s="179">
        <f>+INDEX('Budget original'!$A$2:$AO$500,MATCH($A146,'Budget original'!$A$2:$A$500,0),MATCH(F$2,'Budget original'!$A$2:$AO$2,0))</f>
        <v>291.0875974999999</v>
      </c>
      <c r="G146" s="302"/>
      <c r="H146" s="178"/>
      <c r="I146" s="179">
        <f>+INDEX('Budget révisé'!$A$2:$AO$500,MATCH($A146,'Budget révisé'!$A$2:$A$500,0),MATCH(I$2,'Budget révisé'!$A$2:$AO$2,0))</f>
        <v>291.0875974999999</v>
      </c>
      <c r="J146" s="303"/>
      <c r="K146" s="178"/>
      <c r="L146" s="281">
        <f>SUMIFS(BV_Data_An_Cour!$O:$O,BV_Data_An_Cour!$U:$U,$B146,BV_Data_An_Cour!$V:$V,$C146,BV_Data_An_Cour!$W:$W,$L$2)</f>
        <v>124.27</v>
      </c>
      <c r="M146" s="303"/>
      <c r="N146" s="304">
        <f t="shared" si="83"/>
        <v>-166.81759749999992</v>
      </c>
      <c r="O146" s="303"/>
      <c r="P146" s="178"/>
      <c r="Q146" s="180">
        <f>SUMIFS(BV_Data_An_Prec!$O:$O,BV_Data_An_Prec!$U:$U,$B146,BV_Data_An_Prec!$V:$V,$C146,BV_Data_An_Prec!$W:$W,$L$2)</f>
        <v>94.62</v>
      </c>
      <c r="R146" s="303"/>
      <c r="S146" s="199">
        <f t="shared" si="84"/>
        <v>29.649999999999991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
        <v>3402</v>
      </c>
      <c r="B147" s="24" t="s">
        <v>144</v>
      </c>
      <c r="C147" s="264" t="s">
        <v>133</v>
      </c>
      <c r="D147" s="301"/>
      <c r="E147" s="178"/>
      <c r="F147" s="179">
        <f>+INDEX('Budget original'!$A$2:$AO$500,MATCH($A147,'Budget original'!$A$2:$A$500,0),MATCH(F$2,'Budget original'!$A$2:$AO$2,0))</f>
        <v>432.47109999999998</v>
      </c>
      <c r="G147" s="302"/>
      <c r="H147" s="178"/>
      <c r="I147" s="179">
        <f>+INDEX('Budget révisé'!$A$2:$AO$500,MATCH($A147,'Budget révisé'!$A$2:$A$500,0),MATCH(I$2,'Budget révisé'!$A$2:$AO$2,0))</f>
        <v>432.47109999999998</v>
      </c>
      <c r="J147" s="303"/>
      <c r="K147" s="178"/>
      <c r="L147" s="281">
        <f>SUMIFS(BV_Data_An_Cour!$O:$O,BV_Data_An_Cour!$U:$U,$B147,BV_Data_An_Cour!$V:$V,$C147,BV_Data_An_Cour!$W:$W,$L$2)</f>
        <v>38.28</v>
      </c>
      <c r="M147" s="303"/>
      <c r="N147" s="304">
        <f t="shared" si="83"/>
        <v>-394.19110000000001</v>
      </c>
      <c r="O147" s="303"/>
      <c r="P147" s="178"/>
      <c r="Q147" s="180">
        <f>SUMIFS(BV_Data_An_Prec!$O:$O,BV_Data_An_Prec!$U:$U,$B147,BV_Data_An_Prec!$V:$V,$C147,BV_Data_An_Prec!$W:$W,$L$2)</f>
        <v>10.62</v>
      </c>
      <c r="R147" s="303"/>
      <c r="S147" s="199">
        <f t="shared" si="84"/>
        <v>27.660000000000004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
        <v>3403</v>
      </c>
      <c r="B148" s="24" t="s">
        <v>144</v>
      </c>
      <c r="C148" s="264" t="s">
        <v>134</v>
      </c>
      <c r="D148" s="301"/>
      <c r="E148" s="178"/>
      <c r="F148" s="179">
        <f>+INDEX('Budget original'!$A$2:$AO$500,MATCH($A148,'Budget original'!$A$2:$A$500,0),MATCH(F$2,'Budget original'!$A$2:$AO$2,0))</f>
        <v>631.21397587732326</v>
      </c>
      <c r="G148" s="302"/>
      <c r="H148" s="178"/>
      <c r="I148" s="179">
        <f>+INDEX('Budget révisé'!$A$2:$AO$500,MATCH($A148,'Budget révisé'!$A$2:$A$500,0),MATCH(I$2,'Budget révisé'!$A$2:$AO$2,0))</f>
        <v>631.21397587732326</v>
      </c>
      <c r="J148" s="303"/>
      <c r="K148" s="178"/>
      <c r="L148" s="281">
        <f>AF447*W4</f>
        <v>498.1</v>
      </c>
      <c r="M148" s="303"/>
      <c r="N148" s="304">
        <f t="shared" ref="N148:N151" si="85">L148-I148</f>
        <v>-133.11397587732324</v>
      </c>
      <c r="O148" s="303"/>
      <c r="P148" s="178"/>
      <c r="Q148" s="281">
        <f>AL447*W4</f>
        <v>428.12200000000007</v>
      </c>
      <c r="R148" s="303"/>
      <c r="S148" s="199">
        <f t="shared" ref="S148:S151" si="86">L148-Q148</f>
        <v>69.977999999999952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
        <v>3379</v>
      </c>
      <c r="B149" s="24" t="s">
        <v>144</v>
      </c>
      <c r="C149" s="264" t="s">
        <v>42</v>
      </c>
      <c r="D149" s="301"/>
      <c r="E149" s="178"/>
      <c r="F149" s="179">
        <f>+INDEX('Budget original'!$A$2:$AO$500,MATCH($A149,'Budget original'!$A$2:$A$500,0),MATCH(F$2,'Budget original'!$A$2:$AO$2,0))</f>
        <v>0</v>
      </c>
      <c r="G149" s="302"/>
      <c r="H149" s="178"/>
      <c r="I149" s="179">
        <f>+INDEX('Budget révisé'!$A$2:$AO$500,MATCH($A149,'Budget révisé'!$A$2:$A$500,0),MATCH(I$2,'Budget révisé'!$A$2:$AO$2,0))</f>
        <v>0</v>
      </c>
      <c r="J149" s="303"/>
      <c r="K149" s="178"/>
      <c r="L149" s="180">
        <f>SUMIFS(BV_Data_An_Cour!$O:$O,BV_Data_An_Cour!$U:$U,$B149,BV_Data_An_Cour!$V:$V,$C149,BV_Data_An_Cour!$W:$W,$L$2)</f>
        <v>0</v>
      </c>
      <c r="M149" s="303"/>
      <c r="N149" s="304">
        <f t="shared" si="85"/>
        <v>0</v>
      </c>
      <c r="O149" s="303"/>
      <c r="P149" s="178"/>
      <c r="Q149" s="180">
        <f>SUMIFS(BV_Data_An_Prec!$O:$O,BV_Data_An_Prec!$U:$U,$B149,BV_Data_An_Prec!$V:$V,$C149,BV_Data_An_Prec!$W:$W,$L$2)</f>
        <v>0</v>
      </c>
      <c r="R149" s="303"/>
      <c r="S149" s="199">
        <f t="shared" si="8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
        <v>3379</v>
      </c>
      <c r="B150" s="24" t="s">
        <v>144</v>
      </c>
      <c r="C150" s="264" t="s">
        <v>42</v>
      </c>
      <c r="D150" s="301"/>
      <c r="E150" s="178"/>
      <c r="F150" s="179">
        <f>+INDEX('Budget original'!$A$2:$AO$500,MATCH($A150,'Budget original'!$A$2:$A$500,0),MATCH(F$2,'Budget original'!$A$2:$AO$2,0))</f>
        <v>0</v>
      </c>
      <c r="G150" s="302"/>
      <c r="H150" s="178"/>
      <c r="I150" s="179">
        <f>+INDEX('Budget révisé'!$A$2:$AO$500,MATCH($A150,'Budget révisé'!$A$2:$A$500,0),MATCH(I$2,'Budget révisé'!$A$2:$AO$2,0))</f>
        <v>0</v>
      </c>
      <c r="J150" s="303"/>
      <c r="K150" s="178"/>
      <c r="L150" s="180">
        <f>SUMIFS(BV_Data_An_Cour!$O:$O,BV_Data_An_Cour!$U:$U,$B150,BV_Data_An_Cour!$V:$V,$C150,BV_Data_An_Cour!$W:$W,$L$2)</f>
        <v>0</v>
      </c>
      <c r="M150" s="303"/>
      <c r="N150" s="304">
        <f t="shared" si="85"/>
        <v>0</v>
      </c>
      <c r="O150" s="303"/>
      <c r="P150" s="178"/>
      <c r="Q150" s="180">
        <f>SUMIFS(BV_Data_An_Prec!$O:$O,BV_Data_An_Prec!$U:$U,$B150,BV_Data_An_Prec!$V:$V,$C150,BV_Data_An_Prec!$W:$W,$L$2)</f>
        <v>0</v>
      </c>
      <c r="R150" s="303"/>
      <c r="S150" s="199">
        <f t="shared" si="8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
        <v>3379</v>
      </c>
      <c r="B151" s="24" t="s">
        <v>144</v>
      </c>
      <c r="C151" s="264" t="s">
        <v>42</v>
      </c>
      <c r="D151" s="301"/>
      <c r="E151" s="178"/>
      <c r="F151" s="179">
        <f>+INDEX('Budget original'!$A$2:$AO$500,MATCH($A151,'Budget original'!$A$2:$A$500,0),MATCH(F$2,'Budget original'!$A$2:$AO$2,0))</f>
        <v>0</v>
      </c>
      <c r="G151" s="302"/>
      <c r="H151" s="178"/>
      <c r="I151" s="179">
        <f>+INDEX('Budget révisé'!$A$2:$AO$500,MATCH($A151,'Budget révisé'!$A$2:$A$500,0),MATCH(I$2,'Budget révisé'!$A$2:$AO$2,0))</f>
        <v>0</v>
      </c>
      <c r="J151" s="303"/>
      <c r="K151" s="178"/>
      <c r="L151" s="180">
        <f>SUMIFS(BV_Data_An_Cour!$O:$O,BV_Data_An_Cour!$U:$U,$B151,BV_Data_An_Cour!$V:$V,$C151,BV_Data_An_Cour!$W:$W,$L$2)</f>
        <v>0</v>
      </c>
      <c r="M151" s="303"/>
      <c r="N151" s="304">
        <f t="shared" si="85"/>
        <v>0</v>
      </c>
      <c r="O151" s="303"/>
      <c r="P151" s="178"/>
      <c r="Q151" s="180">
        <f>SUMIFS(BV_Data_An_Prec!$O:$O,BV_Data_An_Prec!$U:$U,$B151,BV_Data_An_Prec!$V:$V,$C151,BV_Data_An_Prec!$W:$W,$L$2)</f>
        <v>0</v>
      </c>
      <c r="R151" s="303"/>
      <c r="S151" s="199">
        <f t="shared" si="8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
        <v>3404</v>
      </c>
      <c r="B152" s="24" t="s">
        <v>144</v>
      </c>
      <c r="C152" s="298" t="s">
        <v>135</v>
      </c>
      <c r="D152" s="39" t="s">
        <v>111</v>
      </c>
      <c r="E152" s="40">
        <f>F152/F$107</f>
        <v>6.864709260760056E-2</v>
      </c>
      <c r="F152" s="41">
        <f>+SUM(F135:F151)</f>
        <v>6234.1130339220745</v>
      </c>
      <c r="G152" s="42" t="s">
        <v>111</v>
      </c>
      <c r="H152" s="40">
        <f>I152/I$107</f>
        <v>6.864709260760056E-2</v>
      </c>
      <c r="I152" s="41">
        <f>+SUM(I135:I151)</f>
        <v>6234.1130339220745</v>
      </c>
      <c r="J152" s="42" t="s">
        <v>111</v>
      </c>
      <c r="K152" s="40">
        <f>L152/L$107</f>
        <v>4.7892004836597508E-2</v>
      </c>
      <c r="L152" s="41">
        <f>+SUM(L135:L151)</f>
        <v>4922.880000000001</v>
      </c>
      <c r="M152" s="44"/>
      <c r="N152" s="41">
        <f t="shared" ref="N152" si="87">L152-I152</f>
        <v>-1311.2330339220734</v>
      </c>
      <c r="O152" s="42" t="s">
        <v>111</v>
      </c>
      <c r="P152" s="40">
        <f>Q152/Q$107</f>
        <v>9.0688487500280357E-2</v>
      </c>
      <c r="Q152" s="41">
        <f>+SUM(Q135:Q151)</f>
        <v>3639.5919999999996</v>
      </c>
      <c r="R152" s="44"/>
      <c r="S152" s="316">
        <f t="shared" ref="S152" si="88">L152-Q152</f>
        <v>1283.2880000000014</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
        <v>144</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
        <v>3405</v>
      </c>
      <c r="B154" s="24" t="s">
        <v>144</v>
      </c>
      <c r="C154" s="298" t="s">
        <v>136</v>
      </c>
      <c r="D154" s="39" t="s">
        <v>111</v>
      </c>
      <c r="E154" s="40">
        <f>F154/F$107</f>
        <v>0.86425993052821415</v>
      </c>
      <c r="F154" s="41">
        <f>F121+F134+F152</f>
        <v>78486.850541518535</v>
      </c>
      <c r="G154" s="42" t="s">
        <v>111</v>
      </c>
      <c r="H154" s="40">
        <f>I154/I$107</f>
        <v>0.86425993052821415</v>
      </c>
      <c r="I154" s="41">
        <f>I121+I134+I152</f>
        <v>78486.850541518535</v>
      </c>
      <c r="J154" s="42" t="s">
        <v>111</v>
      </c>
      <c r="K154" s="40">
        <f>L154/L$107</f>
        <v>0.72717498285603432</v>
      </c>
      <c r="L154" s="41">
        <f>L121+L134+L152</f>
        <v>74747.240000000005</v>
      </c>
      <c r="M154" s="44"/>
      <c r="N154" s="46">
        <f>L154-I154</f>
        <v>-3739.6105415185302</v>
      </c>
      <c r="O154" s="42" t="s">
        <v>111</v>
      </c>
      <c r="P154" s="40">
        <f>Q154/Q$107</f>
        <v>1.3133472039149932</v>
      </c>
      <c r="Q154" s="41">
        <f>Q121+Q134+Q152</f>
        <v>52708.432000000001</v>
      </c>
      <c r="R154" s="44"/>
      <c r="S154" s="299">
        <f>L154-Q154</f>
        <v>22038.808000000005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
        <v>3406</v>
      </c>
      <c r="B155" s="623" t="s">
        <v>144</v>
      </c>
      <c r="C155" s="264" t="s">
        <v>152</v>
      </c>
      <c r="D155" s="414"/>
      <c r="E155" s="415"/>
      <c r="F155" s="179">
        <f>+INDEX('Budget original'!$A$2:$AO$500,MATCH($A155,'Budget original'!$A$2:$A$500,0),MATCH(F$2,'Budget original'!$A$2:$AO$2,0))</f>
        <v>0</v>
      </c>
      <c r="G155" s="416"/>
      <c r="H155" s="415"/>
      <c r="I155" s="179">
        <f>+INDEX('Budget révisé'!$A$2:$AO$500,MATCH($A155,'Budget révisé'!$A$2:$A$500,0),MATCH(I$2,'Budget révisé'!$A$2:$AO$2,0))</f>
        <v>0</v>
      </c>
      <c r="J155" s="416"/>
      <c r="K155" s="975"/>
      <c r="L155" s="974">
        <v>0</v>
      </c>
      <c r="M155" s="303"/>
      <c r="N155" s="304">
        <f t="shared" ref="N155:N157" si="89">L155-I155</f>
        <v>0</v>
      </c>
      <c r="O155" s="416"/>
      <c r="P155" s="415"/>
      <c r="Q155" s="180">
        <f>-SUMIFS(BV_Data_An_Prec!$O:$O,BV_Data_An_Prec!$U:$U,$B155,BV_Data_An_Prec!$V:$V,$C155,BV_Data_An_Prec!$W:$W,$L$2)</f>
        <v>0</v>
      </c>
      <c r="R155" s="303"/>
      <c r="S155" s="199">
        <f t="shared" ref="S155:S157" si="90">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
        <v>3407</v>
      </c>
      <c r="B156" s="24" t="s">
        <v>144</v>
      </c>
      <c r="C156" s="264" t="s">
        <v>153</v>
      </c>
      <c r="D156" s="414"/>
      <c r="E156" s="415"/>
      <c r="F156" s="179">
        <f>+INDEX('Budget original'!$A$2:$AO$500,MATCH($A156,'Budget original'!$A$2:$A$500,0),MATCH(F$2,'Budget original'!$A$2:$AO$2,0))</f>
        <v>0</v>
      </c>
      <c r="G156" s="416"/>
      <c r="H156" s="415"/>
      <c r="I156" s="179">
        <f>+INDEX('Budget révisé'!$A$2:$AO$500,MATCH($A156,'Budget révisé'!$A$2:$A$500,0),MATCH(I$2,'Budget révisé'!$A$2:$AO$2,0))</f>
        <v>0</v>
      </c>
      <c r="J156" s="416"/>
      <c r="K156" s="975"/>
      <c r="L156" s="281">
        <f>-SUMIFS(BV_Data_An_Cour!$O:$O,BV_Data_An_Cour!$U:$U,$B156,BV_Data_An_Cour!$V:$V,$C156,BV_Data_An_Cour!$W:$W,$L$2)</f>
        <v>0</v>
      </c>
      <c r="M156" s="303"/>
      <c r="N156" s="304">
        <f t="shared" si="89"/>
        <v>0</v>
      </c>
      <c r="O156" s="416"/>
      <c r="P156" s="415"/>
      <c r="Q156" s="180">
        <f>-SUMIFS(BV_Data_An_Prec!$O:$O,BV_Data_An_Prec!$U:$U,$B156,BV_Data_An_Prec!$V:$V,$C156,BV_Data_An_Prec!$W:$W,$L$2)</f>
        <v>0</v>
      </c>
      <c r="R156" s="303"/>
      <c r="S156" s="199">
        <f t="shared" si="90"/>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
        <v>3408</v>
      </c>
      <c r="B157" s="24" t="s">
        <v>144</v>
      </c>
      <c r="C157" s="264" t="s">
        <v>154</v>
      </c>
      <c r="D157" s="301"/>
      <c r="E157" s="178"/>
      <c r="F157" s="179">
        <f>+INDEX('Budget original'!$A$2:$AO$500,MATCH($A157,'Budget original'!$A$2:$A$500,0),MATCH(F$2,'Budget original'!$A$2:$AO$2,0))</f>
        <v>0</v>
      </c>
      <c r="G157" s="302"/>
      <c r="H157" s="178"/>
      <c r="I157" s="179">
        <f>+INDEX('Budget révisé'!$A$2:$AO$500,MATCH($A157,'Budget révisé'!$A$2:$A$500,0),MATCH(I$2,'Budget révisé'!$A$2:$AO$2,0))</f>
        <v>0</v>
      </c>
      <c r="J157" s="303"/>
      <c r="K157" s="233"/>
      <c r="L157" s="281">
        <f>-SUMIFS(BV_Data_An_Cour!$O:$O,BV_Data_An_Cour!$U:$U,$B157,BV_Data_An_Cour!$V:$V,$C157,BV_Data_An_Cour!$W:$W,$L$2)</f>
        <v>0</v>
      </c>
      <c r="M157" s="303"/>
      <c r="N157" s="304">
        <f t="shared" si="89"/>
        <v>0</v>
      </c>
      <c r="O157" s="303"/>
      <c r="P157" s="178"/>
      <c r="Q157" s="180">
        <f>-SUMIFS(BV_Data_An_Prec!$O:$O,BV_Data_An_Prec!$U:$U,$B157,BV_Data_An_Prec!$V:$V,$C157,BV_Data_An_Prec!$W:$W,$L$2)</f>
        <v>0</v>
      </c>
      <c r="R157" s="303"/>
      <c r="S157" s="199">
        <f t="shared" si="90"/>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
        <v>3409</v>
      </c>
      <c r="B158" s="24" t="s">
        <v>144</v>
      </c>
      <c r="C158" s="264" t="s">
        <v>141</v>
      </c>
      <c r="D158" s="301"/>
      <c r="E158" s="178"/>
      <c r="F158" s="179">
        <f>+INDEX('Budget original'!$A$2:$AO$500,MATCH($A158,'Budget original'!$A$2:$A$500,0),MATCH(F$2,'Budget original'!$A$2:$AO$2,0))</f>
        <v>9831.6699029126212</v>
      </c>
      <c r="G158" s="302"/>
      <c r="H158" s="178"/>
      <c r="I158" s="179">
        <f>+INDEX('Budget révisé'!$A$2:$AO$500,MATCH($A158,'Budget révisé'!$A$2:$A$500,0),MATCH(I$2,'Budget révisé'!$A$2:$AO$2,0))</f>
        <v>9831.6699029126212</v>
      </c>
      <c r="J158" s="348">
        <f>L158/399</f>
        <v>15.744360902255639</v>
      </c>
      <c r="K158" s="624">
        <f>J158/J96</f>
        <v>0.87468671679197996</v>
      </c>
      <c r="L158" s="974">
        <f>349*J96</f>
        <v>6282</v>
      </c>
      <c r="M158" s="303"/>
      <c r="N158" s="304">
        <f t="shared" ref="N158" si="91">L158-I158</f>
        <v>-3549.6699029126212</v>
      </c>
      <c r="O158" s="303"/>
      <c r="P158" s="178"/>
      <c r="Q158" s="180">
        <f>349*O96</f>
        <v>5235</v>
      </c>
      <c r="R158" s="303"/>
      <c r="S158" s="199">
        <f t="shared" ref="S158" si="92">L158-Q158</f>
        <v>1047</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
        <v>3379</v>
      </c>
      <c r="B159" s="24" t="s">
        <v>144</v>
      </c>
      <c r="C159" s="264" t="s">
        <v>42</v>
      </c>
      <c r="D159" s="301"/>
      <c r="E159" s="178"/>
      <c r="F159" s="179">
        <f>+INDEX('Budget original'!$A$2:$AO$500,MATCH($A159,'Budget original'!$A$2:$A$500,0),MATCH(F$2,'Budget original'!$A$2:$AO$2,0))</f>
        <v>0</v>
      </c>
      <c r="G159" s="302"/>
      <c r="H159" s="178"/>
      <c r="I159" s="179">
        <f>+INDEX('Budget révisé'!$A$2:$AO$500,MATCH($A159,'Budget révisé'!$A$2:$A$500,0),MATCH(I$2,'Budget révisé'!$A$2:$AO$2,0))</f>
        <v>0</v>
      </c>
      <c r="J159" s="303"/>
      <c r="K159" s="233"/>
      <c r="L159" s="974">
        <f>-SUMIFS(BV_Data_An_Cour!$O:$O,BV_Data_An_Cour!$U:$U,$B159,BV_Data_An_Cour!$V:$V,$C159,BV_Data_An_Cour!$W:$W,$L$2)</f>
        <v>0</v>
      </c>
      <c r="M159" s="303"/>
      <c r="N159" s="304">
        <f t="shared" ref="N159:N161" si="93">L159-I159</f>
        <v>0</v>
      </c>
      <c r="O159" s="303"/>
      <c r="P159" s="178"/>
      <c r="Q159" s="180">
        <f>-SUMIFS(BV_Data_An_Prec!$O:$O,BV_Data_An_Prec!$U:$U,$B159,BV_Data_An_Prec!$V:$V,$C159,BV_Data_An_Prec!$W:$W,$L$2)</f>
        <v>0</v>
      </c>
      <c r="R159" s="303"/>
      <c r="S159" s="199">
        <f t="shared" ref="S159:S161" si="94">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
        <v>3379</v>
      </c>
      <c r="B160" s="24" t="s">
        <v>144</v>
      </c>
      <c r="C160" s="264" t="s">
        <v>42</v>
      </c>
      <c r="D160" s="301"/>
      <c r="E160" s="178"/>
      <c r="F160" s="179">
        <f>+INDEX('Budget original'!$A$2:$AO$500,MATCH($A160,'Budget original'!$A$2:$A$500,0),MATCH(F$2,'Budget original'!$A$2:$AO$2,0))</f>
        <v>0</v>
      </c>
      <c r="G160" s="302"/>
      <c r="H160" s="178"/>
      <c r="I160" s="179">
        <f>+INDEX('Budget révisé'!$A$2:$AO$500,MATCH($A160,'Budget révisé'!$A$2:$A$500,0),MATCH(I$2,'Budget révisé'!$A$2:$AO$2,0))</f>
        <v>0</v>
      </c>
      <c r="J160" s="303"/>
      <c r="K160" s="178"/>
      <c r="L160" s="554">
        <f>-SUMIFS(BV_Data_An_Cour!$O:$O,BV_Data_An_Cour!$U:$U,$B160,BV_Data_An_Cour!$V:$V,$C160,BV_Data_An_Cour!$W:$W,$L$2)</f>
        <v>0</v>
      </c>
      <c r="M160" s="303"/>
      <c r="N160" s="304">
        <f t="shared" si="93"/>
        <v>0</v>
      </c>
      <c r="O160" s="303"/>
      <c r="P160" s="178"/>
      <c r="Q160" s="180">
        <f>-SUMIFS(BV_Data_An_Prec!$O:$O,BV_Data_An_Prec!$U:$U,$B160,BV_Data_An_Prec!$V:$V,$C160,BV_Data_An_Prec!$W:$W,$L$2)</f>
        <v>0</v>
      </c>
      <c r="R160" s="303"/>
      <c r="S160" s="199">
        <f t="shared" si="94"/>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
        <v>3379</v>
      </c>
      <c r="B161" s="24" t="s">
        <v>144</v>
      </c>
      <c r="C161" s="326" t="s">
        <v>42</v>
      </c>
      <c r="D161" s="307"/>
      <c r="E161" s="308"/>
      <c r="F161" s="179">
        <f>+INDEX('Budget original'!$A$2:$AO$500,MATCH($A161,'Budget original'!$A$2:$A$500,0),MATCH(F$2,'Budget original'!$A$2:$AO$2,0))</f>
        <v>0</v>
      </c>
      <c r="G161" s="302"/>
      <c r="H161" s="178"/>
      <c r="I161" s="179">
        <f>+INDEX('Budget révisé'!$A$2:$AO$500,MATCH($A161,'Budget révisé'!$A$2:$A$500,0),MATCH(I$2,'Budget révisé'!$A$2:$AO$2,0))</f>
        <v>0</v>
      </c>
      <c r="J161" s="303"/>
      <c r="K161" s="178"/>
      <c r="L161" s="554">
        <f>-SUMIFS(BV_Data_An_Cour!$O:$O,BV_Data_An_Cour!$U:$U,$B161,BV_Data_An_Cour!$V:$V,$C161,BV_Data_An_Cour!$W:$W,$L$2)</f>
        <v>0</v>
      </c>
      <c r="M161" s="303"/>
      <c r="N161" s="304">
        <f t="shared" si="93"/>
        <v>0</v>
      </c>
      <c r="O161" s="303"/>
      <c r="P161" s="178"/>
      <c r="Q161" s="180">
        <f>-SUMIFS(BV_Data_An_Prec!$O:$O,BV_Data_An_Prec!$U:$U,$B161,BV_Data_An_Prec!$V:$V,$C161,BV_Data_An_Prec!$W:$W,$L$2)</f>
        <v>0</v>
      </c>
      <c r="R161" s="303"/>
      <c r="S161" s="199">
        <f t="shared" si="94"/>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9831.6699029126212</v>
      </c>
      <c r="G162" s="42"/>
      <c r="H162" s="40"/>
      <c r="I162" s="41">
        <f>+SUM(I155:I161)</f>
        <v>9831.6699029126212</v>
      </c>
      <c r="J162" s="42"/>
      <c r="K162" s="40"/>
      <c r="L162" s="41">
        <f>+SUM(L155:L161)</f>
        <v>6282</v>
      </c>
      <c r="M162" s="44"/>
      <c r="N162" s="41">
        <f>SUM(N157:N157)</f>
        <v>0</v>
      </c>
      <c r="O162" s="42"/>
      <c r="P162" s="40"/>
      <c r="Q162" s="41">
        <f>+SUM(Q155:Q161)</f>
        <v>5235</v>
      </c>
      <c r="R162" s="44"/>
      <c r="S162" s="316">
        <f>+SUM(S155:S161)</f>
        <v>1047</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22158.760594964089</v>
      </c>
      <c r="G164" s="344"/>
      <c r="H164" s="342"/>
      <c r="I164" s="343">
        <f>I107-I154+I162</f>
        <v>22158.760594964089</v>
      </c>
      <c r="J164" s="345"/>
      <c r="K164" s="346"/>
      <c r="L164" s="343">
        <f>L107-L154+L162</f>
        <v>34326.030000000013</v>
      </c>
      <c r="M164" s="345"/>
      <c r="N164" s="343">
        <f>L164-I164</f>
        <v>12167.269405035924</v>
      </c>
      <c r="O164" s="345"/>
      <c r="P164" s="346"/>
      <c r="Q164" s="343">
        <f>Q107-Q154+Q162</f>
        <v>-7340.5320000000211</v>
      </c>
      <c r="R164" s="345"/>
      <c r="S164" s="347">
        <f>L164-Q164</f>
        <v>41666.562000000034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Janvier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87" t="s">
        <v>77</v>
      </c>
      <c r="E169" s="1288"/>
      <c r="F169" s="1289"/>
      <c r="G169" s="1290" t="s">
        <v>145</v>
      </c>
      <c r="H169" s="1288"/>
      <c r="I169" s="1289"/>
      <c r="J169" s="1290" t="s">
        <v>79</v>
      </c>
      <c r="K169" s="1288"/>
      <c r="L169" s="1289"/>
      <c r="M169" s="1290" t="s">
        <v>80</v>
      </c>
      <c r="N169" s="1289"/>
      <c r="O169" s="1287" t="s">
        <v>81</v>
      </c>
      <c r="P169" s="1288"/>
      <c r="Q169" s="1289"/>
      <c r="R169" s="1290" t="s">
        <v>82</v>
      </c>
      <c r="S169" s="129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
        <v>155</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
        <v>3410</v>
      </c>
      <c r="B171" s="24" t="s">
        <v>155</v>
      </c>
      <c r="C171" s="264" t="s">
        <v>159</v>
      </c>
      <c r="D171" s="178">
        <f>+INDEX('Budget original'!$A$2:$AO$500,MATCH($A171,'Budget original'!$A$2:$A$500,0),MATCH(D$2,'Budget original'!$A$2:$AO$2,0))</f>
        <v>273.14254073210458</v>
      </c>
      <c r="E171" s="197">
        <f>+INDEX('Budget original'!$A$2:$AO$500,MATCH($A171,'Budget original'!$A$2:$A$500,0),MATCH(E$2,'Budget original'!$A$2:$AO$2,0))</f>
        <v>67739.35010156194</v>
      </c>
      <c r="F171" s="197">
        <f>+INDEX('Budget original'!$A$2:$AO$500,MATCH($A171,'Budget original'!$A$2:$A$500,0),MATCH(F$2,'Budget original'!$A$2:$AO$2,0))</f>
        <v>50872.25192627302</v>
      </c>
      <c r="G171" s="348">
        <f>+INDEX('Budget révisé'!$A$2:$AO$500,MATCH($A171,'Budget révisé'!$A$2:$A$500,0),MATCH(G$2,'Budget révisé'!$A$2:$AO$2,0))</f>
        <v>273.14254073210458</v>
      </c>
      <c r="H171" s="197">
        <f>+INDEX('Budget révisé'!$A$2:$AO$500,MATCH($A171,'Budget révisé'!$A$2:$A$500,0),MATCH(H$2,'Budget révisé'!$A$2:$AO$2,0))</f>
        <v>67739.35010156194</v>
      </c>
      <c r="I171" s="197">
        <f>+INDEX('Budget révisé'!$A$2:$AO$500,MATCH($A171,'Budget révisé'!$A$2:$A$500,0),MATCH(I$2,'Budget révisé'!$A$2:$AO$2,0))</f>
        <v>50872.25192627302</v>
      </c>
      <c r="J171" s="325">
        <f>-SUMIFS(BV_Data_An_Cour!$O:$O,BV_Data_An_Cour!$U:$U,$B171,BV_Data_An_Cour!$V:$V,$C171,BV_Data_An_Cour!$W:$W,J$2)</f>
        <v>261</v>
      </c>
      <c r="K171" s="179">
        <f>-SUMIFS(BV_Data_An_Cour!$O:$O,BV_Data_An_Cour!$X:$X,"Oui",BV_Data_An_Cour!$U:$U,$B171,BV_Data_An_Cour!$V:$V,$C171)</f>
        <v>76125.66</v>
      </c>
      <c r="L171" s="180">
        <f>-SUMIFS(BV_Data_An_Cour!$O:$O,BV_Data_An_Cour!$U:$U,$B171,BV_Data_An_Cour!$V:$V,$C171,BV_Data_An_Cour!$W:$W,$L$2)</f>
        <v>59744.700000000004</v>
      </c>
      <c r="M171" s="324">
        <f>(K171-H171)/H171</f>
        <v>0.1238026329727762</v>
      </c>
      <c r="N171" s="304">
        <f>L171-I171</f>
        <v>8872.4480737269841</v>
      </c>
      <c r="O171" s="325">
        <f>-SUMIFS(BV_Data_An_Prec!$O:$O,BV_Data_An_Prec!$U:$U,$B171,BV_Data_An_Prec!$V:$V,$C171,BV_Data_An_Prec!$W:$W,O$2)</f>
        <v>214</v>
      </c>
      <c r="P171" s="179">
        <f>-SUMIFS(BV_Data_An_Prec!$O:$O,BV_Data_An_Prec!$X:$X,"Oui",BV_Data_An_Prec!$U:$U,$B171,BV_Data_An_Prec!$V:$V,$C171)</f>
        <v>51348.31</v>
      </c>
      <c r="Q171" s="180">
        <f>-SUMIFS(BV_Data_An_Prec!$O:$O,BV_Data_An_Prec!$U:$U,$B171,BV_Data_An_Prec!$V:$V,$C171,BV_Data_An_Prec!$W:$W,$L$2)</f>
        <v>37938.269999999997</v>
      </c>
      <c r="R171" s="324">
        <f>IF(O171=0,0,J171/O171)</f>
        <v>1.219626168224299</v>
      </c>
      <c r="S171" s="199">
        <f>L171-Q171</f>
        <v>21806.430000000008</v>
      </c>
      <c r="T171" s="229"/>
      <c r="U171" s="222">
        <f>K171*I172</f>
        <v>57170.37066</v>
      </c>
      <c r="V171" s="968">
        <f>U171-L171</f>
        <v>-2574.3293400000039</v>
      </c>
      <c r="W171" s="222"/>
      <c r="X171" s="1188">
        <v>3659</v>
      </c>
      <c r="Y171" s="1188" t="s">
        <v>3054</v>
      </c>
      <c r="Z171" s="1188"/>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
        <v>3411</v>
      </c>
      <c r="B172" s="24" t="s">
        <v>155</v>
      </c>
      <c r="C172" s="264" t="s">
        <v>160</v>
      </c>
      <c r="D172" s="178"/>
      <c r="E172" s="349"/>
      <c r="F172" s="350">
        <f>F171/E171</f>
        <v>0.751</v>
      </c>
      <c r="G172" s="303"/>
      <c r="H172" s="349"/>
      <c r="I172" s="350">
        <f>I171/H171</f>
        <v>0.751</v>
      </c>
      <c r="J172" s="325"/>
      <c r="K172" s="178"/>
      <c r="L172" s="235">
        <f>IF(L171=0,0,L171/K171)</f>
        <v>0.78481684099684657</v>
      </c>
      <c r="M172" s="324"/>
      <c r="N172" s="304"/>
      <c r="O172" s="325"/>
      <c r="P172" s="178"/>
      <c r="Q172" s="350">
        <f>IF(Q171=0,0,Q171/P171)</f>
        <v>0.73884164834246735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
        <v>155</v>
      </c>
      <c r="B173" s="24" t="s">
        <v>155</v>
      </c>
      <c r="C173" s="326"/>
      <c r="D173" s="308"/>
      <c r="E173" s="358">
        <f t="shared" ref="E173" si="95">IFERROR(E171/D171,0)</f>
        <v>248.00000000000003</v>
      </c>
      <c r="F173" s="359"/>
      <c r="G173" s="310"/>
      <c r="H173" s="358">
        <f t="shared" ref="H173" si="96">IFERROR(H171/G171,0)</f>
        <v>248.00000000000003</v>
      </c>
      <c r="I173" s="359"/>
      <c r="J173" s="339"/>
      <c r="K173" s="573">
        <f t="shared" ref="K173" si="97">IFERROR(K171/J171,0)</f>
        <v>291.66919540229884</v>
      </c>
      <c r="L173" s="359"/>
      <c r="M173" s="361"/>
      <c r="N173" s="311"/>
      <c r="O173" s="339"/>
      <c r="P173" s="573">
        <f t="shared" ref="P173" si="98">IFERROR(P171/O171,0)</f>
        <v>239.9453738317757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
        <v>3412</v>
      </c>
      <c r="B174" s="24" t="s">
        <v>155</v>
      </c>
      <c r="C174" s="351" t="s">
        <v>161</v>
      </c>
      <c r="D174" s="357">
        <f>+INDEX('Budget original'!$A$2:$AO$500,MATCH($A174,'Budget original'!$A$2:$A$500,0),MATCH(D$2,'Budget original'!$A$2:$AO$2,0))</f>
        <v>307.76786631526647</v>
      </c>
      <c r="E174" s="197">
        <f>+INDEX('Budget original'!$A$2:$AO$500,MATCH($A174,'Budget original'!$A$2:$A$500,0),MATCH(E$2,'Budget original'!$A$2:$AO$2,0))</f>
        <v>60968.084203081962</v>
      </c>
      <c r="F174" s="197">
        <f>+INDEX('Budget original'!$A$2:$AO$500,MATCH($A174,'Budget original'!$A$2:$A$500,0),MATCH(F$2,'Budget original'!$A$2:$AO$2,0))</f>
        <v>42949.034538655244</v>
      </c>
      <c r="G174" s="354">
        <f>+INDEX('Budget révisé'!$A$2:$AO$500,MATCH($A174,'Budget révisé'!$A$2:$A$500,0),MATCH(G$2,'Budget révisé'!$A$2:$AO$2,0))</f>
        <v>307.76786631526647</v>
      </c>
      <c r="H174" s="197">
        <f>+INDEX('Budget révisé'!$A$2:$AO$500,MATCH($A174,'Budget révisé'!$A$2:$A$500,0),MATCH(H$2,'Budget révisé'!$A$2:$AO$2,0))</f>
        <v>60968.084203081962</v>
      </c>
      <c r="I174" s="197">
        <f>+INDEX('Budget révisé'!$A$2:$AO$500,MATCH($A174,'Budget révisé'!$A$2:$A$500,0),MATCH(I$2,'Budget révisé'!$A$2:$AO$2,0))</f>
        <v>42949.034538655244</v>
      </c>
      <c r="J174" s="354">
        <f>-SUMIFS(BV_Data_An_Cour!$O:$O,BV_Data_An_Cour!$U:$U,$B174,BV_Data_An_Cour!$V:$V,$C174,BV_Data_An_Cour!$W:$W,J$2)</f>
        <v>276</v>
      </c>
      <c r="K174" s="186">
        <f>-SUMIFS(BV_Data_An_Cour!$O:$O,BV_Data_An_Cour!$X:$X,"Oui",BV_Data_An_Cour!$U:$U,$B174,BV_Data_An_Cour!$V:$V,$C174)</f>
        <v>49441.32</v>
      </c>
      <c r="L174" s="180">
        <f>-SUMIFS(BV_Data_An_Cour!$O:$O,BV_Data_An_Cour!$U:$U,$B174,BV_Data_An_Cour!$V:$V,$C174,BV_Data_An_Cour!$W:$W,$L$2)</f>
        <v>34069.379999999997</v>
      </c>
      <c r="M174" s="324">
        <f>(K174-H174)/H174</f>
        <v>-0.18906226681958427</v>
      </c>
      <c r="N174" s="356">
        <f>L174-I174</f>
        <v>-8879.6545386552461</v>
      </c>
      <c r="O174" s="354">
        <f>-SUMIFS(BV_Data_An_Prec!$O:$O,BV_Data_An_Prec!$U:$U,$B174,BV_Data_An_Prec!$V:$V,$C174,BV_Data_An_Prec!$W:$W,O$2)</f>
        <v>294</v>
      </c>
      <c r="P174" s="186">
        <f>-SUMIFS(BV_Data_An_Prec!$O:$O,BV_Data_An_Prec!$X:$X,"Oui",BV_Data_An_Prec!$U:$U,$B174,BV_Data_An_Prec!$V:$V,$C174)</f>
        <v>68701.34</v>
      </c>
      <c r="Q174" s="180">
        <f>-SUMIFS(BV_Data_An_Prec!$O:$O,BV_Data_An_Prec!$U:$U,$B174,BV_Data_An_Prec!$V:$V,$C174,BV_Data_An_Prec!$W:$W,$L$2)</f>
        <v>47449.869999999995</v>
      </c>
      <c r="R174" s="324">
        <f>IF(O174=0,0,J174/O174)</f>
        <v>0.93877551020408168</v>
      </c>
      <c r="S174" s="199">
        <f>L174-Q174</f>
        <v>-13380.489999999998</v>
      </c>
      <c r="T174" s="229"/>
      <c r="U174" s="222">
        <f>K174*I175</f>
        <v>34828.992711064471</v>
      </c>
      <c r="V174" s="968">
        <f>U174-L174</f>
        <v>759.61271106447384</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
        <v>3411</v>
      </c>
      <c r="B175" s="24" t="s">
        <v>155</v>
      </c>
      <c r="C175" s="264" t="s">
        <v>160</v>
      </c>
      <c r="D175" s="178"/>
      <c r="E175" s="178"/>
      <c r="F175" s="350">
        <f>F174/E174</f>
        <v>0.70445110913431253</v>
      </c>
      <c r="G175" s="303"/>
      <c r="H175" s="178"/>
      <c r="I175" s="350">
        <f>I174/H174</f>
        <v>0.70445110913431253</v>
      </c>
      <c r="J175" s="303"/>
      <c r="K175" s="178"/>
      <c r="L175" s="350">
        <f>IF(L174=0,0,L174/K174)</f>
        <v>0.68908718456546059</v>
      </c>
      <c r="M175" s="362"/>
      <c r="N175" s="332"/>
      <c r="O175" s="303"/>
      <c r="P175" s="178"/>
      <c r="Q175" s="350">
        <f>IF(Q174=0,0,Q174/P174)</f>
        <v>0.69066877007056915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
        <v>155</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1188">
        <v>1552</v>
      </c>
      <c r="Y176" s="1188" t="s">
        <v>3054</v>
      </c>
      <c r="Z176" s="1188"/>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
        <v>3413</v>
      </c>
      <c r="B177" s="24" t="s">
        <v>155</v>
      </c>
      <c r="C177" s="264" t="s">
        <v>162</v>
      </c>
      <c r="D177" s="178">
        <f>+INDEX('Budget original'!$A$2:$AO$500,MATCH($A177,'Budget original'!$A$2:$A$500,0),MATCH(D$2,'Budget original'!$A$2:$AO$2,0))</f>
        <v>199.93155012383974</v>
      </c>
      <c r="E177" s="197">
        <f>+INDEX('Budget original'!$A$2:$AO$500,MATCH($A177,'Budget original'!$A$2:$A$500,0),MATCH(E$2,'Budget original'!$A$2:$AO$2,0))</f>
        <v>43062.608493239539</v>
      </c>
      <c r="F177" s="197">
        <f>+INDEX('Budget original'!$A$2:$AO$500,MATCH($A177,'Budget original'!$A$2:$A$500,0),MATCH(F$2,'Budget original'!$A$2:$AO$2,0))</f>
        <v>31769.097813302134</v>
      </c>
      <c r="G177" s="303">
        <f>+INDEX('Budget révisé'!$A$2:$AO$500,MATCH($A177,'Budget révisé'!$A$2:$A$500,0),MATCH(G$2,'Budget révisé'!$A$2:$AO$2,0))</f>
        <v>199.93155012383974</v>
      </c>
      <c r="H177" s="197">
        <f>+INDEX('Budget révisé'!$A$2:$AO$500,MATCH($A177,'Budget révisé'!$A$2:$A$500,0),MATCH(H$2,'Budget révisé'!$A$2:$AO$2,0))</f>
        <v>43062.608493239539</v>
      </c>
      <c r="I177" s="197">
        <f>+INDEX('Budget révisé'!$A$2:$AO$500,MATCH($A177,'Budget révisé'!$A$2:$A$500,0),MATCH(I$2,'Budget révisé'!$A$2:$AO$2,0))</f>
        <v>31769.097813302134</v>
      </c>
      <c r="J177" s="325">
        <f>-SUMIFS(BV_Data_An_Cour!$O:$O,BV_Data_An_Cour!$U:$U,$B177,BV_Data_An_Cour!$V:$V,$C177,BV_Data_An_Cour!$W:$W,J$2)</f>
        <v>155</v>
      </c>
      <c r="K177" s="186">
        <f>-SUMIFS(BV_Data_An_Cour!$O:$O,BV_Data_An_Cour!$X:$X,"Oui",BV_Data_An_Cour!$U:$U,$B177,BV_Data_An_Cour!$V:$V,$C177)</f>
        <v>44592.72</v>
      </c>
      <c r="L177" s="180">
        <f>-SUMIFS(BV_Data_An_Cour!$O:$O,BV_Data_An_Cour!$U:$U,$B177,BV_Data_An_Cour!$V:$V,$C177,BV_Data_An_Cour!$W:$W,$L$2)</f>
        <v>31031.370000000003</v>
      </c>
      <c r="M177" s="324">
        <f>(K177-H177)/H177</f>
        <v>3.5532253161131122E-2</v>
      </c>
      <c r="N177" s="304">
        <f t="shared" ref="N177:N178" si="99">L177-I177</f>
        <v>-737.72781330213184</v>
      </c>
      <c r="O177" s="325">
        <f>-SUMIFS(BV_Data_An_Prec!$O:$O,BV_Data_An_Prec!$U:$U,$B177,BV_Data_An_Prec!$V:$V,$C177,BV_Data_An_Prec!$W:$W,O$2)</f>
        <v>166</v>
      </c>
      <c r="P177" s="186">
        <f>-SUMIFS(BV_Data_An_Prec!$O:$O,BV_Data_An_Prec!$X:$X,"Oui",BV_Data_An_Prec!$U:$U,$B177,BV_Data_An_Prec!$V:$V,$C177)</f>
        <v>31066.5</v>
      </c>
      <c r="Q177" s="180">
        <f>-SUMIFS(BV_Data_An_Prec!$O:$O,BV_Data_An_Prec!$U:$U,$B177,BV_Data_An_Prec!$V:$V,$C177,BV_Data_An_Prec!$W:$W,$L$2)</f>
        <v>22455.839999999997</v>
      </c>
      <c r="R177" s="324">
        <f>IF(O177=0,0,J177/O177)</f>
        <v>0.9337349397590361</v>
      </c>
      <c r="S177" s="199">
        <f>L177-Q177</f>
        <v>8575.5300000000061</v>
      </c>
      <c r="T177" s="229"/>
      <c r="U177" s="222">
        <f>K177*I178</f>
        <v>32897.925439505125</v>
      </c>
      <c r="V177" s="968">
        <f>U177-L177</f>
        <v>1866.5554395051222</v>
      </c>
      <c r="W177" s="222"/>
      <c r="X177" s="1188">
        <f>X176+X171</f>
        <v>5211</v>
      </c>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
        <v>3411</v>
      </c>
      <c r="B178" s="24" t="s">
        <v>155</v>
      </c>
      <c r="C178" s="264" t="s">
        <v>160</v>
      </c>
      <c r="D178" s="178"/>
      <c r="E178" s="349"/>
      <c r="F178" s="350">
        <f>F177/E177</f>
        <v>0.73774206730392589</v>
      </c>
      <c r="G178" s="303"/>
      <c r="H178" s="349"/>
      <c r="I178" s="350">
        <f>I177/H177</f>
        <v>0.73774206730392589</v>
      </c>
      <c r="J178" s="325"/>
      <c r="K178" s="349"/>
      <c r="L178" s="350">
        <f>IF(L177=0,0,L177/K177)</f>
        <v>0.69588421607831952</v>
      </c>
      <c r="M178" s="324"/>
      <c r="N178" s="304">
        <f t="shared" si="99"/>
        <v>-4.1857851225606368E-2</v>
      </c>
      <c r="O178" s="325"/>
      <c r="P178" s="349"/>
      <c r="Q178" s="350">
        <f>IF(Q177=0,0,Q177/P177)</f>
        <v>0.72283134566172558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
        <v>155</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1189">
        <v>1365.22</v>
      </c>
      <c r="Y179" s="1188"/>
      <c r="Z179" s="1188" t="s">
        <v>3055</v>
      </c>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
        <v>3414</v>
      </c>
      <c r="B180" s="24" t="s">
        <v>155</v>
      </c>
      <c r="C180" s="351" t="s">
        <v>163</v>
      </c>
      <c r="D180" s="352">
        <f>+INDEX('Budget original'!$A$2:$AO$500,MATCH($A180,'Budget original'!$A$2:$A$500,0),MATCH(D$2,'Budget original'!$A$2:$AO$2,0))</f>
        <v>0</v>
      </c>
      <c r="E180" s="197">
        <f>+INDEX('Budget original'!$A$2:$AO$500,MATCH($A180,'Budget original'!$A$2:$A$500,0),MATCH(E$2,'Budget original'!$A$2:$AO$2,0))</f>
        <v>0</v>
      </c>
      <c r="F180" s="197">
        <f>+INDEX('Budget original'!$A$2:$AO$500,MATCH($A180,'Budget original'!$A$2:$A$500,0),MATCH(F$2,'Budget original'!$A$2:$AO$2,0))</f>
        <v>0</v>
      </c>
      <c r="G180" s="368">
        <f>+INDEX('Budget révisé'!$A$2:$AO$500,MATCH($A180,'Budget révisé'!$A$2:$A$500,0),MATCH(G$2,'Budget révisé'!$A$2:$AO$2,0))</f>
        <v>0</v>
      </c>
      <c r="H180" s="197">
        <f>+INDEX('Budget révisé'!$A$2:$AO$500,MATCH($A180,'Budget révisé'!$A$2:$A$500,0),MATCH(H$2,'Budget révisé'!$A$2:$AO$2,0))</f>
        <v>0</v>
      </c>
      <c r="I180" s="197">
        <f>+INDEX('Budget révisé'!$A$2:$AO$500,MATCH($A180,'Budget révisé'!$A$2:$A$500,0),MATCH(I$2,'Budget révisé'!$A$2:$AO$2,0))</f>
        <v>0</v>
      </c>
      <c r="J180" s="354">
        <f>-SUMIFS(BV_Data_An_Cour!$O:$O,BV_Data_An_Cour!$U:$U,$B180,BV_Data_An_Cour!$V:$V,$C180,BV_Data_An_Cour!$W:$W,J$2)</f>
        <v>0</v>
      </c>
      <c r="K180" s="186">
        <f>-SUMIFS(BV_Data_An_Cour!$O:$O,BV_Data_An_Cour!$X:$X,"Oui",BV_Data_An_Cour!$U:$U,$B180,BV_Data_An_Cour!$V:$V,$C180)</f>
        <v>80.98</v>
      </c>
      <c r="L180" s="181">
        <f>-SUMIFS(BV_Data_An_Cour!$O:$O,BV_Data_An_Cour!$U:$U,$B180,BV_Data_An_Cour!$V:$V,$C180,BV_Data_An_Cour!$W:$W,$L$2)</f>
        <v>68.48</v>
      </c>
      <c r="M180" s="355">
        <f>IF(H180=0,0,(K180-H180)/H180)</f>
        <v>0</v>
      </c>
      <c r="N180" s="356">
        <f>L180-I180</f>
        <v>68.48</v>
      </c>
      <c r="O180" s="354">
        <f>-SUMIFS(BV_Data_An_Prec!$O:$O,BV_Data_An_Prec!$U:$U,$B180,BV_Data_An_Prec!$V:$V,$C180,BV_Data_An_Prec!$W:$W,O$2)</f>
        <v>0</v>
      </c>
      <c r="P180" s="186">
        <f>-SUMIFS(BV_Data_An_Prec!$O:$O,BV_Data_An_Prec!$X:$X,"Oui",BV_Data_An_Prec!$U:$U,$B180,BV_Data_An_Prec!$V:$V,$C180)</f>
        <v>0</v>
      </c>
      <c r="Q180" s="181">
        <f>-SUMIFS(BV_Data_An_Prec!$O:$O,BV_Data_An_Prec!$U:$U,$B180,BV_Data_An_Prec!$V:$V,$C180,BV_Data_An_Prec!$W:$W,$L$2)</f>
        <v>0</v>
      </c>
      <c r="R180" s="324">
        <f>IF(O180=0,0,J180/O180)</f>
        <v>0</v>
      </c>
      <c r="S180" s="201">
        <f>L180-Q180</f>
        <v>68.48</v>
      </c>
      <c r="T180" s="229"/>
      <c r="U180" s="222">
        <f>K180*I181</f>
        <v>0</v>
      </c>
      <c r="V180" s="968">
        <f>U180-L180</f>
        <v>-68.48</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
        <v>3411</v>
      </c>
      <c r="B181" s="24" t="s">
        <v>155</v>
      </c>
      <c r="C181" s="264" t="s">
        <v>160</v>
      </c>
      <c r="D181" s="369"/>
      <c r="E181" s="370"/>
      <c r="F181" s="350">
        <f>IFERROR(F180/E180,0)</f>
        <v>0</v>
      </c>
      <c r="G181" s="313"/>
      <c r="H181" s="370"/>
      <c r="I181" s="350">
        <f>IFERROR(I180/H180,0)</f>
        <v>0</v>
      </c>
      <c r="J181" s="371"/>
      <c r="K181" s="370">
        <f>IF(J181&lt;=0,0,L181/J181)</f>
        <v>0</v>
      </c>
      <c r="L181" s="350">
        <f>IF(L180=0,0,L180/K180)</f>
        <v>0.84564089898740435</v>
      </c>
      <c r="M181" s="325">
        <f>J181-G181</f>
        <v>0</v>
      </c>
      <c r="N181" s="372"/>
      <c r="O181" s="371"/>
      <c r="P181" s="370">
        <f>IF(O181&lt;=0,0,Q181/O181)</f>
        <v>0</v>
      </c>
      <c r="Q181" s="350">
        <f>IF(Q180=0,0,Q180/P180)</f>
        <v>0</v>
      </c>
      <c r="R181" s="303"/>
      <c r="S181" s="373"/>
      <c r="T181" s="525"/>
      <c r="U181" s="222"/>
      <c r="V181" s="222"/>
      <c r="W181" s="222"/>
      <c r="X181" s="222">
        <f>X179+X177</f>
        <v>6576.22</v>
      </c>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
        <v>155</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
        <v>3415</v>
      </c>
      <c r="B183" s="24" t="s">
        <v>155</v>
      </c>
      <c r="C183" s="264" t="s">
        <v>164</v>
      </c>
      <c r="D183" s="178"/>
      <c r="E183" s="178"/>
      <c r="F183" s="304">
        <f>+INDEX('Budget original'!$A$2:$AO$500,MATCH($A183,'Budget original'!$A$2:$A$500,0),MATCH(F$2,'Budget original'!$A$2:$AO$2,0))</f>
        <v>-2695.2577797007798</v>
      </c>
      <c r="G183" s="303"/>
      <c r="H183" s="197"/>
      <c r="I183" s="197">
        <f>+INDEX('Budget révisé'!$A$2:$AO$500,MATCH($A183,'Budget révisé'!$A$2:$A$500,0),MATCH(I$2,'Budget révisé'!$A$2:$AO$2,0))</f>
        <v>-2695.2577797007798</v>
      </c>
      <c r="J183" s="325"/>
      <c r="K183" s="197"/>
      <c r="L183" s="197">
        <f>-SUMIFS(BV_Data_An_Cour!$O:$O,BV_Data_An_Cour!$U:$U,$B183,BV_Data_An_Cour!$V:$V,$C183,BV_Data_An_Cour!$W:$W,$L$2)</f>
        <v>-1913.67</v>
      </c>
      <c r="M183" s="371"/>
      <c r="N183" s="304">
        <f t="shared" ref="N183:N184" si="100">L183-I183</f>
        <v>781.58777970077972</v>
      </c>
      <c r="O183" s="325"/>
      <c r="P183" s="197"/>
      <c r="Q183" s="180">
        <f>-SUMIFS(BV_Data_An_Prec!$O:$O,BV_Data_An_Prec!$U:$U,$B183,BV_Data_An_Prec!$V:$V,$C183,BV_Data_An_Prec!$W:$W,$L$2)</f>
        <v>-868.59</v>
      </c>
      <c r="R183" s="209"/>
      <c r="S183" s="199">
        <f t="shared" ref="S183:S184" si="101">L183-Q183</f>
        <v>-1045.08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
        <v>3416</v>
      </c>
      <c r="B184" s="24" t="s">
        <v>155</v>
      </c>
      <c r="C184" s="380" t="s">
        <v>165</v>
      </c>
      <c r="D184" s="58"/>
      <c r="E184" s="58">
        <f t="shared" ref="E184:F184" si="102">E171+E174+E177+E180+E183</f>
        <v>171770.04279788345</v>
      </c>
      <c r="F184" s="59">
        <f t="shared" si="102"/>
        <v>122895.12649852961</v>
      </c>
      <c r="G184" s="60"/>
      <c r="H184" s="58">
        <f t="shared" ref="H184:I184" si="103">H171+H174+H177+H180+H183</f>
        <v>171770.04279788345</v>
      </c>
      <c r="I184" s="59">
        <f t="shared" si="103"/>
        <v>122895.12649852961</v>
      </c>
      <c r="J184" s="60">
        <f t="shared" ref="J184:L184" si="104">J171+J174+J177+J180+J183</f>
        <v>692</v>
      </c>
      <c r="K184" s="58">
        <f t="shared" si="104"/>
        <v>170240.68000000002</v>
      </c>
      <c r="L184" s="59">
        <f t="shared" si="104"/>
        <v>123000.26000000001</v>
      </c>
      <c r="M184" s="61">
        <f>(K184-H184)/H184</f>
        <v>-8.9035478653456523E-3</v>
      </c>
      <c r="N184" s="59">
        <f t="shared" si="100"/>
        <v>105.13350147039455</v>
      </c>
      <c r="O184" s="60">
        <f t="shared" ref="O184:Q184" si="105">O171+O174+O177+O180+O183</f>
        <v>674</v>
      </c>
      <c r="P184" s="58">
        <f t="shared" si="105"/>
        <v>151116.15</v>
      </c>
      <c r="Q184" s="59">
        <f t="shared" si="105"/>
        <v>106975.38999999998</v>
      </c>
      <c r="R184" s="381">
        <f>IF(O184=0,0,J184/O184)</f>
        <v>1.0267062314540059</v>
      </c>
      <c r="S184" s="382">
        <f t="shared" si="101"/>
        <v>16024.870000000024</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
        <v>3417</v>
      </c>
      <c r="B185" s="24" t="s">
        <v>155</v>
      </c>
      <c r="C185" s="383" t="s">
        <v>166</v>
      </c>
      <c r="D185" s="62"/>
      <c r="E185" s="62"/>
      <c r="F185" s="63">
        <f>F184/E184</f>
        <v>0.71546309529151453</v>
      </c>
      <c r="G185" s="64"/>
      <c r="H185" s="65">
        <f>IF(G184=0,0,H184/G184)</f>
        <v>0</v>
      </c>
      <c r="I185" s="332">
        <f>I184/H184</f>
        <v>0.71546309529151453</v>
      </c>
      <c r="J185" s="64"/>
      <c r="K185" s="65">
        <f>IF(J184=0,0,K184/J184)</f>
        <v>246.0125433526012</v>
      </c>
      <c r="L185" s="332">
        <f>IF(L184=0,0,L184/K184)</f>
        <v>0.7225080397940139</v>
      </c>
      <c r="M185" s="64"/>
      <c r="N185" s="63">
        <f>N184/I184</f>
        <v>8.5547331668723594E-4</v>
      </c>
      <c r="O185" s="64"/>
      <c r="P185" s="65">
        <f>IF(O184=0,0,P184/O184)</f>
        <v>224.20793768545994</v>
      </c>
      <c r="Q185" s="332">
        <f>IF(Q184=0,0,Q184/P184)</f>
        <v>0.7079017695990798</v>
      </c>
      <c r="R185" s="64"/>
      <c r="S185" s="333">
        <f>IF(R184=0,0,S184/R184)</f>
        <v>15608.038121387308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
        <v>155</v>
      </c>
      <c r="B186" s="24" t="s">
        <v>155</v>
      </c>
      <c r="C186" s="384"/>
      <c r="D186" s="223"/>
      <c r="E186" s="224"/>
      <c r="F186" s="225"/>
      <c r="G186" s="226"/>
      <c r="H186" s="224"/>
      <c r="I186" s="225">
        <f>H184-I184</f>
        <v>48874.916299353834</v>
      </c>
      <c r="J186" s="226"/>
      <c r="K186" s="224"/>
      <c r="L186" s="225">
        <f>K184-L184</f>
        <v>47240.420000000013</v>
      </c>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
        <v>3418</v>
      </c>
      <c r="B187" s="24" t="s">
        <v>155</v>
      </c>
      <c r="C187" s="291" t="s">
        <v>167</v>
      </c>
      <c r="D187" s="228"/>
      <c r="E187" s="228">
        <f>+INDEX('Budget original'!$A$2:$AO$500,MATCH($A187,'Budget original'!$A$2:$A$500,0),MATCH(E$2,'Budget original'!$A$2:$AO$2,0))</f>
        <v>14155.861843538976</v>
      </c>
      <c r="F187" s="228">
        <f>+INDEX('Budget original'!$A$2:$AO$500,MATCH($A187,'Budget original'!$A$2:$A$500,0),MATCH(F$2,'Budget original'!$A$2:$AO$2,0))</f>
        <v>3101.9130508272219</v>
      </c>
      <c r="G187" s="230"/>
      <c r="H187" s="228">
        <f>+INDEX('Budget révisé'!$A$2:$AO$500,MATCH($A187,'Budget révisé'!$A$2:$A$500,0),MATCH(H$2,'Budget révisé'!$A$2:$AO$2,0))</f>
        <v>14155.861843538976</v>
      </c>
      <c r="I187" s="228">
        <f>+INDEX('Budget révisé'!$A$2:$AO$500,MATCH($A187,'Budget révisé'!$A$2:$A$500,0),MATCH(I$2,'Budget révisé'!$A$2:$AO$2,0))</f>
        <v>3101.9130508272219</v>
      </c>
      <c r="J187" s="230"/>
      <c r="K187" s="231">
        <f>-SUMIFS(BV_Data_An_Cour!$O:$O,BV_Data_An_Cour!$X:$X,"Oui",BV_Data_An_Cour!$U:$U,$B187,BV_Data_An_Cour!$V:$V,$C187)</f>
        <v>16668.439999999999</v>
      </c>
      <c r="L187" s="281">
        <f>-SUMIFS(BV_Data_An_Cour!$O:$O,BV_Data_An_Cour!$U:$U,$B187,BV_Data_An_Cour!$V:$V,$C187,BV_Data_An_Cour!$W:$W,$L$2)</f>
        <v>3276.9499999999989</v>
      </c>
      <c r="M187" s="511">
        <f>IF(H187=0,0,(K187-H187)/H187)</f>
        <v>0.17749383147645045</v>
      </c>
      <c r="N187" s="232">
        <f>L187-I187</f>
        <v>175.03694917277699</v>
      </c>
      <c r="O187" s="230"/>
      <c r="P187" s="231">
        <f>-SUMIFS(BV_Data_An_Prec!$O:$O,BV_Data_An_Prec!$X:$X,"Oui",BV_Data_An_Prec!$U:$U,$B187,BV_Data_An_Prec!$V:$V,$C187)</f>
        <v>7855.2</v>
      </c>
      <c r="Q187" s="281">
        <f>-SUMIFS(BV_Data_An_Prec!$O:$O,BV_Data_An_Prec!$U:$U,$B187,BV_Data_An_Prec!$V:$V,$C187,BV_Data_An_Prec!$W:$W,$L$2)</f>
        <v>1100.75</v>
      </c>
      <c r="R187" s="386">
        <f>IF(O187=0,0,J187/O187)</f>
        <v>0</v>
      </c>
      <c r="S187" s="284">
        <f>L187-Q187</f>
        <v>2176.1999999999989</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
        <v>3411</v>
      </c>
      <c r="B188" s="24" t="s">
        <v>155</v>
      </c>
      <c r="C188" s="291" t="s">
        <v>160</v>
      </c>
      <c r="D188" s="233"/>
      <c r="E188" s="234"/>
      <c r="F188" s="235">
        <f>IFERROR(F187/E187,0)</f>
        <v>0.21912569401367804</v>
      </c>
      <c r="G188" s="227"/>
      <c r="H188" s="234"/>
      <c r="I188" s="235">
        <f>IFERROR(I187/H187,0)</f>
        <v>0.21912569401367804</v>
      </c>
      <c r="J188" s="236"/>
      <c r="K188" s="237"/>
      <c r="L188" s="235">
        <f>IF(L187=0,0,L187/K187)</f>
        <v>0.19659608217685634</v>
      </c>
      <c r="M188" s="236"/>
      <c r="N188" s="238"/>
      <c r="O188" s="236"/>
      <c r="P188" s="237"/>
      <c r="Q188" s="235">
        <f>IF(Q187=0,0,Q187/P187)</f>
        <v>0.14013010489866584</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
        <v>155</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
        <v>3419</v>
      </c>
      <c r="B190" s="24" t="s">
        <v>155</v>
      </c>
      <c r="C190" s="291" t="s">
        <v>168</v>
      </c>
      <c r="D190" s="233"/>
      <c r="E190" s="228">
        <f>+INDEX('Budget original'!$A$2:$AO$500,MATCH($A190,'Budget original'!$A$2:$A$500,0),MATCH(E$2,'Budget original'!$A$2:$AO$2,0))</f>
        <v>0</v>
      </c>
      <c r="F190" s="228">
        <f>+INDEX('Budget original'!$A$2:$AO$500,MATCH($A190,'Budget original'!$A$2:$A$500,0),MATCH(F$2,'Budget original'!$A$2:$AO$2,0))</f>
        <v>0</v>
      </c>
      <c r="G190" s="227"/>
      <c r="H190" s="228">
        <f>+INDEX('Budget révisé'!$A$2:$AO$500,MATCH($A190,'Budget révisé'!$A$2:$A$500,0),MATCH(H$2,'Budget révisé'!$A$2:$AO$2,0))</f>
        <v>0</v>
      </c>
      <c r="I190" s="228">
        <f>+INDEX('Budget révisé'!$A$2:$AO$500,MATCH($A190,'Budget révisé'!$A$2:$A$500,0),MATCH(I$2,'Budget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
        <v>3411</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
        <v>155</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
        <v>3420</v>
      </c>
      <c r="B193" s="24" t="s">
        <v>155</v>
      </c>
      <c r="C193" s="269" t="s">
        <v>169</v>
      </c>
      <c r="D193" s="26"/>
      <c r="E193" s="26">
        <f t="shared" ref="E193:F193" si="106">E184+E187+E190</f>
        <v>185925.90464142241</v>
      </c>
      <c r="F193" s="28">
        <f t="shared" si="106"/>
        <v>125997.03954935684</v>
      </c>
      <c r="G193" s="29"/>
      <c r="H193" s="26">
        <f t="shared" ref="H193:I193" si="107">H184+H187+H190</f>
        <v>185925.90464142241</v>
      </c>
      <c r="I193" s="28">
        <f t="shared" si="107"/>
        <v>125997.03954935684</v>
      </c>
      <c r="J193" s="29"/>
      <c r="K193" s="26">
        <f>K184+K187+K190</f>
        <v>186909.12000000002</v>
      </c>
      <c r="L193" s="28">
        <f t="shared" ref="L193" si="108">L184+L187+L190</f>
        <v>126277.21</v>
      </c>
      <c r="M193" s="70">
        <f>L194-I194</f>
        <v>-2.0658619666955591E-3</v>
      </c>
      <c r="N193" s="28">
        <f>L193-I193</f>
        <v>280.17045064317062</v>
      </c>
      <c r="O193" s="29"/>
      <c r="P193" s="26">
        <f>P184+P187+P190</f>
        <v>158971.35</v>
      </c>
      <c r="Q193" s="28">
        <f t="shared" ref="Q193" si="109">Q184+Q187+Q190</f>
        <v>108076.13999999998</v>
      </c>
      <c r="R193" s="70">
        <f>L194-Q194</f>
        <v>-4.239115715979902E-3</v>
      </c>
      <c r="S193" s="363">
        <f>L193-Q193</f>
        <v>18201.070000000022</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
        <v>155</v>
      </c>
      <c r="B194" s="24" t="s">
        <v>155</v>
      </c>
      <c r="C194" s="364"/>
      <c r="D194" s="365"/>
      <c r="E194" s="365"/>
      <c r="F194" s="34">
        <f>F193/E193</f>
        <v>0.67767339786435532</v>
      </c>
      <c r="G194" s="31"/>
      <c r="H194" s="365"/>
      <c r="I194" s="34">
        <f>I193/H193</f>
        <v>0.67767339786435532</v>
      </c>
      <c r="J194" s="31"/>
      <c r="K194" s="365"/>
      <c r="L194" s="34">
        <f>L193/K193</f>
        <v>0.67560753589765976</v>
      </c>
      <c r="M194" s="33"/>
      <c r="N194" s="34">
        <f>N193/I193</f>
        <v>2.2236272506499601E-3</v>
      </c>
      <c r="O194" s="31"/>
      <c r="P194" s="365"/>
      <c r="Q194" s="34">
        <f>Q193/P193</f>
        <v>0.67984665161363966</v>
      </c>
      <c r="R194" s="33"/>
      <c r="S194" s="272">
        <f>L193/S193</f>
        <v>6.9379003542099369</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
        <v>155</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
        <v>3421</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
        <v>3422</v>
      </c>
      <c r="B197" s="24" t="s">
        <v>155</v>
      </c>
      <c r="C197" s="305" t="s">
        <v>112</v>
      </c>
      <c r="D197" s="178"/>
      <c r="E197" s="178"/>
      <c r="F197" s="179">
        <f>+INDEX('Budget original'!$A$2:$AO$500,MATCH($A197,'Budget original'!$A$2:$A$500,0),MATCH(F$2,'Budget original'!$A$2:$AO$2,0))</f>
        <v>11204.70316091954</v>
      </c>
      <c r="G197" s="303"/>
      <c r="H197" s="178"/>
      <c r="I197" s="179">
        <f>+INDEX('Budget révisé'!$A$2:$AO$500,MATCH($A197,'Budget révisé'!$A$2:$A$500,0),MATCH(I$2,'Budget révisé'!$A$2:$AO$2,0))</f>
        <v>11204.70316091954</v>
      </c>
      <c r="J197" s="303"/>
      <c r="K197" s="178"/>
      <c r="L197" s="180">
        <f>SUMIFS(BV_Data_An_Cour!$O:$O,BV_Data_An_Cour!$U:$U,$B197,BV_Data_An_Cour!$V:$V,$C197,BV_Data_An_Cour!$W:$W,$L$2)</f>
        <v>11297.58</v>
      </c>
      <c r="M197" s="303"/>
      <c r="N197" s="304">
        <f t="shared" ref="N197:N208" si="110">L197-I197</f>
        <v>92.876839080459831</v>
      </c>
      <c r="O197" s="303"/>
      <c r="P197" s="178"/>
      <c r="Q197" s="180">
        <f>SUMIFS(BV_Data_An_Prec!$O:$O,BV_Data_An_Prec!$U:$U,$B197,BV_Data_An_Prec!$V:$V,$C197,BV_Data_An_Prec!$W:$W,$L$2)</f>
        <v>12230.15</v>
      </c>
      <c r="R197" s="303"/>
      <c r="S197" s="399">
        <f>L197-Q197</f>
        <v>-932.56999999999971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
        <v>3423</v>
      </c>
      <c r="B198" s="24" t="s">
        <v>155</v>
      </c>
      <c r="C198" s="306" t="s">
        <v>113</v>
      </c>
      <c r="D198" s="301"/>
      <c r="E198" s="178"/>
      <c r="F198" s="177">
        <f>+INDEX('Budget original'!$A$2:$AO$500,MATCH($A198,'Budget original'!$A$2:$A$500,0),MATCH(F$2,'Budget original'!$A$2:$AO$2,0))</f>
        <v>9403.9419058103449</v>
      </c>
      <c r="G198" s="302"/>
      <c r="H198" s="178"/>
      <c r="I198" s="177">
        <f>+INDEX('Budget révisé'!$A$2:$AO$500,MATCH($A198,'Budget révisé'!$A$2:$A$500,0),MATCH(I$2,'Budget révisé'!$A$2:$AO$2,0))</f>
        <v>9403.9419058103449</v>
      </c>
      <c r="J198" s="303"/>
      <c r="K198" s="178"/>
      <c r="L198" s="180">
        <f>SUMIFS(BV_Data_An_Cour!$O:$O,BV_Data_An_Cour!$U:$U,$B198,BV_Data_An_Cour!$V:$V,$C198,BV_Data_An_Cour!$W:$W,$L$2)</f>
        <v>7868.75</v>
      </c>
      <c r="M198" s="303"/>
      <c r="N198" s="304">
        <f t="shared" si="110"/>
        <v>-1535.1919058103449</v>
      </c>
      <c r="O198" s="303"/>
      <c r="P198" s="178"/>
      <c r="Q198" s="180">
        <f>SUMIFS(BV_Data_An_Prec!$O:$O,BV_Data_An_Prec!$U:$U,$B198,BV_Data_An_Prec!$V:$V,$C198,BV_Data_An_Prec!$W:$W,$L$2)</f>
        <v>8211.75</v>
      </c>
      <c r="R198" s="303"/>
      <c r="S198" s="199">
        <f t="shared" ref="S198:S227" si="111">L198-Q198</f>
        <v>-343</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
        <v>3424</v>
      </c>
      <c r="B199" s="24" t="s">
        <v>155</v>
      </c>
      <c r="C199" s="305" t="s">
        <v>114</v>
      </c>
      <c r="D199" s="392"/>
      <c r="E199" s="352"/>
      <c r="F199" s="179">
        <f>+INDEX('Budget original'!$A$2:$AO$500,MATCH($A199,'Budget original'!$A$2:$A$500,0),MATCH(F$2,'Budget original'!$A$2:$AO$2,0))</f>
        <v>14137.223567494253</v>
      </c>
      <c r="G199" s="393"/>
      <c r="H199" s="352"/>
      <c r="I199" s="179">
        <f>+INDEX('Budget révisé'!$A$2:$AO$500,MATCH($A199,'Budget révisé'!$A$2:$A$500,0),MATCH(I$2,'Budget révisé'!$A$2:$AO$2,0))</f>
        <v>14137.223567494253</v>
      </c>
      <c r="J199" s="368"/>
      <c r="K199" s="352"/>
      <c r="L199" s="245">
        <f>SUMIFS(BV_Data_An_Cour!$O:$O,BV_Data_An_Cour!$U:$U,$B199,BV_Data_An_Cour!$V:$V,$C199,BV_Data_An_Cour!$W:$W,$L$2)</f>
        <v>15758.61</v>
      </c>
      <c r="M199" s="368"/>
      <c r="N199" s="356">
        <f t="shared" si="110"/>
        <v>1621.3864325057475</v>
      </c>
      <c r="O199" s="368"/>
      <c r="P199" s="352"/>
      <c r="Q199" s="181">
        <f>SUMIFS(BV_Data_An_Prec!$O:$O,BV_Data_An_Prec!$U:$U,$B199,BV_Data_An_Prec!$V:$V,$C199,BV_Data_An_Prec!$W:$W,$L$2)</f>
        <v>14193.45</v>
      </c>
      <c r="R199" s="368"/>
      <c r="S199" s="201">
        <f t="shared" si="111"/>
        <v>1565.1599999999999</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
        <v>3425</v>
      </c>
      <c r="B200" s="24" t="s">
        <v>155</v>
      </c>
      <c r="C200" s="305" t="s">
        <v>115</v>
      </c>
      <c r="D200" s="301"/>
      <c r="E200" s="178"/>
      <c r="F200" s="179">
        <f>+INDEX('Budget original'!$A$2:$AO$500,MATCH($A200,'Budget original'!$A$2:$A$500,0),MATCH(F$2,'Budget original'!$A$2:$AO$2,0))</f>
        <v>24149.299286743022</v>
      </c>
      <c r="G200" s="302"/>
      <c r="H200" s="178"/>
      <c r="I200" s="179">
        <f>+INDEX('Budget révisé'!$A$2:$AO$500,MATCH($A200,'Budget révisé'!$A$2:$A$500,0),MATCH(I$2,'Budget révisé'!$A$2:$AO$2,0))</f>
        <v>24149.299286743022</v>
      </c>
      <c r="J200" s="303"/>
      <c r="K200" s="178"/>
      <c r="L200" s="180">
        <f>SUMIFS(BV_Data_An_Cour!$O:$O,BV_Data_An_Cour!$U:$U,$B200,BV_Data_An_Cour!$V:$V,$C200,BV_Data_An_Cour!$W:$W,$L$2)</f>
        <v>19008.14</v>
      </c>
      <c r="M200" s="303"/>
      <c r="N200" s="304">
        <f t="shared" si="110"/>
        <v>-5141.1592867430227</v>
      </c>
      <c r="O200" s="303"/>
      <c r="P200" s="178"/>
      <c r="Q200" s="180">
        <f>SUMIFS(BV_Data_An_Prec!$O:$O,BV_Data_An_Prec!$U:$U,$B200,BV_Data_An_Prec!$V:$V,$C200,BV_Data_An_Prec!$W:$W,$L$2)</f>
        <v>21182.68</v>
      </c>
      <c r="R200" s="303"/>
      <c r="S200" s="199">
        <f t="shared" si="111"/>
        <v>-2174.5400000000009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
        <v>3426</v>
      </c>
      <c r="B201" s="24" t="s">
        <v>155</v>
      </c>
      <c r="C201" s="264" t="s">
        <v>42</v>
      </c>
      <c r="D201" s="301"/>
      <c r="E201" s="178"/>
      <c r="F201" s="179">
        <f>+INDEX('Budget original'!$A$2:$AO$500,MATCH($A201,'Budget original'!$A$2:$A$500,0),MATCH(F$2,'Budget original'!$A$2:$AO$2,0))</f>
        <v>0</v>
      </c>
      <c r="G201" s="302"/>
      <c r="H201" s="178"/>
      <c r="I201" s="179">
        <f>+INDEX('Budget révisé'!$A$2:$AO$500,MATCH($A201,'Budget révisé'!$A$2:$A$500,0),MATCH(I$2,'Budget révisé'!$A$2:$AO$2,0))</f>
        <v>0</v>
      </c>
      <c r="J201" s="303"/>
      <c r="K201" s="178"/>
      <c r="L201" s="180">
        <f>SUMIFS(BV_Data_An_Cour!$O:$O,BV_Data_An_Cour!$U:$U,$B201,BV_Data_An_Cour!$V:$V,$C201,BV_Data_An_Cour!$W:$W,$L$2)</f>
        <v>0</v>
      </c>
      <c r="M201" s="303"/>
      <c r="N201" s="304">
        <f t="shared" si="110"/>
        <v>0</v>
      </c>
      <c r="O201" s="303"/>
      <c r="P201" s="178"/>
      <c r="Q201" s="180">
        <f>SUMIFS(BV_Data_An_Prec!$O:$O,BV_Data_An_Prec!$U:$U,$B201,BV_Data_An_Prec!$V:$V,$C201,BV_Data_An_Prec!$W:$W,$L$2)</f>
        <v>0</v>
      </c>
      <c r="R201" s="303"/>
      <c r="S201" s="199">
        <f t="shared" si="111"/>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
        <v>3426</v>
      </c>
      <c r="B202" s="24" t="s">
        <v>155</v>
      </c>
      <c r="C202" s="264" t="s">
        <v>42</v>
      </c>
      <c r="D202" s="301"/>
      <c r="E202" s="178"/>
      <c r="F202" s="179">
        <f>+INDEX('Budget original'!$A$2:$AO$500,MATCH($A202,'Budget original'!$A$2:$A$500,0),MATCH(F$2,'Budget original'!$A$2:$AO$2,0))</f>
        <v>0</v>
      </c>
      <c r="G202" s="302"/>
      <c r="H202" s="178"/>
      <c r="I202" s="179">
        <f>+INDEX('Budget révisé'!$A$2:$AO$500,MATCH($A202,'Budget révisé'!$A$2:$A$500,0),MATCH(I$2,'Budget révisé'!$A$2:$AO$2,0))</f>
        <v>0</v>
      </c>
      <c r="J202" s="303"/>
      <c r="K202" s="178"/>
      <c r="L202" s="180">
        <f>SUMIFS(BV_Data_An_Cour!$O:$O,BV_Data_An_Cour!$U:$U,$B202,BV_Data_An_Cour!$V:$V,$C202,BV_Data_An_Cour!$W:$W,$L$2)</f>
        <v>0</v>
      </c>
      <c r="M202" s="303"/>
      <c r="N202" s="304">
        <f t="shared" si="110"/>
        <v>0</v>
      </c>
      <c r="O202" s="303"/>
      <c r="P202" s="178"/>
      <c r="Q202" s="180">
        <f>SUMIFS(BV_Data_An_Prec!$O:$O,BV_Data_An_Prec!$U:$U,$B202,BV_Data_An_Prec!$V:$V,$C202,BV_Data_An_Prec!$W:$W,$L$2)</f>
        <v>0</v>
      </c>
      <c r="R202" s="303"/>
      <c r="S202" s="199">
        <f t="shared" si="111"/>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
        <v>3426</v>
      </c>
      <c r="B203" s="24" t="s">
        <v>155</v>
      </c>
      <c r="C203" s="264" t="s">
        <v>42</v>
      </c>
      <c r="D203" s="301"/>
      <c r="E203" s="178"/>
      <c r="F203" s="179">
        <f>+INDEX('Budget original'!$A$2:$AO$500,MATCH($A203,'Budget original'!$A$2:$A$500,0),MATCH(F$2,'Budget original'!$A$2:$AO$2,0))</f>
        <v>0</v>
      </c>
      <c r="G203" s="302"/>
      <c r="H203" s="178"/>
      <c r="I203" s="179">
        <f>+INDEX('Budget révisé'!$A$2:$AO$500,MATCH($A203,'Budget révisé'!$A$2:$A$500,0),MATCH(I$2,'Budget révisé'!$A$2:$AO$2,0))</f>
        <v>0</v>
      </c>
      <c r="J203" s="303"/>
      <c r="K203" s="178"/>
      <c r="L203" s="180">
        <f>SUMIFS(BV_Data_An_Cour!$O:$O,BV_Data_An_Cour!$U:$U,$B203,BV_Data_An_Cour!$V:$V,$C203,BV_Data_An_Cour!$W:$W,$L$2)</f>
        <v>0</v>
      </c>
      <c r="M203" s="303"/>
      <c r="N203" s="304">
        <f t="shared" ref="N203:N204" si="112">L203-I203</f>
        <v>0</v>
      </c>
      <c r="O203" s="303"/>
      <c r="P203" s="178"/>
      <c r="Q203" s="180">
        <f>SUMIFS(BV_Data_An_Prec!$O:$O,BV_Data_An_Prec!$U:$U,$B203,BV_Data_An_Prec!$V:$V,$C203,BV_Data_An_Prec!$W:$W,$L$2)</f>
        <v>0</v>
      </c>
      <c r="R203" s="303"/>
      <c r="S203" s="199">
        <f t="shared" ref="S203:S204" si="113">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
        <v>3427</v>
      </c>
      <c r="B204" s="24" t="s">
        <v>155</v>
      </c>
      <c r="C204" s="306" t="s">
        <v>116</v>
      </c>
      <c r="D204" s="301"/>
      <c r="E204" s="178"/>
      <c r="F204" s="179">
        <f>+INDEX('Budget original'!$A$2:$AO$500,MATCH($A204,'Budget original'!$A$2:$A$500,0),MATCH(F$2,'Budget original'!$A$2:$AO$2,0))</f>
        <v>15629.769783256188</v>
      </c>
      <c r="G204" s="302"/>
      <c r="H204" s="178"/>
      <c r="I204" s="179">
        <f>+INDEX('Budget révisé'!$A$2:$AO$500,MATCH($A204,'Budget révisé'!$A$2:$A$500,0),MATCH(I$2,'Budget révisé'!$A$2:$AO$2,0))</f>
        <v>15629.769783256188</v>
      </c>
      <c r="J204" s="303"/>
      <c r="K204" s="178"/>
      <c r="L204" s="180">
        <f>SUMIFS(BV_Data_An_Cour!$O:$O,BV_Data_An_Cour!$U:$U,$B204,BV_Data_An_Cour!$V:$V,$C204,BV_Data_An_Cour!$W:$W,$L$2)</f>
        <v>15629.74</v>
      </c>
      <c r="M204" s="303"/>
      <c r="N204" s="304">
        <f t="shared" si="112"/>
        <v>-2.9783256188238738E-2</v>
      </c>
      <c r="O204" s="303"/>
      <c r="P204" s="178"/>
      <c r="Q204" s="180">
        <f>SUMIFS(BV_Data_An_Prec!$O:$O,BV_Data_An_Prec!$U:$U,$B204,BV_Data_An_Prec!$V:$V,$C204,BV_Data_An_Prec!$W:$W,$L$2)</f>
        <v>9419.06</v>
      </c>
      <c r="R204" s="303"/>
      <c r="S204" s="199">
        <f t="shared" si="113"/>
        <v>6210.68</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
        <v>3428</v>
      </c>
      <c r="B205" s="24" t="s">
        <v>155</v>
      </c>
      <c r="C205" s="280" t="s">
        <v>117</v>
      </c>
      <c r="D205" s="392"/>
      <c r="E205" s="352"/>
      <c r="F205" s="429">
        <f>+INDEX('Budget original'!$A$2:$AO$500,MATCH($A205,'Budget original'!$A$2:$A$500,0),MATCH(F$2,'Budget original'!$A$2:$AO$2,0))</f>
        <v>13998.060981854651</v>
      </c>
      <c r="G205" s="393"/>
      <c r="H205" s="352"/>
      <c r="I205" s="429">
        <f>+INDEX('Budget révisé'!$A$2:$AO$500,MATCH($A205,'Budget révisé'!$A$2:$A$500,0),MATCH(I$2,'Budget révisé'!$A$2:$AO$2,0))</f>
        <v>13998.060981854651</v>
      </c>
      <c r="J205" s="368"/>
      <c r="K205" s="352"/>
      <c r="L205" s="245">
        <f>SUMIFS(BV_Data_An_Cour!$O:$O,BV_Data_An_Cour!$U:$U,$B205,BV_Data_An_Cour!$V:$V,$C205,BV_Data_An_Cour!$W:$W,$L$2)</f>
        <v>14850.73</v>
      </c>
      <c r="M205" s="368"/>
      <c r="N205" s="356">
        <f t="shared" si="110"/>
        <v>852.66901814534867</v>
      </c>
      <c r="O205" s="368"/>
      <c r="P205" s="352"/>
      <c r="Q205" s="181">
        <f>SUMIFS(BV_Data_An_Prec!$O:$O,BV_Data_An_Prec!$U:$U,$B205,BV_Data_An_Prec!$V:$V,$C205,BV_Data_An_Prec!$W:$W,$L$2)</f>
        <v>13265.27</v>
      </c>
      <c r="R205" s="368"/>
      <c r="S205" s="201">
        <f t="shared" si="111"/>
        <v>1585.4599999999991</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
        <v>3429</v>
      </c>
      <c r="B206" s="24" t="s">
        <v>155</v>
      </c>
      <c r="C206" s="280" t="s">
        <v>118</v>
      </c>
      <c r="D206" s="301"/>
      <c r="E206" s="178"/>
      <c r="F206" s="179">
        <f>+INDEX('Budget original'!$A$2:$AO$500,MATCH($A206,'Budget original'!$A$2:$A$500,0),MATCH(F$2,'Budget original'!$A$2:$AO$2,0))</f>
        <v>11116.107250296342</v>
      </c>
      <c r="G206" s="302"/>
      <c r="H206" s="178"/>
      <c r="I206" s="179">
        <f>+INDEX('Budget révisé'!$A$2:$AO$500,MATCH($A206,'Budget révisé'!$A$2:$A$500,0),MATCH(I$2,'Budget révisé'!$A$2:$AO$2,0))</f>
        <v>11116.107250296342</v>
      </c>
      <c r="J206" s="303"/>
      <c r="K206" s="178"/>
      <c r="L206" s="180">
        <f>SUMIFS(BV_Data_An_Cour!$O:$O,BV_Data_An_Cour!$U:$U,$B206,BV_Data_An_Cour!$V:$V,$C206,BV_Data_An_Cour!$W:$W,$L$2)</f>
        <v>7929.69</v>
      </c>
      <c r="M206" s="303"/>
      <c r="N206" s="304">
        <f t="shared" si="110"/>
        <v>-3186.417250296342</v>
      </c>
      <c r="O206" s="303"/>
      <c r="P206" s="178"/>
      <c r="Q206" s="180">
        <f>SUMIFS(BV_Data_An_Prec!$O:$O,BV_Data_An_Prec!$U:$U,$B206,BV_Data_An_Prec!$V:$V,$C206,BV_Data_An_Prec!$W:$W,$L$2)</f>
        <v>4597.8499999999995</v>
      </c>
      <c r="R206" s="303"/>
      <c r="S206" s="199">
        <f t="shared" si="111"/>
        <v>3331.84</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
        <v>3430</v>
      </c>
      <c r="B207" s="24" t="s">
        <v>155</v>
      </c>
      <c r="C207" s="280" t="s">
        <v>119</v>
      </c>
      <c r="D207" s="301"/>
      <c r="E207" s="178"/>
      <c r="F207" s="179">
        <f>+INDEX('Budget original'!$A$2:$AO$500,MATCH($A207,'Budget original'!$A$2:$A$500,0),MATCH(F$2,'Budget original'!$A$2:$AO$2,0))</f>
        <v>4528.7844353059172</v>
      </c>
      <c r="G207" s="302"/>
      <c r="H207" s="178"/>
      <c r="I207" s="179">
        <f>+INDEX('Budget révisé'!$A$2:$AO$500,MATCH($A207,'Budget révisé'!$A$2:$A$500,0),MATCH(I$2,'Budget révisé'!$A$2:$AO$2,0))</f>
        <v>4528.7844353059172</v>
      </c>
      <c r="J207" s="303"/>
      <c r="K207" s="178"/>
      <c r="L207" s="180">
        <f>SUMIFS(BV_Data_An_Cour!$O:$O,BV_Data_An_Cour!$U:$U,$B207,BV_Data_An_Cour!$V:$V,$C207,BV_Data_An_Cour!$W:$W,$L$2)</f>
        <v>4298.3</v>
      </c>
      <c r="M207" s="303"/>
      <c r="N207" s="304">
        <f t="shared" si="110"/>
        <v>-230.48443530591703</v>
      </c>
      <c r="O207" s="303"/>
      <c r="P207" s="178"/>
      <c r="Q207" s="180">
        <f>SUMIFS(BV_Data_An_Prec!$O:$O,BV_Data_An_Prec!$U:$U,$B207,BV_Data_An_Prec!$V:$V,$C207,BV_Data_An_Prec!$W:$W,$L$2)</f>
        <v>0</v>
      </c>
      <c r="R207" s="303"/>
      <c r="S207" s="199">
        <f t="shared" si="111"/>
        <v>4298.3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
        <v>3426</v>
      </c>
      <c r="B208" s="24" t="s">
        <v>155</v>
      </c>
      <c r="C208" s="291" t="s">
        <v>42</v>
      </c>
      <c r="D208" s="307"/>
      <c r="E208" s="308"/>
      <c r="F208" s="179">
        <f>+INDEX('Budget original'!$A$2:$AO$500,MATCH($A208,'Budget original'!$A$2:$A$500,0),MATCH(F$2,'Budget original'!$A$2:$AO$2,0))</f>
        <v>0</v>
      </c>
      <c r="G208" s="309"/>
      <c r="H208" s="308"/>
      <c r="I208" s="179">
        <f>+INDEX('Budget révisé'!$A$2:$AO$500,MATCH($A208,'Budget révisé'!$A$2:$A$500,0),MATCH(I$2,'Budget révisé'!$A$2:$AO$2,0))</f>
        <v>0</v>
      </c>
      <c r="J208" s="310"/>
      <c r="K208" s="308"/>
      <c r="L208" s="180">
        <f>SUMIFS(BV_Data_An_Cour!$O:$O,BV_Data_An_Cour!$U:$U,$B208,BV_Data_An_Cour!$V:$V,$C208,BV_Data_An_Cour!$W:$W,$L$2)</f>
        <v>0</v>
      </c>
      <c r="M208" s="310"/>
      <c r="N208" s="311">
        <f t="shared" si="110"/>
        <v>0</v>
      </c>
      <c r="O208" s="310"/>
      <c r="P208" s="308"/>
      <c r="Q208" s="180">
        <f>SUMIFS(BV_Data_An_Prec!$O:$O,BV_Data_An_Prec!$U:$U,$B208,BV_Data_An_Prec!$V:$V,$C208,BV_Data_An_Prec!$W:$W,$L$2)</f>
        <v>0</v>
      </c>
      <c r="R208" s="310"/>
      <c r="S208" s="202">
        <f t="shared" si="111"/>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
        <v>3431</v>
      </c>
      <c r="B209" s="24" t="s">
        <v>155</v>
      </c>
      <c r="C209" s="298" t="s">
        <v>120</v>
      </c>
      <c r="D209" s="39" t="s">
        <v>170</v>
      </c>
      <c r="E209" s="40">
        <f>F209/F$193</f>
        <v>0.82674871365429625</v>
      </c>
      <c r="F209" s="41">
        <f>+SUM(F197:F208)</f>
        <v>104167.89037168026</v>
      </c>
      <c r="G209" s="42" t="s">
        <v>170</v>
      </c>
      <c r="H209" s="40">
        <f>I209/I$193</f>
        <v>0.82674871365429625</v>
      </c>
      <c r="I209" s="41">
        <f>+SUM(I197:I208)</f>
        <v>104167.89037168026</v>
      </c>
      <c r="J209" s="42" t="s">
        <v>170</v>
      </c>
      <c r="K209" s="40">
        <f>L209/L$193</f>
        <v>0.76531260074561358</v>
      </c>
      <c r="L209" s="41">
        <f>+SUM(L197:L208)</f>
        <v>96641.540000000008</v>
      </c>
      <c r="M209" s="43"/>
      <c r="N209" s="46">
        <f t="shared" ref="N209:N227" si="114">L209-I209</f>
        <v>-7526.3503716802516</v>
      </c>
      <c r="O209" s="42" t="s">
        <v>170</v>
      </c>
      <c r="P209" s="40">
        <f>Q209/Q$193</f>
        <v>0.76890431134938775</v>
      </c>
      <c r="Q209" s="41">
        <f>+SUM(Q197:Q208)</f>
        <v>83100.210000000006</v>
      </c>
      <c r="R209" s="43"/>
      <c r="S209" s="299">
        <f t="shared" si="111"/>
        <v>13541.330000000002</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
        <v>3432</v>
      </c>
      <c r="B210" s="24" t="s">
        <v>155</v>
      </c>
      <c r="C210" s="550" t="s">
        <v>121</v>
      </c>
      <c r="D210" s="301"/>
      <c r="E210" s="178"/>
      <c r="F210" s="179">
        <f>+INDEX('Budget original'!$A$2:$AO$500,MATCH($A210,'Budget original'!$A$2:$A$500,0),MATCH(F$2,'Budget original'!$A$2:$AO$2,0))</f>
        <v>6918.7625000000007</v>
      </c>
      <c r="G210" s="302"/>
      <c r="H210" s="178"/>
      <c r="I210" s="179">
        <f>+INDEX('Budget révisé'!$A$2:$AO$500,MATCH($A210,'Budget révisé'!$A$2:$A$500,0),MATCH(I$2,'Budget révisé'!$A$2:$AO$2,0))</f>
        <v>6918.7625000000007</v>
      </c>
      <c r="J210" s="303"/>
      <c r="K210" s="178"/>
      <c r="L210" s="281">
        <f>SUMIFS(BV_Data_An_Cour!$O:$O,BV_Data_An_Cour!$U:$U,$B210,BV_Data_An_Cour!$V:$V,$C210,BV_Data_An_Cour!$W:$W,$L$2)</f>
        <v>6918.89</v>
      </c>
      <c r="M210" s="303"/>
      <c r="N210" s="304">
        <f t="shared" si="114"/>
        <v>0.12749999999959982</v>
      </c>
      <c r="O210" s="303"/>
      <c r="P210" s="178"/>
      <c r="Q210" s="180">
        <f>SUMIFS(BV_Data_An_Prec!$O:$O,BV_Data_An_Prec!$U:$U,$B210,BV_Data_An_Prec!$V:$V,$C210,BV_Data_An_Prec!$W:$W,$L$2)</f>
        <v>5848.16</v>
      </c>
      <c r="R210" s="303"/>
      <c r="S210" s="199">
        <f t="shared" si="111"/>
        <v>1070.7300000000005</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
        <v>3433</v>
      </c>
      <c r="B211" s="24" t="s">
        <v>155</v>
      </c>
      <c r="C211" s="264" t="s">
        <v>122</v>
      </c>
      <c r="D211" s="301"/>
      <c r="E211" s="178"/>
      <c r="F211" s="179">
        <f>+INDEX('Budget original'!$A$2:$AO$500,MATCH($A211,'Budget original'!$A$2:$A$500,0),MATCH(F$2,'Budget original'!$A$2:$AO$2,0))</f>
        <v>1689.1255826109561</v>
      </c>
      <c r="G211" s="302"/>
      <c r="H211" s="178"/>
      <c r="I211" s="179">
        <f>+INDEX('Budget révisé'!$A$2:$AO$500,MATCH($A211,'Budget révisé'!$A$2:$A$500,0),MATCH(I$2,'Budget révisé'!$A$2:$AO$2,0))</f>
        <v>1689.1255826109561</v>
      </c>
      <c r="J211" s="303"/>
      <c r="K211" s="178"/>
      <c r="L211" s="969">
        <f>SUMIFS(BV_Data_An_Cour!$O:$O,BV_Data_An_Cour!$U:$U,$B211,BV_Data_An_Cour!$V:$V,$C211,BV_Data_An_Cour!$W:$W,$L$2)</f>
        <v>2046.25</v>
      </c>
      <c r="M211" s="303"/>
      <c r="N211" s="304">
        <f t="shared" si="114"/>
        <v>357.12441738904386</v>
      </c>
      <c r="O211" s="303"/>
      <c r="P211" s="178"/>
      <c r="Q211" s="180">
        <f>SUMIFS(BV_Data_An_Prec!$O:$O,BV_Data_An_Prec!$U:$U,$B211,BV_Data_An_Prec!$V:$V,$C211,BV_Data_An_Prec!$W:$W,$L$2)</f>
        <v>166.99</v>
      </c>
      <c r="R211" s="303"/>
      <c r="S211" s="199">
        <f t="shared" si="111"/>
        <v>1879.26</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
        <v>3434</v>
      </c>
      <c r="B212" s="24" t="s">
        <v>155</v>
      </c>
      <c r="C212" s="326" t="s">
        <v>123</v>
      </c>
      <c r="D212" s="307"/>
      <c r="E212" s="308"/>
      <c r="F212" s="177">
        <f>+INDEX('Budget original'!$A$2:$AO$500,MATCH($A212,'Budget original'!$A$2:$A$500,0),MATCH(F$2,'Budget original'!$A$2:$AO$2,0))</f>
        <v>9419.0644444444442</v>
      </c>
      <c r="G212" s="309"/>
      <c r="H212" s="308"/>
      <c r="I212" s="177">
        <f>+INDEX('Budget révisé'!$A$2:$AO$500,MATCH($A212,'Budget révisé'!$A$2:$A$500,0),MATCH(I$2,'Budget révisé'!$A$2:$AO$2,0))</f>
        <v>9419.0644444444442</v>
      </c>
      <c r="J212" s="310"/>
      <c r="K212" s="308"/>
      <c r="L212" s="180">
        <f>SUMIFS(BV_Data_An_Cour!$O:$O,BV_Data_An_Cour!$U:$U,$B212,BV_Data_An_Cour!$V:$V,$C212,BV_Data_An_Cour!$W:$W,$L$2)</f>
        <v>8878.3700000000008</v>
      </c>
      <c r="M212" s="310"/>
      <c r="N212" s="311">
        <f t="shared" si="114"/>
        <v>-540.69444444444343</v>
      </c>
      <c r="O212" s="310"/>
      <c r="P212" s="308"/>
      <c r="Q212" s="180">
        <f>SUMIFS(BV_Data_An_Prec!$O:$O,BV_Data_An_Prec!$U:$U,$B212,BV_Data_An_Prec!$V:$V,$C212,BV_Data_An_Prec!$W:$W,$L$2)</f>
        <v>12067.73</v>
      </c>
      <c r="R212" s="310"/>
      <c r="S212" s="202">
        <f t="shared" si="111"/>
        <v>-3189.3599999999988</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
        <v>3435</v>
      </c>
      <c r="B213" s="24" t="s">
        <v>155</v>
      </c>
      <c r="C213" s="264" t="s">
        <v>124</v>
      </c>
      <c r="D213" s="301"/>
      <c r="E213" s="178"/>
      <c r="F213" s="179">
        <f>+INDEX('Budget original'!$A$2:$AO$500,MATCH($A213,'Budget original'!$A$2:$A$500,0),MATCH(F$2,'Budget original'!$A$2:$AO$2,0))</f>
        <v>5968.7398199999989</v>
      </c>
      <c r="G213" s="302"/>
      <c r="H213" s="178"/>
      <c r="I213" s="179">
        <f>+INDEX('Budget révisé'!$A$2:$AO$500,MATCH($A213,'Budget révisé'!$A$2:$A$500,0),MATCH(I$2,'Budget révisé'!$A$2:$AO$2,0))</f>
        <v>5968.7398199999989</v>
      </c>
      <c r="J213" s="303"/>
      <c r="K213" s="178"/>
      <c r="L213" s="181">
        <f>SUMIFS(BV_Data_An_Cour!$O:$O,BV_Data_An_Cour!$U:$U,$B213,BV_Data_An_Cour!$V:$V,$C213,BV_Data_An_Cour!$W:$W,$L$2)</f>
        <v>5969.17</v>
      </c>
      <c r="M213" s="303"/>
      <c r="N213" s="304">
        <f t="shared" si="114"/>
        <v>0.43018000000120082</v>
      </c>
      <c r="O213" s="303"/>
      <c r="P213" s="178"/>
      <c r="Q213" s="181">
        <f>SUMIFS(BV_Data_An_Prec!$O:$O,BV_Data_An_Prec!$U:$U,$B213,BV_Data_An_Prec!$V:$V,$C213,BV_Data_An_Prec!$W:$W,$L$2)</f>
        <v>3947.31</v>
      </c>
      <c r="R213" s="303"/>
      <c r="S213" s="199">
        <f t="shared" si="111"/>
        <v>2021.8600000000001</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
        <v>3436</v>
      </c>
      <c r="B214" s="24" t="s">
        <v>155</v>
      </c>
      <c r="C214" s="264" t="s">
        <v>125</v>
      </c>
      <c r="D214" s="301"/>
      <c r="E214" s="178"/>
      <c r="F214" s="179">
        <f>+INDEX('Budget original'!$A$2:$AO$500,MATCH($A214,'Budget original'!$A$2:$A$500,0),MATCH(F$2,'Budget original'!$A$2:$AO$2,0))</f>
        <v>594.10635000000002</v>
      </c>
      <c r="G214" s="302"/>
      <c r="H214" s="178"/>
      <c r="I214" s="179">
        <f>+INDEX('Budget révisé'!$A$2:$AO$500,MATCH($A214,'Budget révisé'!$A$2:$A$500,0),MATCH(I$2,'Budget révisé'!$A$2:$AO$2,0))</f>
        <v>594.10635000000002</v>
      </c>
      <c r="J214" s="303"/>
      <c r="K214" s="178"/>
      <c r="L214" s="180">
        <f>SUMIFS(BV_Data_An_Cour!$O:$O,BV_Data_An_Cour!$U:$U,$B214,BV_Data_An_Cour!$V:$V,$C214,BV_Data_An_Cour!$W:$W,$L$2)</f>
        <v>220.32</v>
      </c>
      <c r="M214" s="303"/>
      <c r="N214" s="304">
        <f t="shared" si="114"/>
        <v>-373.78635000000003</v>
      </c>
      <c r="O214" s="303"/>
      <c r="P214" s="178"/>
      <c r="Q214" s="180">
        <f>SUMIFS(BV_Data_An_Prec!$O:$O,BV_Data_An_Prec!$U:$U,$B214,BV_Data_An_Prec!$V:$V,$C214,BV_Data_An_Prec!$W:$W,$L$2)</f>
        <v>46.51</v>
      </c>
      <c r="R214" s="303"/>
      <c r="S214" s="199">
        <f t="shared" si="111"/>
        <v>173.81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
        <v>3437</v>
      </c>
      <c r="B215" s="24" t="s">
        <v>155</v>
      </c>
      <c r="C215" s="326" t="s">
        <v>126</v>
      </c>
      <c r="D215" s="307"/>
      <c r="E215" s="308"/>
      <c r="F215" s="177">
        <f>+INDEX('Budget original'!$A$2:$AO$500,MATCH($A215,'Budget original'!$A$2:$A$500,0),MATCH(F$2,'Budget original'!$A$2:$AO$2,0))</f>
        <v>3066.5413333333331</v>
      </c>
      <c r="G215" s="309"/>
      <c r="H215" s="308"/>
      <c r="I215" s="177">
        <f>+INDEX('Budget révisé'!$A$2:$AO$500,MATCH($A215,'Budget révisé'!$A$2:$A$500,0),MATCH(I$2,'Budget révisé'!$A$2:$AO$2,0))</f>
        <v>3066.5413333333331</v>
      </c>
      <c r="J215" s="310"/>
      <c r="K215" s="308"/>
      <c r="L215" s="180">
        <f>SUMIFS(BV_Data_An_Cour!$O:$O,BV_Data_An_Cour!$U:$U,$B215,BV_Data_An_Cour!$V:$V,$C215,BV_Data_An_Cour!$W:$W,$L$2)</f>
        <v>3066.56</v>
      </c>
      <c r="M215" s="310"/>
      <c r="N215" s="311">
        <f t="shared" si="114"/>
        <v>1.8666666666831588E-2</v>
      </c>
      <c r="O215" s="310"/>
      <c r="P215" s="308"/>
      <c r="Q215" s="180">
        <f>SUMIFS(BV_Data_An_Prec!$O:$O,BV_Data_An_Prec!$U:$U,$B215,BV_Data_An_Prec!$V:$V,$C215,BV_Data_An_Prec!$W:$W,$L$2)</f>
        <v>1597.88</v>
      </c>
      <c r="R215" s="310"/>
      <c r="S215" s="202">
        <f t="shared" si="111"/>
        <v>1468.6799999999998</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
        <v>3438</v>
      </c>
      <c r="B216" s="24" t="s">
        <v>155</v>
      </c>
      <c r="C216" s="264" t="s">
        <v>1993</v>
      </c>
      <c r="D216" s="301"/>
      <c r="E216" s="178"/>
      <c r="F216" s="179"/>
      <c r="G216" s="302"/>
      <c r="H216" s="178"/>
      <c r="I216" s="179"/>
      <c r="J216" s="303"/>
      <c r="K216" s="178"/>
      <c r="L216" s="181">
        <f>SUMIFS(BV_Data_An_Cour!$O:$O,BV_Data_An_Cour!$U:$U,$B216,BV_Data_An_Cour!$V:$V,$C216,BV_Data_An_Cour!$W:$W,$L$2)</f>
        <v>0</v>
      </c>
      <c r="M216" s="303"/>
      <c r="N216" s="304">
        <f t="shared" ref="N216" si="115">L216-I216</f>
        <v>0</v>
      </c>
      <c r="O216" s="303"/>
      <c r="P216" s="178"/>
      <c r="Q216" s="181">
        <f>SUMIFS(BV_Data_An_Prec!$O:$O,BV_Data_An_Prec!$U:$U,$B216,BV_Data_An_Prec!$V:$V,$C216,BV_Data_An_Prec!$W:$W,$L$2)</f>
        <v>0</v>
      </c>
      <c r="R216" s="303"/>
      <c r="S216" s="199">
        <f t="shared" ref="S216" si="116">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
        <v>3439</v>
      </c>
      <c r="B217" s="24" t="s">
        <v>155</v>
      </c>
      <c r="C217" s="264" t="s">
        <v>127</v>
      </c>
      <c r="D217" s="301"/>
      <c r="E217" s="178"/>
      <c r="F217" s="179">
        <f>+INDEX('Budget original'!$A$2:$AO$500,MATCH($A217,'Budget original'!$A$2:$A$500,0),MATCH(F$2,'Budget original'!$A$2:$AO$2,0))</f>
        <v>676.75071264083272</v>
      </c>
      <c r="G217" s="302"/>
      <c r="H217" s="178"/>
      <c r="I217" s="179">
        <f>+INDEX('Budget révisé'!$A$2:$AO$500,MATCH($A217,'Budget révisé'!$A$2:$A$500,0),MATCH(I$2,'Budget révisé'!$A$2:$AO$2,0))</f>
        <v>676.75071264083272</v>
      </c>
      <c r="J217" s="303"/>
      <c r="K217" s="178"/>
      <c r="L217" s="281">
        <f>SUMIFS(BV_Data_An_Cour!$O:$O,BV_Data_An_Cour!$U:$U,$B217,BV_Data_An_Cour!$V:$V,$C217,BV_Data_An_Cour!$W:$W,$L$2)</f>
        <v>2303.73</v>
      </c>
      <c r="M217" s="303"/>
      <c r="N217" s="304">
        <f t="shared" si="114"/>
        <v>1626.9792873591673</v>
      </c>
      <c r="O217" s="303"/>
      <c r="P217" s="178"/>
      <c r="Q217" s="180">
        <f>SUMIFS(BV_Data_An_Prec!$O:$O,BV_Data_An_Prec!$U:$U,$B217,BV_Data_An_Prec!$V:$V,$C217,BV_Data_An_Prec!$W:$W,$L$2)</f>
        <v>2168.02</v>
      </c>
      <c r="R217" s="303"/>
      <c r="S217" s="199">
        <f t="shared" si="111"/>
        <v>135.71000000000004</v>
      </c>
      <c r="T217" s="233"/>
      <c r="U217" s="222" t="s">
        <v>3298</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
        <v>3440</v>
      </c>
      <c r="B218" s="24" t="s">
        <v>155</v>
      </c>
      <c r="C218" s="264" t="s">
        <v>128</v>
      </c>
      <c r="D218" s="301"/>
      <c r="E218" s="178"/>
      <c r="F218" s="179">
        <f>+INDEX('Budget original'!$A$2:$AO$500,MATCH($A218,'Budget original'!$A$2:$A$500,0),MATCH(F$2,'Budget original'!$A$2:$AO$2,0))</f>
        <v>359.60753842221726</v>
      </c>
      <c r="G218" s="302"/>
      <c r="H218" s="178"/>
      <c r="I218" s="179">
        <f>+INDEX('Budget révisé'!$A$2:$AO$500,MATCH($A218,'Budget révisé'!$A$2:$A$500,0),MATCH(I$2,'Budget révisé'!$A$2:$AO$2,0))</f>
        <v>359.60753842221726</v>
      </c>
      <c r="J218" s="303"/>
      <c r="K218" s="178"/>
      <c r="L218" s="180">
        <f>SUMIFS(BV_Data_An_Cour!$O:$O,BV_Data_An_Cour!$U:$U,$B218,BV_Data_An_Cour!$V:$V,$C218,BV_Data_An_Cour!$W:$W,$L$2)</f>
        <v>635.27</v>
      </c>
      <c r="M218" s="303"/>
      <c r="N218" s="304">
        <f t="shared" si="114"/>
        <v>275.66246157778272</v>
      </c>
      <c r="O218" s="303"/>
      <c r="P218" s="178"/>
      <c r="Q218" s="180">
        <f>SUMIFS(BV_Data_An_Prec!$O:$O,BV_Data_An_Prec!$U:$U,$B218,BV_Data_An_Prec!$V:$V,$C218,BV_Data_An_Prec!$W:$W,$L$2)</f>
        <v>509.73</v>
      </c>
      <c r="R218" s="303"/>
      <c r="S218" s="199">
        <f t="shared" si="111"/>
        <v>125.53999999999996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
        <v>3441</v>
      </c>
      <c r="B219" s="24" t="s">
        <v>155</v>
      </c>
      <c r="C219" s="264" t="s">
        <v>129</v>
      </c>
      <c r="D219" s="301"/>
      <c r="E219" s="178"/>
      <c r="F219" s="179">
        <f>+INDEX('Budget original'!$A$2:$AO$500,MATCH($A219,'Budget original'!$A$2:$A$500,0),MATCH(F$2,'Budget original'!$A$2:$AO$2,0))</f>
        <v>489.64823999999999</v>
      </c>
      <c r="G219" s="302"/>
      <c r="H219" s="178"/>
      <c r="I219" s="179">
        <f>+INDEX('Budget révisé'!$A$2:$AO$500,MATCH($A219,'Budget révisé'!$A$2:$A$500,0),MATCH(I$2,'Budget révisé'!$A$2:$AO$2,0))</f>
        <v>489.64823999999999</v>
      </c>
      <c r="J219" s="303"/>
      <c r="K219" s="178"/>
      <c r="L219" s="974">
        <f>SUMIFS(BV_Data_An_Cour!$O:$O,BV_Data_An_Cour!$U:$U,$B219,BV_Data_An_Cour!$V:$V,$C219,BV_Data_An_Cour!$W:$W,$L$2)</f>
        <v>634.44000000000005</v>
      </c>
      <c r="M219" s="303"/>
      <c r="N219" s="304">
        <f t="shared" si="114"/>
        <v>144.79176000000007</v>
      </c>
      <c r="O219" s="303"/>
      <c r="P219" s="178"/>
      <c r="Q219" s="554">
        <f>SUMIFS(BV_Data_An_Prec!$O:$O,BV_Data_An_Prec!$U:$U,$B219,BV_Data_An_Prec!$V:$V,$C219,BV_Data_An_Prec!$W:$W,$L$2)</f>
        <v>186.65</v>
      </c>
      <c r="R219" s="303"/>
      <c r="S219" s="199">
        <f t="shared" si="111"/>
        <v>447.79000000000008</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
        <v>3442</v>
      </c>
      <c r="B220" s="24" t="s">
        <v>155</v>
      </c>
      <c r="C220" s="264" t="s">
        <v>130</v>
      </c>
      <c r="D220" s="301"/>
      <c r="E220" s="178"/>
      <c r="F220" s="179">
        <f>+INDEX('Budget original'!$A$2:$AO$500,MATCH($A220,'Budget original'!$A$2:$A$500,0),MATCH(F$2,'Budget original'!$A$2:$AO$2,0))</f>
        <v>226.09839500000001</v>
      </c>
      <c r="G220" s="302"/>
      <c r="H220" s="178"/>
      <c r="I220" s="179">
        <f>+INDEX('Budget révisé'!$A$2:$AO$500,MATCH($A220,'Budget révisé'!$A$2:$A$500,0),MATCH(I$2,'Budget révisé'!$A$2:$AO$2,0))</f>
        <v>226.09839500000001</v>
      </c>
      <c r="J220" s="303"/>
      <c r="K220" s="178"/>
      <c r="L220" s="281">
        <f>SUMIFS(BV_Data_An_Cour!$O:$O,BV_Data_An_Cour!$U:$U,$B220,BV_Data_An_Cour!$V:$V,$C220,BV_Data_An_Cour!$W:$W,$L$2)</f>
        <v>255.6</v>
      </c>
      <c r="M220" s="303"/>
      <c r="N220" s="304">
        <f t="shared" si="114"/>
        <v>29.501604999999984</v>
      </c>
      <c r="O220" s="303"/>
      <c r="P220" s="178"/>
      <c r="Q220" s="180">
        <f>SUMIFS(BV_Data_An_Prec!$O:$O,BV_Data_An_Prec!$U:$U,$B220,BV_Data_An_Prec!$V:$V,$C220,BV_Data_An_Prec!$W:$W,$L$2)</f>
        <v>404.01</v>
      </c>
      <c r="R220" s="303"/>
      <c r="S220" s="199">
        <f t="shared" si="111"/>
        <v>-148.41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
        <v>3443</v>
      </c>
      <c r="B221" s="24" t="s">
        <v>155</v>
      </c>
      <c r="C221" s="264" t="s">
        <v>131</v>
      </c>
      <c r="D221" s="301"/>
      <c r="E221" s="178"/>
      <c r="F221" s="179">
        <f>+INDEX('Budget original'!$A$2:$AO$500,MATCH($A221,'Budget original'!$A$2:$A$500,0),MATCH(F$2,'Budget original'!$A$2:$AO$2,0))</f>
        <v>120.68780499999997</v>
      </c>
      <c r="G221" s="302"/>
      <c r="H221" s="178"/>
      <c r="I221" s="179">
        <f>+INDEX('Budget révisé'!$A$2:$AO$500,MATCH($A221,'Budget révisé'!$A$2:$A$500,0),MATCH(I$2,'Budget révisé'!$A$2:$AO$2,0))</f>
        <v>120.68780499999997</v>
      </c>
      <c r="J221" s="303"/>
      <c r="K221" s="178"/>
      <c r="L221" s="281">
        <f>SUMIFS(BV_Data_An_Cour!$O:$O,BV_Data_An_Cour!$U:$U,$B221,BV_Data_An_Cour!$V:$V,$C221,BV_Data_An_Cour!$W:$W,$L$2)</f>
        <v>36.42</v>
      </c>
      <c r="M221" s="303"/>
      <c r="N221" s="304">
        <f t="shared" si="114"/>
        <v>-84.267804999999967</v>
      </c>
      <c r="O221" s="303"/>
      <c r="P221" s="178"/>
      <c r="Q221" s="180">
        <f>SUMIFS(BV_Data_An_Prec!$O:$O,BV_Data_An_Prec!$U:$U,$B221,BV_Data_An_Prec!$V:$V,$C221,BV_Data_An_Prec!$W:$W,$L$2)</f>
        <v>48.91</v>
      </c>
      <c r="R221" s="303"/>
      <c r="S221" s="199">
        <f t="shared" si="111"/>
        <v>-12.489999999999995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
        <v>3444</v>
      </c>
      <c r="B222" s="24" t="s">
        <v>155</v>
      </c>
      <c r="C222" s="264" t="s">
        <v>132</v>
      </c>
      <c r="D222" s="301"/>
      <c r="E222" s="178"/>
      <c r="F222" s="179">
        <f>+INDEX('Budget original'!$A$2:$AO$500,MATCH($A222,'Budget original'!$A$2:$A$500,0),MATCH(F$2,'Budget original'!$A$2:$AO$2,0))</f>
        <v>582.1751949999998</v>
      </c>
      <c r="G222" s="302"/>
      <c r="H222" s="178"/>
      <c r="I222" s="179">
        <f>+INDEX('Budget révisé'!$A$2:$AO$500,MATCH($A222,'Budget révisé'!$A$2:$A$500,0),MATCH(I$2,'Budget révisé'!$A$2:$AO$2,0))</f>
        <v>582.1751949999998</v>
      </c>
      <c r="J222" s="303"/>
      <c r="K222" s="178"/>
      <c r="L222" s="281">
        <f>SUMIFS(BV_Data_An_Cour!$O:$O,BV_Data_An_Cour!$U:$U,$B222,BV_Data_An_Cour!$V:$V,$C222,BV_Data_An_Cour!$W:$W,$L$2)</f>
        <v>248.54</v>
      </c>
      <c r="M222" s="303"/>
      <c r="N222" s="304">
        <f t="shared" si="114"/>
        <v>-333.63519499999984</v>
      </c>
      <c r="O222" s="303"/>
      <c r="P222" s="178"/>
      <c r="Q222" s="180">
        <f>SUMIFS(BV_Data_An_Prec!$O:$O,BV_Data_An_Prec!$U:$U,$B222,BV_Data_An_Prec!$V:$V,$C222,BV_Data_An_Prec!$W:$W,$L$2)</f>
        <v>189.22</v>
      </c>
      <c r="R222" s="303"/>
      <c r="S222" s="199">
        <f t="shared" si="111"/>
        <v>59.319999999999993</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
        <v>3445</v>
      </c>
      <c r="B223" s="24" t="s">
        <v>155</v>
      </c>
      <c r="C223" s="264" t="s">
        <v>133</v>
      </c>
      <c r="D223" s="301"/>
      <c r="E223" s="178"/>
      <c r="F223" s="179">
        <f>+INDEX('Budget original'!$A$2:$AO$500,MATCH($A223,'Budget original'!$A$2:$A$500,0),MATCH(F$2,'Budget original'!$A$2:$AO$2,0))</f>
        <v>864.94219999999996</v>
      </c>
      <c r="G223" s="302"/>
      <c r="H223" s="178"/>
      <c r="I223" s="179">
        <f>+INDEX('Budget révisé'!$A$2:$AO$500,MATCH($A223,'Budget révisé'!$A$2:$A$500,0),MATCH(I$2,'Budget révisé'!$A$2:$AO$2,0))</f>
        <v>864.94219999999996</v>
      </c>
      <c r="J223" s="303"/>
      <c r="K223" s="178"/>
      <c r="L223" s="281">
        <f>SUMIFS(BV_Data_An_Cour!$O:$O,BV_Data_An_Cour!$U:$U,$B223,BV_Data_An_Cour!$V:$V,$C223,BV_Data_An_Cour!$W:$W,$L$2)</f>
        <v>76.56</v>
      </c>
      <c r="M223" s="303"/>
      <c r="N223" s="304">
        <f t="shared" si="114"/>
        <v>-788.38220000000001</v>
      </c>
      <c r="O223" s="303"/>
      <c r="P223" s="178"/>
      <c r="Q223" s="180">
        <f>SUMIFS(BV_Data_An_Prec!$O:$O,BV_Data_An_Prec!$U:$U,$B223,BV_Data_An_Prec!$V:$V,$C223,BV_Data_An_Prec!$W:$W,$L$2)</f>
        <v>708.75</v>
      </c>
      <c r="R223" s="303"/>
      <c r="S223" s="199">
        <f t="shared" si="111"/>
        <v>-632.19000000000005</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
        <v>3446</v>
      </c>
      <c r="B224" s="24" t="s">
        <v>155</v>
      </c>
      <c r="C224" s="264" t="s">
        <v>134</v>
      </c>
      <c r="D224" s="301"/>
      <c r="E224" s="178"/>
      <c r="F224" s="179">
        <f>+INDEX('Budget original'!$A$2:$AO$500,MATCH($A224,'Budget original'!$A$2:$A$500,0),MATCH(F$2,'Budget original'!$A$2:$AO$2,0))</f>
        <v>1262.4279517546465</v>
      </c>
      <c r="G224" s="302"/>
      <c r="H224" s="178"/>
      <c r="I224" s="179">
        <f>+INDEX('Budget révisé'!$A$2:$AO$500,MATCH($A224,'Budget révisé'!$A$2:$A$500,0),MATCH(I$2,'Budget révisé'!$A$2:$AO$2,0))</f>
        <v>1262.4279517546465</v>
      </c>
      <c r="J224" s="303"/>
      <c r="K224" s="178"/>
      <c r="L224" s="281">
        <f>AF447*W5</f>
        <v>1120.7250000000001</v>
      </c>
      <c r="M224" s="303"/>
      <c r="N224" s="304">
        <f t="shared" si="114"/>
        <v>-141.70295175464639</v>
      </c>
      <c r="O224" s="303"/>
      <c r="P224" s="178"/>
      <c r="Q224" s="281">
        <f>AL447*W5</f>
        <v>963.2745000000001</v>
      </c>
      <c r="R224" s="303"/>
      <c r="S224" s="199">
        <f t="shared" si="111"/>
        <v>157.45050000000003</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
        <v>3426</v>
      </c>
      <c r="B225" s="24" t="s">
        <v>155</v>
      </c>
      <c r="C225" s="264" t="s">
        <v>42</v>
      </c>
      <c r="D225" s="301"/>
      <c r="E225" s="178"/>
      <c r="F225" s="179">
        <f>+INDEX('Budget original'!$A$2:$AO$500,MATCH($A225,'Budget original'!$A$2:$A$500,0),MATCH(F$2,'Budget original'!$A$2:$AO$2,0))</f>
        <v>0</v>
      </c>
      <c r="G225" s="302"/>
      <c r="H225" s="178"/>
      <c r="I225" s="179">
        <f>+INDEX('Budget révisé'!$A$2:$AO$500,MATCH($A225,'Budget révisé'!$A$2:$A$500,0),MATCH(I$2,'Budget révisé'!$A$2:$AO$2,0))</f>
        <v>0</v>
      </c>
      <c r="J225" s="303"/>
      <c r="K225" s="178"/>
      <c r="L225" s="281">
        <f>SUMIFS(BV_Data_An_Cour!$O:$O,BV_Data_An_Cour!$U:$U,$B225,BV_Data_An_Cour!$V:$V,$C225,BV_Data_An_Cour!$W:$W,$L$2)</f>
        <v>0</v>
      </c>
      <c r="M225" s="303"/>
      <c r="N225" s="304">
        <f t="shared" si="114"/>
        <v>0</v>
      </c>
      <c r="O225" s="303"/>
      <c r="P225" s="178"/>
      <c r="Q225" s="180">
        <f>SUMIFS(BV_Data_An_Prec!$O:$O,BV_Data_An_Prec!$U:$U,$B225,BV_Data_An_Prec!$V:$V,$C225,BV_Data_An_Prec!$W:$W,$L$2)</f>
        <v>0</v>
      </c>
      <c r="R225" s="303"/>
      <c r="S225" s="199">
        <f t="shared" si="111"/>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
        <v>3426</v>
      </c>
      <c r="B226" s="24" t="s">
        <v>155</v>
      </c>
      <c r="C226" s="264" t="s">
        <v>42</v>
      </c>
      <c r="D226" s="301"/>
      <c r="E226" s="178"/>
      <c r="F226" s="179">
        <f>+INDEX('Budget original'!$A$2:$AO$500,MATCH($A226,'Budget original'!$A$2:$A$500,0),MATCH(F$2,'Budget original'!$A$2:$AO$2,0))</f>
        <v>0</v>
      </c>
      <c r="G226" s="302"/>
      <c r="H226" s="178"/>
      <c r="I226" s="179">
        <f>+INDEX('Budget révisé'!$A$2:$AO$500,MATCH($A226,'Budget révisé'!$A$2:$A$500,0),MATCH(I$2,'Budget révisé'!$A$2:$AO$2,0))</f>
        <v>0</v>
      </c>
      <c r="J226" s="303"/>
      <c r="K226" s="178"/>
      <c r="L226" s="281">
        <f>SUMIFS(BV_Data_An_Cour!$O:$O,BV_Data_An_Cour!$U:$U,$B226,BV_Data_An_Cour!$V:$V,$C226,BV_Data_An_Cour!$W:$W,$L$2)</f>
        <v>0</v>
      </c>
      <c r="M226" s="303"/>
      <c r="N226" s="304">
        <f t="shared" ref="N226" si="117">L226-I226</f>
        <v>0</v>
      </c>
      <c r="O226" s="303"/>
      <c r="P226" s="178"/>
      <c r="Q226" s="180">
        <f>SUMIFS(BV_Data_An_Prec!$O:$O,BV_Data_An_Prec!$U:$U,$B226,BV_Data_An_Prec!$V:$V,$C226,BV_Data_An_Prec!$W:$W,$L$2)</f>
        <v>0</v>
      </c>
      <c r="R226" s="303"/>
      <c r="S226" s="199">
        <f t="shared" ref="S226" si="11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
        <v>3426</v>
      </c>
      <c r="B227" s="24" t="s">
        <v>155</v>
      </c>
      <c r="C227" s="264" t="s">
        <v>42</v>
      </c>
      <c r="D227" s="301"/>
      <c r="E227" s="178"/>
      <c r="F227" s="179">
        <f>+INDEX('Budget original'!$A$2:$AO$500,MATCH($A227,'Budget original'!$A$2:$A$500,0),MATCH(F$2,'Budget original'!$A$2:$AO$2,0))</f>
        <v>0</v>
      </c>
      <c r="G227" s="302"/>
      <c r="H227" s="178"/>
      <c r="I227" s="179">
        <f>+INDEX('Budget révisé'!$A$2:$AO$500,MATCH($A227,'Budget révisé'!$A$2:$A$500,0),MATCH(I$2,'Budget révisé'!$A$2:$AO$2,0))</f>
        <v>0</v>
      </c>
      <c r="J227" s="303"/>
      <c r="K227" s="178"/>
      <c r="L227" s="281">
        <f>SUMIFS(BV_Data_An_Cour!$O:$O,BV_Data_An_Cour!$U:$U,$B227,BV_Data_An_Cour!$V:$V,$C227,BV_Data_An_Cour!$W:$W,$L$2)</f>
        <v>0</v>
      </c>
      <c r="M227" s="303"/>
      <c r="N227" s="304">
        <f t="shared" si="114"/>
        <v>0</v>
      </c>
      <c r="O227" s="303"/>
      <c r="P227" s="178"/>
      <c r="Q227" s="180">
        <f>SUMIFS(BV_Data_An_Prec!$O:$O,BV_Data_An_Prec!$U:$U,$B227,BV_Data_An_Prec!$V:$V,$C227,BV_Data_An_Prec!$W:$W,$L$2)</f>
        <v>0</v>
      </c>
      <c r="R227" s="303"/>
      <c r="S227" s="199">
        <f t="shared" si="111"/>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0.25586853614586369</v>
      </c>
      <c r="F228" s="41">
        <f>+SUM(F210:F227)</f>
        <v>32238.678068206427</v>
      </c>
      <c r="G228" s="42" t="s">
        <v>170</v>
      </c>
      <c r="H228" s="40">
        <f>I228/I$193</f>
        <v>0.25586853614586369</v>
      </c>
      <c r="I228" s="41">
        <f>+SUM(I210:I227)</f>
        <v>32238.678068206427</v>
      </c>
      <c r="J228" s="42" t="s">
        <v>170</v>
      </c>
      <c r="K228" s="40">
        <f>L228/L$193</f>
        <v>0.25666424685816225</v>
      </c>
      <c r="L228" s="41">
        <f>+SUM(L210:L227)</f>
        <v>32410.844999999998</v>
      </c>
      <c r="M228" s="44"/>
      <c r="N228" s="41">
        <f t="shared" ref="N228" si="119">L228-I228</f>
        <v>172.16693179357026</v>
      </c>
      <c r="O228" s="42" t="s">
        <v>170</v>
      </c>
      <c r="P228" s="40">
        <f>Q228/Q$193</f>
        <v>0.26697053114591252</v>
      </c>
      <c r="Q228" s="41">
        <f>+SUM(Q210:Q227)</f>
        <v>28853.144499999999</v>
      </c>
      <c r="R228" s="44"/>
      <c r="S228" s="316">
        <f t="shared" ref="S228" si="120">L228-Q228</f>
        <v>3557.700499999999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1.0826172498001598</v>
      </c>
      <c r="F230" s="41">
        <f>F209+F228</f>
        <v>136406.56843988667</v>
      </c>
      <c r="G230" s="42" t="s">
        <v>111</v>
      </c>
      <c r="H230" s="40">
        <f>I230/I$193</f>
        <v>1.0826172498001598</v>
      </c>
      <c r="I230" s="41">
        <f>I209+I228</f>
        <v>136406.56843988667</v>
      </c>
      <c r="J230" s="42" t="s">
        <v>111</v>
      </c>
      <c r="K230" s="40">
        <f>L230/L$193</f>
        <v>1.0219768476037758</v>
      </c>
      <c r="L230" s="41">
        <f>L209+L228</f>
        <v>129052.38500000001</v>
      </c>
      <c r="M230" s="44"/>
      <c r="N230" s="46">
        <f t="shared" ref="N230:N231" si="121">L230-I230</f>
        <v>-7354.1834398866631</v>
      </c>
      <c r="O230" s="42" t="s">
        <v>111</v>
      </c>
      <c r="P230" s="40">
        <f>Q230/Q$193</f>
        <v>1.0358748424953002</v>
      </c>
      <c r="Q230" s="41">
        <f>Q209+Q228</f>
        <v>111953.3545</v>
      </c>
      <c r="R230" s="44"/>
      <c r="S230" s="299">
        <f>L230-Q230</f>
        <v>17099.030500000008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1"/>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-10409.528890529837</v>
      </c>
      <c r="G232" s="344"/>
      <c r="H232" s="342"/>
      <c r="I232" s="343">
        <f>I193-I230</f>
        <v>-10409.528890529837</v>
      </c>
      <c r="J232" s="345"/>
      <c r="K232" s="346"/>
      <c r="L232" s="343">
        <f>L193-L230</f>
        <v>-2775.1750000000029</v>
      </c>
      <c r="M232" s="345"/>
      <c r="N232" s="343">
        <f>L232-I232</f>
        <v>7634.3538905298337</v>
      </c>
      <c r="O232" s="345"/>
      <c r="P232" s="346"/>
      <c r="Q232" s="343">
        <f>Q193-Q230</f>
        <v>-3877.2145000000164</v>
      </c>
      <c r="R232" s="345"/>
      <c r="S232" s="347">
        <f>L232-Q232</f>
        <v>1102.0395000000135</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Janvier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87" t="s">
        <v>77</v>
      </c>
      <c r="E237" s="1288"/>
      <c r="F237" s="1289"/>
      <c r="G237" s="1290" t="s">
        <v>145</v>
      </c>
      <c r="H237" s="1288"/>
      <c r="I237" s="1289"/>
      <c r="J237" s="1290" t="s">
        <v>79</v>
      </c>
      <c r="K237" s="1288"/>
      <c r="L237" s="1289"/>
      <c r="M237" s="1290" t="s">
        <v>80</v>
      </c>
      <c r="N237" s="1289"/>
      <c r="O237" s="1287" t="s">
        <v>81</v>
      </c>
      <c r="P237" s="1288"/>
      <c r="Q237" s="1289"/>
      <c r="R237" s="1290" t="s">
        <v>82</v>
      </c>
      <c r="S237" s="129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
        <v>171</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
        <v>171</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
        <v>3447</v>
      </c>
      <c r="B240" s="24" t="s">
        <v>171</v>
      </c>
      <c r="C240" s="550" t="s">
        <v>172</v>
      </c>
      <c r="D240" s="266">
        <f>+INDEX('Budget original'!$A$2:$AO$500,MATCH($A240,'Budget original'!$A$2:$A$500,0),MATCH(D$2,'Budget original'!$A$2:$AO$2,0))</f>
        <v>0</v>
      </c>
      <c r="E240" s="197">
        <f>+INDEX('Budget original'!$A$2:$AO$500,MATCH($A240,'Budget original'!$A$2:$A$500,0),MATCH(E$2,'Budget original'!$A$2:$AO$2,0))</f>
        <v>99111.473718427238</v>
      </c>
      <c r="F240" s="197">
        <f>+INDEX('Budget original'!$A$2:$AO$500,MATCH($A240,'Budget original'!$A$2:$A$500,0),MATCH(F$2,'Budget original'!$A$2:$AO$2,0))</f>
        <v>21923.551865834706</v>
      </c>
      <c r="G240" s="348">
        <f>+INDEX('Budget révisé'!$A$2:$AO$500,MATCH($A240,'Budget révisé'!$A$2:$A$500,0),MATCH(G$2,'Budget révisé'!$A$2:$AO$2,0))</f>
        <v>0</v>
      </c>
      <c r="H240" s="197">
        <f>+INDEX('Budget révisé'!$A$2:$AO$500,MATCH($A240,'Budget révisé'!$A$2:$A$500,0),MATCH(H$2,'Budget révisé'!$A$2:$AO$2,0))</f>
        <v>99111.473718427238</v>
      </c>
      <c r="I240" s="197">
        <f>+INDEX('Budget révisé'!$A$2:$AO$500,MATCH($A240,'Budget révisé'!$A$2:$A$500,0),MATCH(I$2,'Budget révisé'!$A$2:$AO$2,0))</f>
        <v>21923.551865834706</v>
      </c>
      <c r="J240" s="325">
        <f>-SUMIFS(BV_Data_An_Cour!$O:$O,BV_Data_An_Cour!$U:$U,$B240,BV_Data_An_Cour!$V:$V,$C240,BV_Data_An_Cour!$W:$W,J$2)</f>
        <v>49</v>
      </c>
      <c r="K240" s="179">
        <f>-SUMIFS(BV_Data_An_Cour!$O:$O,BV_Data_An_Cour!$X:$X,"Oui",BV_Data_An_Cour!$U:$U,$B240,BV_Data_An_Cour!$V:$V,$C240)</f>
        <v>88531.14</v>
      </c>
      <c r="L240" s="180">
        <f>-SUMIFS(BV_Data_An_Cour!$O:$O,BV_Data_An_Cour!$U:$U,$B240,BV_Data_An_Cour!$V:$V,$C240,BV_Data_An_Cour!$W:$W,$L$2)</f>
        <v>19738.389999999996</v>
      </c>
      <c r="M240" s="324">
        <f>IFERROR((K240-H240)/H240,0)</f>
        <v>-0.1067518554762454</v>
      </c>
      <c r="N240" s="304">
        <f>L240-I240</f>
        <v>-2185.1618658347106</v>
      </c>
      <c r="O240" s="325">
        <f>-SUMIFS(BV_Data_An_Prec!$O:$O,BV_Data_An_Prec!$U:$U,$B240,BV_Data_An_Prec!$V:$V,$C240,BV_Data_An_Prec!$W:$W,O$2)</f>
        <v>59</v>
      </c>
      <c r="P240" s="179">
        <f>-SUMIFS(BV_Data_An_Prec!$O:$O,BV_Data_An_Prec!$X:$X,"Oui",BV_Data_An_Prec!$U:$U,$B240,BV_Data_An_Prec!$V:$V,$C240)</f>
        <v>103646.92</v>
      </c>
      <c r="Q240" s="180">
        <f>-SUMIFS(BV_Data_An_Prec!$O:$O,BV_Data_An_Prec!$U:$U,$B240,BV_Data_An_Prec!$V:$V,$C240,BV_Data_An_Prec!$W:$W,$L$2)</f>
        <v>19408.940000000002</v>
      </c>
      <c r="R240" s="324">
        <f>IF(O240=0,0,J240/O240)</f>
        <v>0.83050847457627119</v>
      </c>
      <c r="S240" s="199">
        <f>L240-Q240</f>
        <v>329.44999999999345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
        <v>3448</v>
      </c>
      <c r="B241" s="24" t="s">
        <v>171</v>
      </c>
      <c r="C241" s="264" t="s">
        <v>160</v>
      </c>
      <c r="D241" s="266"/>
      <c r="E241" s="349"/>
      <c r="F241" s="350">
        <f>IFERROR(F240/E240,0)</f>
        <v>0.22120094720939038</v>
      </c>
      <c r="G241" s="303"/>
      <c r="H241" s="349"/>
      <c r="I241" s="350">
        <f>IFERROR(I240/H240,0)</f>
        <v>0.22120094720939038</v>
      </c>
      <c r="J241" s="325"/>
      <c r="K241" s="178"/>
      <c r="L241" s="350">
        <f>IFERROR(L240/K240,0)</f>
        <v>0.22295420571789765</v>
      </c>
      <c r="M241" s="324"/>
      <c r="N241" s="304">
        <f>IFERROR(N240/M240,0)</f>
        <v>20469.544590922418</v>
      </c>
      <c r="O241" s="325"/>
      <c r="P241" s="178"/>
      <c r="Q241" s="350">
        <f>IFERROR(Q240/P240,0)</f>
        <v>0.18726017135868583</v>
      </c>
      <c r="R241" s="325"/>
      <c r="S241" s="199">
        <f>IFERROR(S240/R240,0)</f>
        <v>396.68469387754311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
        <v>171</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
        <v>3449</v>
      </c>
      <c r="B243" s="24" t="s">
        <v>171</v>
      </c>
      <c r="C243" s="351" t="s">
        <v>173</v>
      </c>
      <c r="D243" s="352">
        <f>+INDEX('Budget original'!$A$2:$AO$500,MATCH($A243,'Budget original'!$A$2:$A$500,0),MATCH(D$2,'Budget original'!$A$2:$AO$2,0))</f>
        <v>0</v>
      </c>
      <c r="E243" s="197">
        <f>+INDEX('Budget original'!$A$2:$AO$500,MATCH($A243,'Budget original'!$A$2:$A$500,0),MATCH(E$2,'Budget original'!$A$2:$AO$2,0))</f>
        <v>0</v>
      </c>
      <c r="F243" s="197">
        <f>+INDEX('Budget original'!$A$2:$AO$500,MATCH($A243,'Budget original'!$A$2:$A$500,0),MATCH(F$2,'Budget original'!$A$2:$AO$2,0))</f>
        <v>0</v>
      </c>
      <c r="G243" s="353">
        <f>+INDEX('Budget révisé'!$A$2:$AO$500,MATCH($A243,'Budget révisé'!$A$2:$A$500,0),MATCH(G$2,'Budget révisé'!$A$2:$AO$2,0))</f>
        <v>0</v>
      </c>
      <c r="H243" s="197">
        <f>+INDEX('Budget révisé'!$A$2:$AO$500,MATCH($A243,'Budget révisé'!$A$2:$A$500,0),MATCH(H$2,'Budget révisé'!$A$2:$AO$2,0))</f>
        <v>0</v>
      </c>
      <c r="I243" s="197">
        <f>+INDEX('Budget révisé'!$A$2:$AO$500,MATCH($A243,'Budget révisé'!$A$2:$A$500,0),MATCH(I$2,'Budget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
        <v>3448</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
        <v>171</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
        <v>3450</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
        <v>3448</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
        <v>171</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
        <v>3451</v>
      </c>
      <c r="B249" s="24" t="s">
        <v>171</v>
      </c>
      <c r="C249" s="269" t="s">
        <v>169</v>
      </c>
      <c r="D249" s="26"/>
      <c r="E249" s="26">
        <f t="shared" ref="E249:F249" si="122">E243+E246+E240</f>
        <v>99111.473718427238</v>
      </c>
      <c r="F249" s="28">
        <f t="shared" si="122"/>
        <v>21923.551865834706</v>
      </c>
      <c r="G249" s="29"/>
      <c r="H249" s="26">
        <f t="shared" ref="H249:I249" si="123">H243+H246+H240</f>
        <v>99111.473718427238</v>
      </c>
      <c r="I249" s="28">
        <f t="shared" si="123"/>
        <v>21923.551865834706</v>
      </c>
      <c r="J249" s="29"/>
      <c r="K249" s="26">
        <f t="shared" ref="K249:L249" si="124">K243+K246+K240</f>
        <v>88531.14</v>
      </c>
      <c r="L249" s="28">
        <f t="shared" si="124"/>
        <v>19738.389999999996</v>
      </c>
      <c r="M249" s="70">
        <f>L250-I250</f>
        <v>1.7532585085072716E-3</v>
      </c>
      <c r="N249" s="28">
        <f>L249-I249</f>
        <v>-2185.1618658347106</v>
      </c>
      <c r="O249" s="29"/>
      <c r="P249" s="26">
        <f t="shared" ref="P249:Q249" si="125">P243+P246+P240</f>
        <v>103646.92</v>
      </c>
      <c r="Q249" s="28">
        <f t="shared" si="125"/>
        <v>19408.940000000002</v>
      </c>
      <c r="R249" s="70">
        <f>L250-Q250</f>
        <v>3.5694034359211813E-2</v>
      </c>
      <c r="S249" s="363">
        <f>L249-Q249</f>
        <v>329.44999999999345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
        <v>171</v>
      </c>
      <c r="B250" s="24" t="s">
        <v>171</v>
      </c>
      <c r="C250" s="364"/>
      <c r="D250" s="365"/>
      <c r="E250" s="365"/>
      <c r="F250" s="34">
        <f>F249/E249</f>
        <v>0.22120094720939038</v>
      </c>
      <c r="G250" s="31"/>
      <c r="H250" s="365"/>
      <c r="I250" s="34">
        <f>I249/H249</f>
        <v>0.22120094720939038</v>
      </c>
      <c r="J250" s="31"/>
      <c r="K250" s="365"/>
      <c r="L250" s="34">
        <f>IF(K249=0,0,L249/K249)</f>
        <v>0.22295420571789765</v>
      </c>
      <c r="M250" s="33"/>
      <c r="N250" s="34">
        <f>N249/I249</f>
        <v>-9.9671890723146458E-2</v>
      </c>
      <c r="O250" s="31"/>
      <c r="P250" s="365"/>
      <c r="Q250" s="34">
        <f>IF(P249=0,0,Q249/P249)</f>
        <v>0.18726017135868583</v>
      </c>
      <c r="R250" s="33"/>
      <c r="S250" s="272">
        <f>IF(R249=0,0,S249/R249)</f>
        <v>9229.8336658873632</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
        <v>171</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
        <v>3452</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
        <v>3453</v>
      </c>
      <c r="B253" s="24" t="s">
        <v>171</v>
      </c>
      <c r="C253" s="280" t="s">
        <v>112</v>
      </c>
      <c r="D253" s="233"/>
      <c r="E253" s="233"/>
      <c r="F253" s="231">
        <f>+INDEX('Budget original'!$A$2:$AO$500,MATCH($A253,'Budget original'!$A$2:$A$500,0),MATCH(F$2,'Budget original'!$A$2:$AO$2,0))</f>
        <v>310.99511494252874</v>
      </c>
      <c r="G253" s="227"/>
      <c r="H253" s="233"/>
      <c r="I253" s="231">
        <f>+INDEX('Budget révisé'!$A$2:$AO$500,MATCH($A253,'Budget révisé'!$A$2:$A$500,0),MATCH(I$2,'Budget révisé'!$A$2:$AO$2,0))</f>
        <v>310.99511494252874</v>
      </c>
      <c r="J253" s="227"/>
      <c r="K253" s="233"/>
      <c r="L253" s="281">
        <f>SUMIFS(BV_Data_An_Cour!$O:$O,BV_Data_An_Cour!$U:$U,$B253,BV_Data_An_Cour!$V:$V,$C253,BV_Data_An_Cour!$W:$W,$L$2)</f>
        <v>1401.88</v>
      </c>
      <c r="M253" s="227"/>
      <c r="N253" s="232">
        <f t="shared" ref="N253:N283" si="126">L253-I253</f>
        <v>1090.8848850574714</v>
      </c>
      <c r="O253" s="227"/>
      <c r="P253" s="233"/>
      <c r="Q253" s="281">
        <f>SUMIFS(BV_Data_An_Prec!$O:$O,BV_Data_An_Prec!$U:$U,$B253,BV_Data_An_Prec!$V:$V,$C253,BV_Data_An_Prec!$W:$W,$L$2)</f>
        <v>809.12</v>
      </c>
      <c r="R253" s="227"/>
      <c r="S253" s="512">
        <f>L253-Q253</f>
        <v>592.7600000000001</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
        <v>3454</v>
      </c>
      <c r="B254" s="24" t="s">
        <v>171</v>
      </c>
      <c r="C254" s="282" t="s">
        <v>113</v>
      </c>
      <c r="D254" s="262"/>
      <c r="E254" s="233"/>
      <c r="F254" s="244">
        <f>+INDEX('Budget original'!$A$2:$AO$500,MATCH($A254,'Budget original'!$A$2:$A$500,0),MATCH(F$2,'Budget original'!$A$2:$AO$2,0))</f>
        <v>521.45033666091956</v>
      </c>
      <c r="G254" s="283"/>
      <c r="H254" s="233"/>
      <c r="I254" s="244">
        <f>+INDEX('Budget révisé'!$A$2:$AO$500,MATCH($A254,'Budget révisé'!$A$2:$A$500,0),MATCH(I$2,'Budget révisé'!$A$2:$AO$2,0))</f>
        <v>521.45033666091956</v>
      </c>
      <c r="J254" s="227"/>
      <c r="K254" s="233"/>
      <c r="L254" s="281">
        <f>SUMIFS(BV_Data_An_Cour!$O:$O,BV_Data_An_Cour!$U:$U,$B254,BV_Data_An_Cour!$V:$V,$C254,BV_Data_An_Cour!$W:$W,$L$2)</f>
        <v>443.57</v>
      </c>
      <c r="M254" s="227"/>
      <c r="N254" s="232">
        <f t="shared" si="126"/>
        <v>-77.880336660919568</v>
      </c>
      <c r="O254" s="227"/>
      <c r="P254" s="233"/>
      <c r="Q254" s="281">
        <f>SUMIFS(BV_Data_An_Prec!$O:$O,BV_Data_An_Prec!$U:$U,$B254,BV_Data_An_Prec!$V:$V,$C254,BV_Data_An_Prec!$W:$W,$L$2)</f>
        <v>1179.27</v>
      </c>
      <c r="R254" s="227"/>
      <c r="S254" s="284">
        <f>L254-Q254</f>
        <v>-735.7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
        <v>3455</v>
      </c>
      <c r="B255" s="24" t="s">
        <v>171</v>
      </c>
      <c r="C255" s="280" t="s">
        <v>114</v>
      </c>
      <c r="D255" s="285"/>
      <c r="E255" s="286"/>
      <c r="F255" s="231">
        <f>+INDEX('Budget original'!$A$2:$AO$500,MATCH($A255,'Budget original'!$A$2:$A$500,0),MATCH(F$2,'Budget original'!$A$2:$AO$2,0))</f>
        <v>448.55861963218388</v>
      </c>
      <c r="G255" s="287"/>
      <c r="H255" s="286"/>
      <c r="I255" s="231">
        <f>+INDEX('Budget révisé'!$A$2:$AO$500,MATCH($A255,'Budget révisé'!$A$2:$A$500,0),MATCH(I$2,'Budget révisé'!$A$2:$AO$2,0))</f>
        <v>448.55861963218388</v>
      </c>
      <c r="J255" s="288"/>
      <c r="K255" s="286"/>
      <c r="L255" s="245">
        <f>SUMIFS(BV_Data_An_Cour!$O:$O,BV_Data_An_Cour!$U:$U,$B255,BV_Data_An_Cour!$V:$V,$C255,BV_Data_An_Cour!$W:$W,$L$2)</f>
        <v>3271.37</v>
      </c>
      <c r="M255" s="288"/>
      <c r="N255" s="289">
        <f t="shared" si="126"/>
        <v>2822.8113803678161</v>
      </c>
      <c r="O255" s="288"/>
      <c r="P255" s="286"/>
      <c r="Q255" s="245">
        <f>SUMIFS(BV_Data_An_Prec!$O:$O,BV_Data_An_Prec!$U:$U,$B255,BV_Data_An_Prec!$V:$V,$C255,BV_Data_An_Prec!$W:$W,$L$2)</f>
        <v>3336.87</v>
      </c>
      <c r="R255" s="288"/>
      <c r="S255" s="290">
        <f t="shared" ref="S255:S264" si="127">L255-Q255</f>
        <v>-65.5</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
        <v>3456</v>
      </c>
      <c r="B256" s="24" t="s">
        <v>171</v>
      </c>
      <c r="C256" s="280" t="s">
        <v>115</v>
      </c>
      <c r="D256" s="262"/>
      <c r="E256" s="233"/>
      <c r="F256" s="231">
        <f>+INDEX('Budget original'!$A$2:$AO$500,MATCH($A256,'Budget original'!$A$2:$A$500,0),MATCH(F$2,'Budget original'!$A$2:$AO$2,0))</f>
        <v>4120.6896551724139</v>
      </c>
      <c r="G256" s="283"/>
      <c r="H256" s="233"/>
      <c r="I256" s="231">
        <f>+INDEX('Budget révisé'!$A$2:$AO$500,MATCH($A256,'Budget révisé'!$A$2:$A$500,0),MATCH(I$2,'Budget révisé'!$A$2:$AO$2,0))</f>
        <v>4120.6896551724139</v>
      </c>
      <c r="J256" s="227"/>
      <c r="K256" s="233"/>
      <c r="L256" s="281">
        <f>SUMIFS(BV_Data_An_Cour!$O:$O,BV_Data_An_Cour!$U:$U,$B256,BV_Data_An_Cour!$V:$V,$C256,BV_Data_An_Cour!$W:$W,$L$2)</f>
        <v>150</v>
      </c>
      <c r="M256" s="227"/>
      <c r="N256" s="232">
        <f t="shared" si="126"/>
        <v>-3970.6896551724139</v>
      </c>
      <c r="O256" s="227"/>
      <c r="P256" s="233"/>
      <c r="Q256" s="281">
        <f>SUMIFS(BV_Data_An_Prec!$O:$O,BV_Data_An_Prec!$U:$U,$B256,BV_Data_An_Prec!$V:$V,$C256,BV_Data_An_Prec!$W:$W,$L$2)</f>
        <v>3432.72</v>
      </c>
      <c r="R256" s="227"/>
      <c r="S256" s="284">
        <f t="shared" si="127"/>
        <v>-3282.72</v>
      </c>
      <c r="T256" s="233"/>
      <c r="U256" s="1077"/>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
        <v>3457</v>
      </c>
      <c r="B257" s="24" t="s">
        <v>171</v>
      </c>
      <c r="C257" s="291" t="s">
        <v>42</v>
      </c>
      <c r="D257" s="262"/>
      <c r="E257" s="233"/>
      <c r="F257" s="231">
        <f>+INDEX('Budget original'!$A$2:$AO$500,MATCH($A257,'Budget original'!$A$2:$A$500,0),MATCH(F$2,'Budget original'!$A$2:$AO$2,0))</f>
        <v>0</v>
      </c>
      <c r="G257" s="283"/>
      <c r="H257" s="233"/>
      <c r="I257" s="231">
        <f>+INDEX('Budget révisé'!$A$2:$AO$500,MATCH($A257,'Budget révisé'!$A$2:$A$500,0),MATCH(I$2,'Budget révisé'!$A$2:$AO$2,0))</f>
        <v>0</v>
      </c>
      <c r="J257" s="227"/>
      <c r="K257" s="233"/>
      <c r="L257" s="281">
        <f>SUMIFS(BV_Data_An_Cour!$O:$O,BV_Data_An_Cour!$U:$U,$B257,BV_Data_An_Cour!$V:$V,$C257,BV_Data_An_Cour!$W:$W,$L$2)</f>
        <v>0</v>
      </c>
      <c r="M257" s="227"/>
      <c r="N257" s="232">
        <f t="shared" si="126"/>
        <v>0</v>
      </c>
      <c r="O257" s="227"/>
      <c r="P257" s="233"/>
      <c r="Q257" s="281">
        <f>SUMIFS(BV_Data_An_Prec!$O:$O,BV_Data_An_Prec!$U:$U,$B257,BV_Data_An_Prec!$V:$V,$C257,BV_Data_An_Prec!$W:$W,$L$2)</f>
        <v>0</v>
      </c>
      <c r="R257" s="227"/>
      <c r="S257" s="284">
        <f t="shared" si="127"/>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
        <v>3457</v>
      </c>
      <c r="B258" s="24" t="s">
        <v>171</v>
      </c>
      <c r="C258" s="291" t="s">
        <v>42</v>
      </c>
      <c r="D258" s="262"/>
      <c r="E258" s="233"/>
      <c r="F258" s="231">
        <f>+INDEX('Budget original'!$A$2:$AO$500,MATCH($A258,'Budget original'!$A$2:$A$500,0),MATCH(F$2,'Budget original'!$A$2:$AO$2,0))</f>
        <v>0</v>
      </c>
      <c r="G258" s="283"/>
      <c r="H258" s="233"/>
      <c r="I258" s="231">
        <f>+INDEX('Budget révisé'!$A$2:$AO$500,MATCH($A258,'Budget révisé'!$A$2:$A$500,0),MATCH(I$2,'Budget révisé'!$A$2:$AO$2,0))</f>
        <v>0</v>
      </c>
      <c r="J258" s="227"/>
      <c r="K258" s="233"/>
      <c r="L258" s="281">
        <f>SUMIFS(BV_Data_An_Cour!$O:$O,BV_Data_An_Cour!$U:$U,$B258,BV_Data_An_Cour!$V:$V,$C258,BV_Data_An_Cour!$W:$W,$L$2)</f>
        <v>0</v>
      </c>
      <c r="M258" s="227"/>
      <c r="N258" s="232">
        <f t="shared" si="126"/>
        <v>0</v>
      </c>
      <c r="O258" s="227"/>
      <c r="P258" s="233"/>
      <c r="Q258" s="281">
        <f>SUMIFS(BV_Data_An_Prec!$O:$O,BV_Data_An_Prec!$U:$U,$B258,BV_Data_An_Prec!$V:$V,$C258,BV_Data_An_Prec!$W:$W,$L$2)</f>
        <v>0</v>
      </c>
      <c r="R258" s="227"/>
      <c r="S258" s="284">
        <f t="shared" si="127"/>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
        <v>3457</v>
      </c>
      <c r="B259" s="24" t="s">
        <v>171</v>
      </c>
      <c r="C259" s="291" t="s">
        <v>42</v>
      </c>
      <c r="D259" s="262"/>
      <c r="E259" s="233"/>
      <c r="F259" s="231">
        <f>+INDEX('Budget original'!$A$2:$AO$500,MATCH($A259,'Budget original'!$A$2:$A$500,0),MATCH(F$2,'Budget original'!$A$2:$AO$2,0))</f>
        <v>0</v>
      </c>
      <c r="G259" s="283"/>
      <c r="H259" s="233"/>
      <c r="I259" s="231">
        <f>+INDEX('Budget révisé'!$A$2:$AO$500,MATCH($A259,'Budget révisé'!$A$2:$A$500,0),MATCH(I$2,'Budget révisé'!$A$2:$AO$2,0))</f>
        <v>0</v>
      </c>
      <c r="J259" s="227"/>
      <c r="K259" s="233"/>
      <c r="L259" s="281">
        <f>SUMIFS(BV_Data_An_Cour!$O:$O,BV_Data_An_Cour!$U:$U,$B259,BV_Data_An_Cour!$V:$V,$C259,BV_Data_An_Cour!$W:$W,$L$2)</f>
        <v>0</v>
      </c>
      <c r="M259" s="227"/>
      <c r="N259" s="232">
        <f t="shared" si="126"/>
        <v>0</v>
      </c>
      <c r="O259" s="227"/>
      <c r="P259" s="233"/>
      <c r="Q259" s="281">
        <f>SUMIFS(BV_Data_An_Prec!$O:$O,BV_Data_An_Prec!$U:$U,$B259,BV_Data_An_Prec!$V:$V,$C259,BV_Data_An_Prec!$W:$W,$L$2)</f>
        <v>0</v>
      </c>
      <c r="R259" s="227"/>
      <c r="S259" s="284">
        <f t="shared" si="127"/>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
        <v>3458</v>
      </c>
      <c r="B260" s="24" t="s">
        <v>171</v>
      </c>
      <c r="C260" s="282" t="s">
        <v>116</v>
      </c>
      <c r="D260" s="262"/>
      <c r="E260" s="233"/>
      <c r="F260" s="244">
        <f>+INDEX('Budget original'!$A$2:$AO$500,MATCH($A260,'Budget original'!$A$2:$A$500,0),MATCH(F$2,'Budget original'!$A$2:$AO$2,0))</f>
        <v>658.03102564768926</v>
      </c>
      <c r="G260" s="283"/>
      <c r="H260" s="233"/>
      <c r="I260" s="244">
        <f>+INDEX('Budget révisé'!$A$2:$AO$500,MATCH($A260,'Budget révisé'!$A$2:$A$500,0),MATCH(I$2,'Budget révisé'!$A$2:$AO$2,0))</f>
        <v>658.03102564768926</v>
      </c>
      <c r="J260" s="227"/>
      <c r="K260" s="233"/>
      <c r="L260" s="281">
        <f>SUMIFS(BV_Data_An_Cour!$O:$O,BV_Data_An_Cour!$U:$U,$B260,BV_Data_An_Cour!$V:$V,$C260,BV_Data_An_Cour!$W:$W,$L$2)</f>
        <v>657.69</v>
      </c>
      <c r="M260" s="227"/>
      <c r="N260" s="232">
        <f t="shared" si="126"/>
        <v>-0.34102564768920729</v>
      </c>
      <c r="O260" s="227"/>
      <c r="P260" s="233"/>
      <c r="Q260" s="281">
        <f>SUMIFS(BV_Data_An_Prec!$O:$O,BV_Data_An_Prec!$U:$U,$B260,BV_Data_An_Prec!$V:$V,$C260,BV_Data_An_Prec!$W:$W,$L$2)</f>
        <v>661.7</v>
      </c>
      <c r="R260" s="227"/>
      <c r="S260" s="284">
        <f t="shared" si="127"/>
        <v>-4.0099999999999909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
        <v>3459</v>
      </c>
      <c r="B261" s="24" t="s">
        <v>171</v>
      </c>
      <c r="C261" s="280" t="s">
        <v>117</v>
      </c>
      <c r="D261" s="285"/>
      <c r="E261" s="286"/>
      <c r="F261" s="231">
        <f>+INDEX('Budget original'!$A$2:$AO$500,MATCH($A261,'Budget original'!$A$2:$A$500,0),MATCH(F$2,'Budget original'!$A$2:$AO$2,0))</f>
        <v>589.33423541762068</v>
      </c>
      <c r="G261" s="287"/>
      <c r="H261" s="286"/>
      <c r="I261" s="231">
        <f>+INDEX('Budget révisé'!$A$2:$AO$500,MATCH($A261,'Budget révisé'!$A$2:$A$500,0),MATCH(I$2,'Budget révisé'!$A$2:$AO$2,0))</f>
        <v>589.33423541762068</v>
      </c>
      <c r="J261" s="288"/>
      <c r="K261" s="286"/>
      <c r="L261" s="245">
        <f>SUMIFS(BV_Data_An_Cour!$O:$O,BV_Data_An_Cour!$U:$U,$B261,BV_Data_An_Cour!$V:$V,$C261,BV_Data_An_Cour!$W:$W,$L$2)</f>
        <v>683.05</v>
      </c>
      <c r="M261" s="288"/>
      <c r="N261" s="289">
        <f t="shared" si="126"/>
        <v>93.715764582379279</v>
      </c>
      <c r="O261" s="288"/>
      <c r="P261" s="286"/>
      <c r="Q261" s="245">
        <f>SUMIFS(BV_Data_An_Prec!$O:$O,BV_Data_An_Prec!$U:$U,$B261,BV_Data_An_Prec!$V:$V,$C261,BV_Data_An_Prec!$W:$W,$L$2)</f>
        <v>1461.24</v>
      </c>
      <c r="R261" s="288"/>
      <c r="S261" s="290">
        <f t="shared" si="127"/>
        <v>-778.19</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
        <v>3460</v>
      </c>
      <c r="B262" s="24" t="s">
        <v>171</v>
      </c>
      <c r="C262" s="280" t="s">
        <v>118</v>
      </c>
      <c r="D262" s="262"/>
      <c r="E262" s="233"/>
      <c r="F262" s="231">
        <f>+INDEX('Budget original'!$A$2:$AO$500,MATCH($A262,'Budget original'!$A$2:$A$500,0),MATCH(F$2,'Budget original'!$A$2:$AO$2,0))</f>
        <v>468.00071636105173</v>
      </c>
      <c r="G262" s="283"/>
      <c r="H262" s="233"/>
      <c r="I262" s="231">
        <f>+INDEX('Budget révisé'!$A$2:$AO$500,MATCH($A262,'Budget révisé'!$A$2:$A$500,0),MATCH(I$2,'Budget révisé'!$A$2:$AO$2,0))</f>
        <v>468.00071636105173</v>
      </c>
      <c r="J262" s="227"/>
      <c r="K262" s="233"/>
      <c r="L262" s="281">
        <f>SUMIFS(BV_Data_An_Cour!$O:$O,BV_Data_An_Cour!$U:$U,$B262,BV_Data_An_Cour!$V:$V,$C262,BV_Data_An_Cour!$W:$W,$L$2)</f>
        <v>364.79</v>
      </c>
      <c r="M262" s="227"/>
      <c r="N262" s="232">
        <f t="shared" si="126"/>
        <v>-103.21071636105171</v>
      </c>
      <c r="O262" s="227"/>
      <c r="P262" s="233"/>
      <c r="Q262" s="281">
        <f>SUMIFS(BV_Data_An_Prec!$O:$O,BV_Data_An_Prec!$U:$U,$B262,BV_Data_An_Prec!$V:$V,$C262,BV_Data_An_Prec!$W:$W,$L$2)</f>
        <v>1281</v>
      </c>
      <c r="R262" s="227"/>
      <c r="S262" s="284">
        <f t="shared" si="127"/>
        <v>-916.21</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
        <v>3461</v>
      </c>
      <c r="B263" s="24" t="s">
        <v>171</v>
      </c>
      <c r="C263" s="280" t="s">
        <v>119</v>
      </c>
      <c r="D263" s="262"/>
      <c r="E263" s="233"/>
      <c r="F263" s="231">
        <f>+INDEX('Budget original'!$A$2:$AO$500,MATCH($A263,'Budget original'!$A$2:$A$500,0),MATCH(F$2,'Budget original'!$A$2:$AO$2,0))</f>
        <v>190.66695851746553</v>
      </c>
      <c r="G263" s="283"/>
      <c r="H263" s="233"/>
      <c r="I263" s="231">
        <f>+INDEX('Budget révisé'!$A$2:$AO$500,MATCH($A263,'Budget révisé'!$A$2:$A$500,0),MATCH(I$2,'Budget révisé'!$A$2:$AO$2,0))</f>
        <v>190.66695851746553</v>
      </c>
      <c r="J263" s="227"/>
      <c r="K263" s="233"/>
      <c r="L263" s="281">
        <f>SUMIFS(BV_Data_An_Cour!$O:$O,BV_Data_An_Cour!$U:$U,$B263,BV_Data_An_Cour!$V:$V,$C263,BV_Data_An_Cour!$W:$W,$L$2)</f>
        <v>198</v>
      </c>
      <c r="M263" s="227"/>
      <c r="N263" s="232">
        <f t="shared" si="126"/>
        <v>7.333041482534469</v>
      </c>
      <c r="O263" s="227"/>
      <c r="P263" s="233"/>
      <c r="Q263" s="281">
        <f>SUMIFS(BV_Data_An_Prec!$O:$O,BV_Data_An_Prec!$U:$U,$B263,BV_Data_An_Prec!$V:$V,$C263,BV_Data_An_Prec!$W:$W,$L$2)</f>
        <v>0</v>
      </c>
      <c r="R263" s="227"/>
      <c r="S263" s="284">
        <f t="shared" si="127"/>
        <v>198</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
        <v>3457</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SUMIFS(BV_Data_An_Cour!$O:$O,BV_Data_An_Cour!$U:$U,$B264,BV_Data_An_Cour!$V:$V,$C264,BV_Data_An_Cour!$W:$W,$L$2)</f>
        <v>0</v>
      </c>
      <c r="M264" s="295"/>
      <c r="N264" s="296">
        <f t="shared" si="126"/>
        <v>0</v>
      </c>
      <c r="O264" s="295"/>
      <c r="P264" s="293"/>
      <c r="Q264" s="281">
        <f>SUMIFS(BV_Data_An_Prec!$O:$O,BV_Data_An_Prec!$U:$U,$B264,BV_Data_An_Prec!$V:$V,$C264,BV_Data_An_Prec!$W:$W,$L$2)</f>
        <v>0</v>
      </c>
      <c r="R264" s="295"/>
      <c r="S264" s="297">
        <f t="shared" si="127"/>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
        <v>3462</v>
      </c>
      <c r="B265" s="24" t="s">
        <v>171</v>
      </c>
      <c r="C265" s="298" t="s">
        <v>120</v>
      </c>
      <c r="D265" s="39" t="s">
        <v>111</v>
      </c>
      <c r="E265" s="40" t="e">
        <f>F265/F$243</f>
        <v>#DIV/0!</v>
      </c>
      <c r="F265" s="41">
        <f>+SUM(F253:F264)</f>
        <v>7307.7266623518735</v>
      </c>
      <c r="G265" s="42" t="s">
        <v>111</v>
      </c>
      <c r="H265" s="40" t="e">
        <f>I265/I$243</f>
        <v>#DIV/0!</v>
      </c>
      <c r="I265" s="41">
        <f>+SUM(I253:I264)</f>
        <v>7307.7266623518735</v>
      </c>
      <c r="J265" s="42" t="s">
        <v>111</v>
      </c>
      <c r="K265" s="40">
        <f>IF(L243=0,0,L265/L$243)</f>
        <v>0</v>
      </c>
      <c r="L265" s="41">
        <f>+SUM(L253:L264)</f>
        <v>7170.35</v>
      </c>
      <c r="M265" s="43"/>
      <c r="N265" s="46">
        <f t="shared" si="126"/>
        <v>-137.37666235187316</v>
      </c>
      <c r="O265" s="42" t="s">
        <v>111</v>
      </c>
      <c r="P265" s="40">
        <f>IF(Q243=0,0,Q265/Q$243)</f>
        <v>0</v>
      </c>
      <c r="Q265" s="41">
        <f>+SUM(Q253:Q264)</f>
        <v>12161.92</v>
      </c>
      <c r="R265" s="43"/>
      <c r="S265" s="299">
        <f t="shared" ref="S265:S283" si="128">L265-Q265</f>
        <v>-4991.57</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
        <v>3463</v>
      </c>
      <c r="B266" s="24" t="s">
        <v>171</v>
      </c>
      <c r="C266" s="300" t="s">
        <v>121</v>
      </c>
      <c r="D266" s="301"/>
      <c r="E266" s="178"/>
      <c r="F266" s="179">
        <f>+INDEX('Budget original'!$A$2:$AO$500,MATCH($A266,'Budget original'!$A$2:$A$500,0),MATCH(F$2,'Budget original'!$A$2:$AO$2,0))</f>
        <v>0</v>
      </c>
      <c r="G266" s="302"/>
      <c r="H266" s="178"/>
      <c r="I266" s="179">
        <f>+INDEX('Budget révisé'!$A$2:$AO$500,MATCH($A266,'Budget révisé'!$A$2:$A$500,0),MATCH(I$2,'Budget révisé'!$A$2:$AO$2,0))</f>
        <v>0</v>
      </c>
      <c r="J266" s="303"/>
      <c r="K266" s="178"/>
      <c r="L266" s="281">
        <f>SUMIFS(BV_Data_An_Cour!$O:$O,BV_Data_An_Cour!$U:$U,$B266,BV_Data_An_Cour!$V:$V,$C266,BV_Data_An_Cour!$W:$W,$L$2)</f>
        <v>7.0000000000000007E-2</v>
      </c>
      <c r="M266" s="303"/>
      <c r="N266" s="304">
        <f t="shared" si="126"/>
        <v>7.0000000000000007E-2</v>
      </c>
      <c r="O266" s="303"/>
      <c r="P266" s="178"/>
      <c r="Q266" s="281">
        <f>SUMIFS(BV_Data_An_Prec!$O:$O,BV_Data_An_Prec!$U:$U,$B266,BV_Data_An_Prec!$V:$V,$C266,BV_Data_An_Prec!$W:$W,$L$2)</f>
        <v>100.08</v>
      </c>
      <c r="R266" s="303"/>
      <c r="S266" s="199">
        <f t="shared" si="128"/>
        <v>-100.01</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
        <v>3464</v>
      </c>
      <c r="B267" s="24" t="s">
        <v>171</v>
      </c>
      <c r="C267" s="305" t="s">
        <v>122</v>
      </c>
      <c r="D267" s="301"/>
      <c r="E267" s="178"/>
      <c r="F267" s="179">
        <f>+INDEX('Budget original'!$A$2:$AO$500,MATCH($A267,'Budget original'!$A$2:$A$500,0),MATCH(F$2,'Budget original'!$A$2:$AO$2,0))</f>
        <v>344.06278272093203</v>
      </c>
      <c r="G267" s="302"/>
      <c r="H267" s="178"/>
      <c r="I267" s="179">
        <f>+INDEX('Budget révisé'!$A$2:$AO$500,MATCH($A267,'Budget révisé'!$A$2:$A$500,0),MATCH(I$2,'Budget révisé'!$A$2:$AO$2,0))</f>
        <v>344.06278272093203</v>
      </c>
      <c r="J267" s="303"/>
      <c r="K267" s="178"/>
      <c r="L267" s="180">
        <f>SUMIFS(BV_Data_An_Cour!$O:$O,BV_Data_An_Cour!$U:$U,$B267,BV_Data_An_Cour!$V:$V,$C267,BV_Data_An_Cour!$W:$W,$L$2)</f>
        <v>439.94</v>
      </c>
      <c r="M267" s="303"/>
      <c r="N267" s="304">
        <f t="shared" si="126"/>
        <v>95.877217279067963</v>
      </c>
      <c r="O267" s="303"/>
      <c r="P267" s="178"/>
      <c r="Q267" s="180">
        <f>SUMIFS(BV_Data_An_Prec!$O:$O,BV_Data_An_Prec!$U:$U,$B267,BV_Data_An_Prec!$V:$V,$C267,BV_Data_An_Prec!$W:$W,$L$2)</f>
        <v>12.15</v>
      </c>
      <c r="R267" s="303"/>
      <c r="S267" s="199">
        <f t="shared" si="128"/>
        <v>427.79</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
        <v>3465</v>
      </c>
      <c r="B268" s="24" t="s">
        <v>171</v>
      </c>
      <c r="C268" s="306" t="s">
        <v>123</v>
      </c>
      <c r="D268" s="307"/>
      <c r="E268" s="308"/>
      <c r="F268" s="177">
        <f>+INDEX('Budget original'!$A$2:$AO$500,MATCH($A268,'Budget original'!$A$2:$A$500,0),MATCH(F$2,'Budget original'!$A$2:$AO$2,0))</f>
        <v>379.94</v>
      </c>
      <c r="G268" s="309"/>
      <c r="H268" s="308"/>
      <c r="I268" s="177">
        <f>+INDEX('Budget révisé'!$A$2:$AO$500,MATCH($A268,'Budget révisé'!$A$2:$A$500,0),MATCH(I$2,'Budget révisé'!$A$2:$AO$2,0))</f>
        <v>379.94</v>
      </c>
      <c r="J268" s="310"/>
      <c r="K268" s="308"/>
      <c r="L268" s="180">
        <f>SUMIFS(BV_Data_An_Cour!$O:$O,BV_Data_An_Cour!$U:$U,$B268,BV_Data_An_Cour!$V:$V,$C268,BV_Data_An_Cour!$W:$W,$L$2)</f>
        <v>667.66</v>
      </c>
      <c r="M268" s="310"/>
      <c r="N268" s="311">
        <f t="shared" si="126"/>
        <v>287.71999999999997</v>
      </c>
      <c r="O268" s="310"/>
      <c r="P268" s="308"/>
      <c r="Q268" s="180">
        <f>SUMIFS(BV_Data_An_Prec!$O:$O,BV_Data_An_Prec!$U:$U,$B268,BV_Data_An_Prec!$V:$V,$C268,BV_Data_An_Prec!$W:$W,$L$2)</f>
        <v>824.3</v>
      </c>
      <c r="R268" s="310"/>
      <c r="S268" s="202">
        <f t="shared" si="128"/>
        <v>-156.63999999999999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
        <v>3466</v>
      </c>
      <c r="B269" s="24" t="s">
        <v>171</v>
      </c>
      <c r="C269" s="305" t="s">
        <v>124</v>
      </c>
      <c r="D269" s="301"/>
      <c r="E269" s="178"/>
      <c r="F269" s="179">
        <f>+INDEX('Budget original'!$A$2:$AO$500,MATCH($A269,'Budget original'!$A$2:$A$500,0),MATCH(F$2,'Budget original'!$A$2:$AO$2,0))</f>
        <v>1313.4198641666667</v>
      </c>
      <c r="G269" s="302"/>
      <c r="H269" s="178"/>
      <c r="I269" s="179">
        <f>+INDEX('Budget révisé'!$A$2:$AO$500,MATCH($A269,'Budget révisé'!$A$2:$A$500,0),MATCH(I$2,'Budget révisé'!$A$2:$AO$2,0))</f>
        <v>1313.4198641666667</v>
      </c>
      <c r="J269" s="303"/>
      <c r="K269" s="178"/>
      <c r="L269" s="181">
        <f>SUMIFS(BV_Data_An_Cour!$O:$O,BV_Data_An_Cour!$U:$U,$B269,BV_Data_An_Cour!$V:$V,$C269,BV_Data_An_Cour!$W:$W,$L$2)</f>
        <v>1307.8499999999999</v>
      </c>
      <c r="M269" s="303"/>
      <c r="N269" s="304">
        <f t="shared" si="126"/>
        <v>-5.5698641666667754</v>
      </c>
      <c r="O269" s="303"/>
      <c r="P269" s="178"/>
      <c r="Q269" s="181">
        <f>SUMIFS(BV_Data_An_Prec!$O:$O,BV_Data_An_Prec!$U:$U,$B269,BV_Data_An_Prec!$V:$V,$C269,BV_Data_An_Prec!$W:$W,$L$2)</f>
        <v>1378.59</v>
      </c>
      <c r="R269" s="303"/>
      <c r="S269" s="199">
        <f t="shared" si="128"/>
        <v>-70.740000000000009</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
        <v>3467</v>
      </c>
      <c r="B270" s="24" t="s">
        <v>171</v>
      </c>
      <c r="C270" s="305" t="s">
        <v>125</v>
      </c>
      <c r="D270" s="301"/>
      <c r="E270" s="178"/>
      <c r="F270" s="179">
        <f>+INDEX('Budget original'!$A$2:$AO$500,MATCH($A270,'Budget original'!$A$2:$A$500,0),MATCH(F$2,'Budget original'!$A$2:$AO$2,0))</f>
        <v>173.28101875000004</v>
      </c>
      <c r="G270" s="302"/>
      <c r="H270" s="178"/>
      <c r="I270" s="179">
        <f>+INDEX('Budget révisé'!$A$2:$AO$500,MATCH($A270,'Budget révisé'!$A$2:$A$500,0),MATCH(I$2,'Budget révisé'!$A$2:$AO$2,0))</f>
        <v>173.28101875000004</v>
      </c>
      <c r="J270" s="303"/>
      <c r="K270" s="178"/>
      <c r="L270" s="180">
        <f>SUMIFS(BV_Data_An_Cour!$O:$O,BV_Data_An_Cour!$U:$U,$B270,BV_Data_An_Cour!$V:$V,$C270,BV_Data_An_Cour!$W:$W,$L$2)</f>
        <v>64.260000000000005</v>
      </c>
      <c r="M270" s="303"/>
      <c r="N270" s="304">
        <f t="shared" si="126"/>
        <v>-109.02101875000004</v>
      </c>
      <c r="O270" s="303"/>
      <c r="P270" s="178"/>
      <c r="Q270" s="180">
        <f>SUMIFS(BV_Data_An_Prec!$O:$O,BV_Data_An_Prec!$U:$U,$B270,BV_Data_An_Prec!$V:$V,$C270,BV_Data_An_Prec!$W:$W,$L$2)</f>
        <v>13.57</v>
      </c>
      <c r="R270" s="303"/>
      <c r="S270" s="199">
        <f t="shared" si="128"/>
        <v>50.690000000000005</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
        <v>3468</v>
      </c>
      <c r="B271" s="24" t="s">
        <v>171</v>
      </c>
      <c r="C271" s="305" t="s">
        <v>126</v>
      </c>
      <c r="D271" s="307"/>
      <c r="E271" s="308"/>
      <c r="F271" s="177">
        <f>+INDEX('Budget original'!$A$2:$AO$500,MATCH($A271,'Budget original'!$A$2:$A$500,0),MATCH(F$2,'Budget original'!$A$2:$AO$2,0))</f>
        <v>894.40788888888892</v>
      </c>
      <c r="G271" s="309"/>
      <c r="H271" s="308"/>
      <c r="I271" s="177">
        <f>+INDEX('Budget révisé'!$A$2:$AO$500,MATCH($A271,'Budget révisé'!$A$2:$A$500,0),MATCH(I$2,'Budget révisé'!$A$2:$AO$2,0))</f>
        <v>894.40788888888892</v>
      </c>
      <c r="J271" s="310"/>
      <c r="K271" s="308"/>
      <c r="L271" s="180">
        <f>SUMIFS(BV_Data_An_Cour!$O:$O,BV_Data_An_Cour!$U:$U,$B271,BV_Data_An_Cour!$V:$V,$C271,BV_Data_An_Cour!$W:$W,$L$2)</f>
        <v>545.58000000000004</v>
      </c>
      <c r="M271" s="310"/>
      <c r="N271" s="311">
        <f t="shared" si="126"/>
        <v>-348.82788888888888</v>
      </c>
      <c r="O271" s="310"/>
      <c r="P271" s="308"/>
      <c r="Q271" s="180">
        <f>SUMIFS(BV_Data_An_Prec!$O:$O,BV_Data_An_Prec!$U:$U,$B271,BV_Data_An_Prec!$V:$V,$C271,BV_Data_An_Prec!$W:$W,$L$2)</f>
        <v>282.91000000000003</v>
      </c>
      <c r="R271" s="310"/>
      <c r="S271" s="202">
        <f t="shared" si="128"/>
        <v>262.67</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
        <v>3469</v>
      </c>
      <c r="B272" s="24" t="s">
        <v>171</v>
      </c>
      <c r="C272" s="688" t="s">
        <v>1993</v>
      </c>
      <c r="D272" s="301"/>
      <c r="E272" s="178"/>
      <c r="F272" s="179"/>
      <c r="G272" s="302"/>
      <c r="H272" s="178"/>
      <c r="I272" s="179"/>
      <c r="J272" s="303"/>
      <c r="K272" s="178"/>
      <c r="L272" s="429">
        <f>SUMIFS(BV_Data_An_Cour!$O:$O,BV_Data_An_Cour!$U:$U,$B272,BV_Data_An_Cour!$V:$V,$C272,BV_Data_An_Cour!$W:$W,$L$2)</f>
        <v>0</v>
      </c>
      <c r="M272" s="303"/>
      <c r="N272" s="304">
        <f t="shared" ref="N272" si="129">L272-I272</f>
        <v>0</v>
      </c>
      <c r="O272" s="303"/>
      <c r="P272" s="178"/>
      <c r="Q272" s="180">
        <f>SUMIFS(BV_Data_An_Prec!$O:$O,BV_Data_An_Prec!$U:$U,$B272,BV_Data_An_Prec!$V:$V,$C272,BV_Data_An_Prec!$W:$W,$L$2)</f>
        <v>0</v>
      </c>
      <c r="R272" s="303"/>
      <c r="S272" s="199">
        <f t="shared" ref="S272" si="130">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
        <v>3470</v>
      </c>
      <c r="B273" s="24" t="s">
        <v>171</v>
      </c>
      <c r="C273" s="305" t="s">
        <v>127</v>
      </c>
      <c r="D273" s="301"/>
      <c r="E273" s="178"/>
      <c r="F273" s="179">
        <f>+INDEX('Budget original'!$A$2:$AO$500,MATCH($A273,'Budget original'!$A$2:$A$500,0),MATCH(F$2,'Budget original'!$A$2:$AO$2,0))</f>
        <v>50.536579190711528</v>
      </c>
      <c r="G273" s="302"/>
      <c r="H273" s="178"/>
      <c r="I273" s="179">
        <f>+INDEX('Budget révisé'!$A$2:$AO$500,MATCH($A273,'Budget révisé'!$A$2:$A$500,0),MATCH(I$2,'Budget révisé'!$A$2:$AO$2,0))</f>
        <v>50.536579190711528</v>
      </c>
      <c r="J273" s="303"/>
      <c r="K273" s="178"/>
      <c r="L273" s="281">
        <f>SUMIFS(BV_Data_An_Cour!$O:$O,BV_Data_An_Cour!$U:$U,$B273,BV_Data_An_Cour!$V:$V,$C273,BV_Data_An_Cour!$W:$W,$L$2)</f>
        <v>2.1</v>
      </c>
      <c r="M273" s="303"/>
      <c r="N273" s="304">
        <f t="shared" si="126"/>
        <v>-48.436579190711527</v>
      </c>
      <c r="O273" s="303"/>
      <c r="P273" s="178"/>
      <c r="Q273" s="180">
        <f>SUMIFS(BV_Data_An_Prec!$O:$O,BV_Data_An_Prec!$U:$U,$B273,BV_Data_An_Prec!$V:$V,$C273,BV_Data_An_Prec!$W:$W,$L$2)</f>
        <v>0</v>
      </c>
      <c r="R273" s="303"/>
      <c r="S273" s="199">
        <f t="shared" si="128"/>
        <v>2.1</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
        <v>3471</v>
      </c>
      <c r="B274" s="24" t="s">
        <v>171</v>
      </c>
      <c r="C274" s="305" t="s">
        <v>128</v>
      </c>
      <c r="D274" s="301"/>
      <c r="E274" s="178"/>
      <c r="F274" s="179">
        <f>+INDEX('Budget original'!$A$2:$AO$500,MATCH($A274,'Budget original'!$A$2:$A$500,0),MATCH(F$2,'Budget original'!$A$2:$AO$2,0))</f>
        <v>26.853809687373364</v>
      </c>
      <c r="G274" s="302"/>
      <c r="H274" s="178"/>
      <c r="I274" s="179">
        <f>+INDEX('Budget révisé'!$A$2:$AO$500,MATCH($A274,'Budget révisé'!$A$2:$A$500,0),MATCH(I$2,'Budget révisé'!$A$2:$AO$2,0))</f>
        <v>26.853809687373364</v>
      </c>
      <c r="J274" s="303"/>
      <c r="K274" s="178"/>
      <c r="L274" s="281">
        <f>SUMIFS(BV_Data_An_Cour!$O:$O,BV_Data_An_Cour!$U:$U,$B274,BV_Data_An_Cour!$V:$V,$C274,BV_Data_An_Cour!$W:$W,$L$2)</f>
        <v>0</v>
      </c>
      <c r="M274" s="303"/>
      <c r="N274" s="304">
        <f t="shared" si="126"/>
        <v>-26.853809687373364</v>
      </c>
      <c r="O274" s="303"/>
      <c r="P274" s="178"/>
      <c r="Q274" s="180">
        <f>SUMIFS(BV_Data_An_Prec!$O:$O,BV_Data_An_Prec!$U:$U,$B274,BV_Data_An_Prec!$V:$V,$C274,BV_Data_An_Prec!$W:$W,$L$2)</f>
        <v>0</v>
      </c>
      <c r="R274" s="303"/>
      <c r="S274" s="199">
        <f t="shared" si="128"/>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
        <v>3472</v>
      </c>
      <c r="B275" s="24" t="s">
        <v>171</v>
      </c>
      <c r="C275" s="305" t="s">
        <v>129</v>
      </c>
      <c r="D275" s="301"/>
      <c r="E275" s="178"/>
      <c r="F275" s="179">
        <f>+INDEX('Budget original'!$A$2:$AO$500,MATCH($A275,'Budget original'!$A$2:$A$500,0),MATCH(F$2,'Budget original'!$A$2:$AO$2,0))</f>
        <v>142.81407000000002</v>
      </c>
      <c r="G275" s="302"/>
      <c r="H275" s="178"/>
      <c r="I275" s="179">
        <f>+INDEX('Budget révisé'!$A$2:$AO$500,MATCH($A275,'Budget révisé'!$A$2:$A$500,0),MATCH(I$2,'Budget révisé'!$A$2:$AO$2,0))</f>
        <v>142.81407000000002</v>
      </c>
      <c r="J275" s="303"/>
      <c r="K275" s="178"/>
      <c r="L275" s="974">
        <f>SUMIFS(BV_Data_An_Cour!$O:$O,BV_Data_An_Cour!$U:$U,$B275,BV_Data_An_Cour!$V:$V,$C275,BV_Data_An_Cour!$W:$W,$L$2)</f>
        <v>185.05</v>
      </c>
      <c r="M275" s="303"/>
      <c r="N275" s="304">
        <f t="shared" si="126"/>
        <v>42.235929999999996</v>
      </c>
      <c r="O275" s="303"/>
      <c r="P275" s="178"/>
      <c r="Q275" s="554">
        <f>SUMIFS(BV_Data_An_Prec!$O:$O,BV_Data_An_Prec!$U:$U,$B275,BV_Data_An_Prec!$V:$V,$C275,BV_Data_An_Prec!$W:$W,$L$2)</f>
        <v>54.45</v>
      </c>
      <c r="R275" s="303"/>
      <c r="S275" s="199">
        <f t="shared" si="128"/>
        <v>130.60000000000002</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
        <v>3473</v>
      </c>
      <c r="B276" s="24" t="s">
        <v>171</v>
      </c>
      <c r="C276" s="305" t="s">
        <v>130</v>
      </c>
      <c r="D276" s="301"/>
      <c r="E276" s="178"/>
      <c r="F276" s="179">
        <f>+INDEX('Budget original'!$A$2:$AO$500,MATCH($A276,'Budget original'!$A$2:$A$500,0),MATCH(F$2,'Budget original'!$A$2:$AO$2,0))</f>
        <v>65.945365208333342</v>
      </c>
      <c r="G276" s="302"/>
      <c r="H276" s="178"/>
      <c r="I276" s="179">
        <f>+INDEX('Budget révisé'!$A$2:$AO$500,MATCH($A276,'Budget révisé'!$A$2:$A$500,0),MATCH(I$2,'Budget révisé'!$A$2:$AO$2,0))</f>
        <v>65.945365208333342</v>
      </c>
      <c r="J276" s="303"/>
      <c r="K276" s="178"/>
      <c r="L276" s="281">
        <f>SUMIFS(BV_Data_An_Cour!$O:$O,BV_Data_An_Cour!$U:$U,$B276,BV_Data_An_Cour!$V:$V,$C276,BV_Data_An_Cour!$W:$W,$L$2)</f>
        <v>57.25</v>
      </c>
      <c r="M276" s="303"/>
      <c r="N276" s="304">
        <f t="shared" si="126"/>
        <v>-8.6953652083333424</v>
      </c>
      <c r="O276" s="303"/>
      <c r="P276" s="178"/>
      <c r="Q276" s="180">
        <f>SUMIFS(BV_Data_An_Prec!$O:$O,BV_Data_An_Prec!$U:$U,$B276,BV_Data_An_Prec!$V:$V,$C276,BV_Data_An_Prec!$W:$W,$L$2)</f>
        <v>122.38</v>
      </c>
      <c r="R276" s="303"/>
      <c r="S276" s="199">
        <f t="shared" si="128"/>
        <v>-65.13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
        <v>3474</v>
      </c>
      <c r="B277" s="24" t="s">
        <v>171</v>
      </c>
      <c r="C277" s="305" t="s">
        <v>131</v>
      </c>
      <c r="D277" s="301"/>
      <c r="E277" s="178"/>
      <c r="F277" s="179">
        <f>+INDEX('Budget original'!$A$2:$AO$500,MATCH($A277,'Budget original'!$A$2:$A$500,0),MATCH(F$2,'Budget original'!$A$2:$AO$2,0))</f>
        <v>35.200609791666665</v>
      </c>
      <c r="G277" s="302"/>
      <c r="H277" s="178"/>
      <c r="I277" s="179">
        <f>+INDEX('Budget révisé'!$A$2:$AO$500,MATCH($A277,'Budget révisé'!$A$2:$A$500,0),MATCH(I$2,'Budget révisé'!$A$2:$AO$2,0))</f>
        <v>35.200609791666665</v>
      </c>
      <c r="J277" s="303"/>
      <c r="K277" s="178"/>
      <c r="L277" s="281">
        <f>SUMIFS(BV_Data_An_Cour!$O:$O,BV_Data_An_Cour!$U:$U,$B277,BV_Data_An_Cour!$V:$V,$C277,BV_Data_An_Cour!$W:$W,$L$2)</f>
        <v>10.63</v>
      </c>
      <c r="M277" s="303"/>
      <c r="N277" s="304">
        <f t="shared" si="126"/>
        <v>-24.570609791666662</v>
      </c>
      <c r="O277" s="303"/>
      <c r="P277" s="178"/>
      <c r="Q277" s="180">
        <f>SUMIFS(BV_Data_An_Prec!$O:$O,BV_Data_An_Prec!$U:$U,$B277,BV_Data_An_Prec!$V:$V,$C277,BV_Data_An_Prec!$W:$W,$L$2)</f>
        <v>14.28</v>
      </c>
      <c r="R277" s="303"/>
      <c r="S277" s="199">
        <f t="shared" si="128"/>
        <v>-3.6499999999999986</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
        <v>3475</v>
      </c>
      <c r="B278" s="24" t="s">
        <v>171</v>
      </c>
      <c r="C278" s="305" t="s">
        <v>132</v>
      </c>
      <c r="D278" s="301"/>
      <c r="E278" s="178"/>
      <c r="F278" s="179">
        <f>+INDEX('Budget original'!$A$2:$AO$500,MATCH($A278,'Budget original'!$A$2:$A$500,0),MATCH(F$2,'Budget original'!$A$2:$AO$2,0))</f>
        <v>169.80109854166665</v>
      </c>
      <c r="G278" s="302"/>
      <c r="H278" s="178"/>
      <c r="I278" s="179">
        <f>+INDEX('Budget révisé'!$A$2:$AO$500,MATCH($A278,'Budget révisé'!$A$2:$A$500,0),MATCH(I$2,'Budget révisé'!$A$2:$AO$2,0))</f>
        <v>169.80109854166665</v>
      </c>
      <c r="J278" s="303"/>
      <c r="K278" s="178"/>
      <c r="L278" s="281">
        <f>SUMIFS(BV_Data_An_Cour!$O:$O,BV_Data_An_Cour!$U:$U,$B278,BV_Data_An_Cour!$V:$V,$C278,BV_Data_An_Cour!$W:$W,$L$2)</f>
        <v>72.5</v>
      </c>
      <c r="M278" s="303"/>
      <c r="N278" s="304">
        <f t="shared" si="126"/>
        <v>-97.301098541666647</v>
      </c>
      <c r="O278" s="303"/>
      <c r="P278" s="178"/>
      <c r="Q278" s="180">
        <f>SUMIFS(BV_Data_An_Prec!$O:$O,BV_Data_An_Prec!$U:$U,$B278,BV_Data_An_Prec!$V:$V,$C278,BV_Data_An_Prec!$W:$W,$L$2)</f>
        <v>55.19</v>
      </c>
      <c r="R278" s="303"/>
      <c r="S278" s="199">
        <f t="shared" si="128"/>
        <v>17.310000000000002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
        <v>3476</v>
      </c>
      <c r="B279" s="24" t="s">
        <v>171</v>
      </c>
      <c r="C279" s="305" t="s">
        <v>133</v>
      </c>
      <c r="D279" s="301"/>
      <c r="E279" s="178"/>
      <c r="F279" s="179">
        <f>+INDEX('Budget original'!$A$2:$AO$500,MATCH($A279,'Budget original'!$A$2:$A$500,0),MATCH(F$2,'Budget original'!$A$2:$AO$2,0))</f>
        <v>252.27480833333334</v>
      </c>
      <c r="G279" s="302"/>
      <c r="H279" s="178"/>
      <c r="I279" s="179">
        <f>+INDEX('Budget révisé'!$A$2:$AO$500,MATCH($A279,'Budget révisé'!$A$2:$A$500,0),MATCH(I$2,'Budget révisé'!$A$2:$AO$2,0))</f>
        <v>252.27480833333334</v>
      </c>
      <c r="J279" s="303"/>
      <c r="K279" s="178"/>
      <c r="L279" s="281">
        <f>SUMIFS(BV_Data_An_Cour!$O:$O,BV_Data_An_Cour!$U:$U,$B279,BV_Data_An_Cour!$V:$V,$C279,BV_Data_An_Cour!$W:$W,$L$2)</f>
        <v>22.33</v>
      </c>
      <c r="M279" s="303"/>
      <c r="N279" s="304">
        <f t="shared" si="126"/>
        <v>-229.94480833333336</v>
      </c>
      <c r="O279" s="303"/>
      <c r="P279" s="178"/>
      <c r="Q279" s="180">
        <f>SUMIFS(BV_Data_An_Prec!$O:$O,BV_Data_An_Prec!$U:$U,$B279,BV_Data_An_Prec!$V:$V,$C279,BV_Data_An_Prec!$W:$W,$L$2)</f>
        <v>6.2</v>
      </c>
      <c r="R279" s="303"/>
      <c r="S279" s="199">
        <f t="shared" si="128"/>
        <v>16.13</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
        <v>3477</v>
      </c>
      <c r="B280" s="24" t="s">
        <v>171</v>
      </c>
      <c r="C280" s="305" t="s">
        <v>134</v>
      </c>
      <c r="D280" s="301"/>
      <c r="E280" s="178"/>
      <c r="F280" s="231">
        <f>+INDEX('Budget original'!$A$2:$AO$500,MATCH($A280,'Budget original'!$A$2:$A$500,0),MATCH(F$2,'Budget original'!$A$2:$AO$2,0))</f>
        <v>368.20815259510528</v>
      </c>
      <c r="G280" s="302"/>
      <c r="H280" s="178"/>
      <c r="I280" s="179">
        <f>+INDEX('Budget révisé'!$A$2:$AO$500,MATCH($A280,'Budget révisé'!$A$2:$A$500,0),MATCH(I$2,'Budget révisé'!$A$2:$AO$2,0))</f>
        <v>368.20815259510528</v>
      </c>
      <c r="J280" s="303"/>
      <c r="K280" s="178"/>
      <c r="L280" s="281">
        <f>AF447*W6</f>
        <v>124.52500000000001</v>
      </c>
      <c r="M280" s="303"/>
      <c r="N280" s="304">
        <f t="shared" si="126"/>
        <v>-243.68315259510527</v>
      </c>
      <c r="O280" s="303"/>
      <c r="P280" s="178"/>
      <c r="Q280" s="281">
        <f>AL447*W6</f>
        <v>107.03050000000002</v>
      </c>
      <c r="R280" s="303"/>
      <c r="S280" s="199">
        <f t="shared" si="128"/>
        <v>17.494499999999988</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
        <v>3457</v>
      </c>
      <c r="B281" s="24" t="s">
        <v>171</v>
      </c>
      <c r="C281" s="305" t="s">
        <v>42</v>
      </c>
      <c r="D281" s="301"/>
      <c r="E281" s="178"/>
      <c r="F281" s="179">
        <f>+INDEX('Budget original'!$A$2:$AO$500,MATCH($A281,'Budget original'!$A$2:$A$500,0),MATCH(F$2,'Budget original'!$A$2:$AO$2,0))</f>
        <v>0</v>
      </c>
      <c r="G281" s="302"/>
      <c r="H281" s="178"/>
      <c r="I281" s="179">
        <f>+INDEX('Budget révisé'!$A$2:$AO$500,MATCH($A281,'Budget révisé'!$A$2:$A$500,0),MATCH(I$2,'Budget révisé'!$A$2:$AO$2,0))</f>
        <v>0</v>
      </c>
      <c r="J281" s="303"/>
      <c r="K281" s="178"/>
      <c r="L281" s="180">
        <f>SUMIFS(BV_Data_An_Cour!$O:$O,BV_Data_An_Cour!$U:$U,$B281,BV_Data_An_Cour!$V:$V,$C281,BV_Data_An_Cour!$W:$W,$L$2)</f>
        <v>0</v>
      </c>
      <c r="M281" s="303"/>
      <c r="N281" s="304">
        <f t="shared" si="126"/>
        <v>0</v>
      </c>
      <c r="O281" s="303"/>
      <c r="P281" s="178"/>
      <c r="Q281" s="180">
        <f>SUMIFS(BV_Data_An_Prec!$O:$O,BV_Data_An_Prec!$U:$U,$B281,BV_Data_An_Prec!$V:$V,$C281,BV_Data_An_Prec!$W:$W,$L$2)</f>
        <v>0</v>
      </c>
      <c r="R281" s="303"/>
      <c r="S281" s="199">
        <f t="shared" si="128"/>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
        <v>3457</v>
      </c>
      <c r="B282" s="24" t="s">
        <v>171</v>
      </c>
      <c r="C282" s="305" t="s">
        <v>42</v>
      </c>
      <c r="D282" s="301"/>
      <c r="E282" s="178"/>
      <c r="F282" s="179">
        <f>+INDEX('Budget original'!$A$2:$AO$500,MATCH($A282,'Budget original'!$A$2:$A$500,0),MATCH(F$2,'Budget original'!$A$2:$AO$2,0))</f>
        <v>0</v>
      </c>
      <c r="G282" s="302"/>
      <c r="H282" s="178"/>
      <c r="I282" s="179">
        <f>+INDEX('Budget révisé'!$A$2:$AO$500,MATCH($A282,'Budget révisé'!$A$2:$A$500,0),MATCH(I$2,'Budget révisé'!$A$2:$AO$2,0))</f>
        <v>0</v>
      </c>
      <c r="J282" s="303"/>
      <c r="K282" s="178"/>
      <c r="L282" s="180">
        <f>SUMIFS(BV_Data_An_Cour!$O:$O,BV_Data_An_Cour!$U:$U,$B282,BV_Data_An_Cour!$V:$V,$C282,BV_Data_An_Cour!$W:$W,$L$2)</f>
        <v>0</v>
      </c>
      <c r="M282" s="303"/>
      <c r="N282" s="304">
        <f t="shared" ref="N282" si="131">L282-I282</f>
        <v>0</v>
      </c>
      <c r="O282" s="303"/>
      <c r="P282" s="178"/>
      <c r="Q282" s="180">
        <f>SUMIFS(BV_Data_An_Prec!$O:$O,BV_Data_An_Prec!$U:$U,$B282,BV_Data_An_Prec!$V:$V,$C282,BV_Data_An_Prec!$W:$W,$L$2)</f>
        <v>0</v>
      </c>
      <c r="R282" s="303"/>
      <c r="S282" s="199">
        <f t="shared" ref="S282" si="13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
        <v>3457</v>
      </c>
      <c r="B283" s="24" t="s">
        <v>171</v>
      </c>
      <c r="C283" s="305" t="s">
        <v>42</v>
      </c>
      <c r="D283" s="301"/>
      <c r="E283" s="178"/>
      <c r="F283" s="179">
        <f>+INDEX('Budget original'!$A$2:$AO$500,MATCH($A283,'Budget original'!$A$2:$A$500,0),MATCH(F$2,'Budget original'!$A$2:$AO$2,0))</f>
        <v>0</v>
      </c>
      <c r="G283" s="302"/>
      <c r="H283" s="178"/>
      <c r="I283" s="179">
        <f>+INDEX('Budget révisé'!$A$2:$AO$500,MATCH($A283,'Budget révisé'!$A$2:$A$500,0),MATCH(I$2,'Budget révisé'!$A$2:$AO$2,0))</f>
        <v>0</v>
      </c>
      <c r="J283" s="303"/>
      <c r="K283" s="178"/>
      <c r="L283" s="180">
        <f>SUMIFS(BV_Data_An_Cour!$O:$O,BV_Data_An_Cour!$U:$U,$B283,BV_Data_An_Cour!$V:$V,$C283,BV_Data_An_Cour!$W:$W,$L$2)</f>
        <v>0</v>
      </c>
      <c r="M283" s="303"/>
      <c r="N283" s="304">
        <f t="shared" si="126"/>
        <v>0</v>
      </c>
      <c r="O283" s="303"/>
      <c r="P283" s="178"/>
      <c r="Q283" s="180">
        <f>SUMIFS(BV_Data_An_Prec!$O:$O,BV_Data_An_Prec!$U:$U,$B283,BV_Data_An_Prec!$V:$V,$C283,BV_Data_An_Prec!$W:$W,$L$2)</f>
        <v>0</v>
      </c>
      <c r="R283" s="303"/>
      <c r="S283" s="199">
        <f t="shared" si="128"/>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4216.746047874678</v>
      </c>
      <c r="G284" s="42" t="s">
        <v>111</v>
      </c>
      <c r="H284" s="40" t="e">
        <f>I284/I$243</f>
        <v>#DIV/0!</v>
      </c>
      <c r="I284" s="41">
        <f>+SUM(I266:I283)</f>
        <v>4216.746047874678</v>
      </c>
      <c r="J284" s="42" t="s">
        <v>111</v>
      </c>
      <c r="K284" s="40" t="e">
        <f>IF(L261=0,0,L284/L$243)</f>
        <v>#DIV/0!</v>
      </c>
      <c r="L284" s="41">
        <f>+SUM(L266:L283)</f>
        <v>3499.7450000000003</v>
      </c>
      <c r="M284" s="44"/>
      <c r="N284" s="41">
        <f>+SUM(N266:N283)</f>
        <v>-717.00104787467797</v>
      </c>
      <c r="O284" s="42" t="s">
        <v>111</v>
      </c>
      <c r="P284" s="40" t="e">
        <f>IF(Q261=0,0,Q284/Q$243)</f>
        <v>#DIV/0!</v>
      </c>
      <c r="Q284" s="41">
        <f>+SUM(Q266:Q283)</f>
        <v>2971.1304999999998</v>
      </c>
      <c r="R284" s="44"/>
      <c r="S284" s="316">
        <f t="shared" ref="S284" si="133">L284-Q284</f>
        <v>528.61450000000059</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11524.472710226551</v>
      </c>
      <c r="G286" s="42" t="s">
        <v>111</v>
      </c>
      <c r="H286" s="40" t="e">
        <f>I286/I$243</f>
        <v>#DIV/0!</v>
      </c>
      <c r="I286" s="41">
        <f>I265+I284</f>
        <v>11524.472710226551</v>
      </c>
      <c r="J286" s="42" t="s">
        <v>111</v>
      </c>
      <c r="K286" s="40" t="e">
        <f>IF(L263=0,0,L286/L$243)</f>
        <v>#DIV/0!</v>
      </c>
      <c r="L286" s="41">
        <f>L265+L284</f>
        <v>10670.095000000001</v>
      </c>
      <c r="M286" s="44"/>
      <c r="N286" s="46">
        <f t="shared" ref="N286:N288" si="134">L286-I286</f>
        <v>-854.37771022655033</v>
      </c>
      <c r="O286" s="42" t="s">
        <v>111</v>
      </c>
      <c r="P286" s="40">
        <f>IF(Q263=0,0,Q286/Q$243)</f>
        <v>0</v>
      </c>
      <c r="Q286" s="41">
        <f>Q265+Q284</f>
        <v>15133.050499999999</v>
      </c>
      <c r="R286" s="44"/>
      <c r="S286" s="299">
        <f>L286-Q286</f>
        <v>-4462.9554999999982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34"/>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10399.079155608155</v>
      </c>
      <c r="G288" s="344"/>
      <c r="H288" s="342"/>
      <c r="I288" s="343">
        <f>I249-I286</f>
        <v>10399.079155608155</v>
      </c>
      <c r="J288" s="345"/>
      <c r="K288" s="346"/>
      <c r="L288" s="343">
        <f>L249-L286</f>
        <v>9068.2949999999946</v>
      </c>
      <c r="M288" s="345"/>
      <c r="N288" s="343">
        <f t="shared" si="134"/>
        <v>-1330.7841556081603</v>
      </c>
      <c r="O288" s="345"/>
      <c r="P288" s="346"/>
      <c r="Q288" s="343">
        <f>Q249-Q286</f>
        <v>4275.889500000003</v>
      </c>
      <c r="R288" s="345"/>
      <c r="S288" s="347">
        <f>L288-Q288</f>
        <v>4792.4054999999917</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Janvier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87" t="s">
        <v>77</v>
      </c>
      <c r="E292" s="1288"/>
      <c r="F292" s="1289"/>
      <c r="G292" s="1290" t="s">
        <v>145</v>
      </c>
      <c r="H292" s="1288"/>
      <c r="I292" s="1289"/>
      <c r="J292" s="1290" t="s">
        <v>79</v>
      </c>
      <c r="K292" s="1288"/>
      <c r="L292" s="1289"/>
      <c r="M292" s="1290" t="s">
        <v>80</v>
      </c>
      <c r="N292" s="1289"/>
      <c r="O292" s="1287" t="s">
        <v>81</v>
      </c>
      <c r="P292" s="1288"/>
      <c r="Q292" s="1289"/>
      <c r="R292" s="1290" t="s">
        <v>82</v>
      </c>
      <c r="S292" s="129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
        <v>175</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
        <v>3478</v>
      </c>
      <c r="B294" s="24" t="s">
        <v>175</v>
      </c>
      <c r="C294" s="264" t="s">
        <v>177</v>
      </c>
      <c r="D294" s="197">
        <f>+INDEX('Budget original'!$A$2:$AO$500,MATCH($A294,'Budget original'!$A$2:$A$500,0),MATCH(D$2,'Budget original'!$A$2:$AO$2,0))</f>
        <v>56461.376365452648</v>
      </c>
      <c r="E294" s="210">
        <f>IF(D294=0,0,F294/D294)</f>
        <v>0.35811007851031496</v>
      </c>
      <c r="F294" s="199">
        <f>+INDEX('Budget original'!$A$2:$AO$500,MATCH($A294,'Budget original'!$A$2:$A$500,0),MATCH(F$2,'Budget original'!$A$2:$AO$2,0))</f>
        <v>20219.387923032689</v>
      </c>
      <c r="G294" s="197">
        <f>+INDEX('Budget révisé'!$A$2:$AO$500,MATCH($A294,'Budget révisé'!$A$2:$A$500,0),MATCH(G$2,'Budget révisé'!$A$2:$AO$2,0))</f>
        <v>56461.376365452648</v>
      </c>
      <c r="H294" s="210">
        <f>IF(G294=0,0,I294/G294)</f>
        <v>0.35811007851031496</v>
      </c>
      <c r="I294" s="199">
        <f>+INDEX('Budget révisé'!$A$2:$AO$500,MATCH($A294,'Budget révisé'!$A$2:$A$500,0),MATCH(I$2,'Budget révisé'!$A$2:$AO$2,0))</f>
        <v>20219.387923032689</v>
      </c>
      <c r="J294" s="179">
        <f>-SUMIFS(BV_Data_An_Cour!$O:$O,BV_Data_An_Cour!$X:$X,"Oui",BV_Data_An_Cour!$U:$U,$B294,BV_Data_An_Cour!$V:$V,$C294)</f>
        <v>56117.170000000006</v>
      </c>
      <c r="K294" s="210">
        <f t="shared" ref="K294:K299" si="135">IF(J294&lt;=0,0,L294/J294)</f>
        <v>0.36167094669955741</v>
      </c>
      <c r="L294" s="180">
        <f>-SUMIFS(BV_Data_An_Cour!$O:$O,BV_Data_An_Cour!$U:$U,$B294,BV_Data_An_Cour!$V:$V,$C294,BV_Data_An_Cour!$W:$W,$L$2)</f>
        <v>20295.950000000004</v>
      </c>
      <c r="M294" s="324">
        <f t="shared" ref="M294:M299" si="136">(+J294-G294)/G294</f>
        <v>-6.0963155277109814E-3</v>
      </c>
      <c r="N294" s="304">
        <f t="shared" ref="N294:N299" si="137">L294-I294</f>
        <v>76.562076967315079</v>
      </c>
      <c r="O294" s="179">
        <f>-SUMIFS(BV_Data_An_Prec!$O:$O,BV_Data_An_Prec!$X:$X,"Oui",BV_Data_An_Prec!$U:$U,$B294,BV_Data_An_Prec!$V:$V,$C294)</f>
        <v>45465.17</v>
      </c>
      <c r="P294" s="210">
        <f t="shared" ref="P294:P303" si="138">IF(O294&lt;=0,0,Q294/O294)</f>
        <v>0.31191085395699608</v>
      </c>
      <c r="Q294" s="180">
        <f>-SUMIFS(BV_Data_An_Prec!$O:$O,BV_Data_An_Prec!$U:$U,$B294,BV_Data_An_Prec!$V:$V,$C294,BV_Data_An_Prec!$W:$W,$L$2)</f>
        <v>14181.079999999998</v>
      </c>
      <c r="R294" s="324">
        <f>IF(O294=0,0,(J294-O294)/O294)</f>
        <v>0.23428923723368916</v>
      </c>
      <c r="S294" s="199">
        <f t="shared" ref="S294:S299" si="139">L294-Q294</f>
        <v>6114.8700000000063</v>
      </c>
      <c r="T294" s="222"/>
      <c r="U294" s="222">
        <f>G294/H171</f>
        <v>0.83350927165377031</v>
      </c>
      <c r="V294" s="222">
        <f>J294/K171</f>
        <v>0.73716497170599249</v>
      </c>
      <c r="W294" s="222"/>
      <c r="X294" s="222">
        <f>V294-U294</f>
        <v>-9.6344299947777823E-2</v>
      </c>
      <c r="Y294" s="222">
        <f>X294*K171</f>
        <v>-7334.2734207625526</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
        <v>3479</v>
      </c>
      <c r="B295" s="24" t="s">
        <v>175</v>
      </c>
      <c r="C295" s="264" t="s">
        <v>178</v>
      </c>
      <c r="D295" s="197">
        <f>+INDEX('Budget original'!$A$2:$AO$500,MATCH($A295,'Budget original'!$A$2:$A$500,0),MATCH(D$2,'Budget original'!$A$2:$AO$2,0))</f>
        <v>59470.429082605799</v>
      </c>
      <c r="E295" s="210">
        <f t="shared" ref="E295:E302" si="140">IF(D295=0,0,F295/D295)</f>
        <v>0.2571723304036081</v>
      </c>
      <c r="F295" s="199">
        <f>+INDEX('Budget original'!$A$2:$AO$500,MATCH($A295,'Budget original'!$A$2:$A$500,0),MATCH(F$2,'Budget original'!$A$2:$AO$2,0))</f>
        <v>15294.148837276241</v>
      </c>
      <c r="G295" s="197">
        <f>+INDEX('Budget révisé'!$A$2:$AO$500,MATCH($A295,'Budget révisé'!$A$2:$A$500,0),MATCH(G$2,'Budget révisé'!$A$2:$AO$2,0))</f>
        <v>59470.429082605799</v>
      </c>
      <c r="H295" s="210">
        <f t="shared" ref="H295:H302" si="141">IF(G295=0,0,I295/G295)</f>
        <v>0.2571723304036081</v>
      </c>
      <c r="I295" s="199">
        <f>+INDEX('Budget révisé'!$A$2:$AO$500,MATCH($A295,'Budget révisé'!$A$2:$A$500,0),MATCH(I$2,'Budget révisé'!$A$2:$AO$2,0))</f>
        <v>15294.148837276241</v>
      </c>
      <c r="J295" s="179">
        <f>-SUMIFS(BV_Data_An_Cour!$O:$O,BV_Data_An_Cour!$X:$X,"Oui",BV_Data_An_Cour!$U:$U,$B295,BV_Data_An_Cour!$V:$V,$C295)</f>
        <v>48433.560000000005</v>
      </c>
      <c r="K295" s="210">
        <f t="shared" si="135"/>
        <v>0.25276915428062702</v>
      </c>
      <c r="L295" s="180">
        <f>-SUMIFS(BV_Data_An_Cour!$O:$O,BV_Data_An_Cour!$U:$U,$B295,BV_Data_An_Cour!$V:$V,$C295,BV_Data_An_Cour!$W:$W,$L$2)</f>
        <v>12242.510000000006</v>
      </c>
      <c r="M295" s="324">
        <f t="shared" si="136"/>
        <v>-0.18558583236847556</v>
      </c>
      <c r="N295" s="304">
        <f t="shared" si="137"/>
        <v>-3051.6388372762358</v>
      </c>
      <c r="O295" s="179">
        <f>-SUMIFS(BV_Data_An_Prec!$O:$O,BV_Data_An_Prec!$X:$X,"Oui",BV_Data_An_Prec!$U:$U,$B295,BV_Data_An_Prec!$V:$V,$C295)</f>
        <v>57925.8</v>
      </c>
      <c r="P295" s="210">
        <f t="shared" si="138"/>
        <v>0.2373664239423538</v>
      </c>
      <c r="Q295" s="180">
        <f>-SUMIFS(BV_Data_An_Prec!$O:$O,BV_Data_An_Prec!$U:$U,$B295,BV_Data_An_Prec!$V:$V,$C295,BV_Data_An_Prec!$W:$W,$L$2)</f>
        <v>13749.639999999998</v>
      </c>
      <c r="R295" s="324">
        <f t="shared" ref="R295:R302" si="142">IF(O295=0,0,(J295-O295)/O295)</f>
        <v>-0.16386894958723053</v>
      </c>
      <c r="S295" s="199">
        <f t="shared" si="139"/>
        <v>-1507.1299999999919</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
        <v>3480</v>
      </c>
      <c r="B296" s="24" t="s">
        <v>175</v>
      </c>
      <c r="C296" s="264" t="s">
        <v>179</v>
      </c>
      <c r="D296" s="197">
        <f>+INDEX('Budget original'!$A$2:$AO$500,MATCH($A296,'Budget original'!$A$2:$A$500,0),MATCH(D$2,'Budget original'!$A$2:$AO$2,0))</f>
        <v>97054.600296279066</v>
      </c>
      <c r="E296" s="210">
        <f t="shared" si="140"/>
        <v>0.24177651145507992</v>
      </c>
      <c r="F296" s="199">
        <f>+INDEX('Budget original'!$A$2:$AO$500,MATCH($A296,'Budget original'!$A$2:$A$500,0),MATCH(F$2,'Budget original'!$A$2:$AO$2,0))</f>
        <v>23465.522680301518</v>
      </c>
      <c r="G296" s="197">
        <f>+INDEX('Budget révisé'!$A$2:$AO$500,MATCH($A296,'Budget révisé'!$A$2:$A$500,0),MATCH(G$2,'Budget révisé'!$A$2:$AO$2,0))</f>
        <v>97054.600296279066</v>
      </c>
      <c r="H296" s="210">
        <f t="shared" si="141"/>
        <v>0.24177651145507992</v>
      </c>
      <c r="I296" s="199">
        <f>+INDEX('Budget révisé'!$A$2:$AO$500,MATCH($A296,'Budget révisé'!$A$2:$A$500,0),MATCH(I$2,'Budget révisé'!$A$2:$AO$2,0))</f>
        <v>23465.522680301518</v>
      </c>
      <c r="J296" s="179">
        <f>-SUMIFS(BV_Data_An_Cour!$O:$O,BV_Data_An_Cour!$X:$X,"Oui",BV_Data_An_Cour!$U:$U,$B296,BV_Data_An_Cour!$V:$V,$C296)</f>
        <v>92178.97</v>
      </c>
      <c r="K296" s="210">
        <f t="shared" si="135"/>
        <v>0.24599244274480395</v>
      </c>
      <c r="L296" s="180">
        <f>-SUMIFS(BV_Data_An_Cour!$O:$O,BV_Data_An_Cour!$U:$U,$B296,BV_Data_An_Cour!$V:$V,$C296,BV_Data_An_Cour!$W:$W,$L$2)</f>
        <v>22675.33</v>
      </c>
      <c r="M296" s="324">
        <f t="shared" si="136"/>
        <v>-5.0235952560674133E-2</v>
      </c>
      <c r="N296" s="304">
        <f t="shared" si="137"/>
        <v>-790.19268030151579</v>
      </c>
      <c r="O296" s="179">
        <f>-SUMIFS(BV_Data_An_Prec!$O:$O,BV_Data_An_Prec!$X:$X,"Oui",BV_Data_An_Prec!$U:$U,$B296,BV_Data_An_Prec!$V:$V,$C296)</f>
        <v>111661.14</v>
      </c>
      <c r="P296" s="210">
        <f t="shared" si="138"/>
        <v>0.24196116930205086</v>
      </c>
      <c r="Q296" s="180">
        <f>-SUMIFS(BV_Data_An_Prec!$O:$O,BV_Data_An_Prec!$U:$U,$B296,BV_Data_An_Prec!$V:$V,$C296,BV_Data_An_Prec!$W:$W,$L$2)</f>
        <v>27017.660000000003</v>
      </c>
      <c r="R296" s="324">
        <f t="shared" si="142"/>
        <v>-0.17447582928134173</v>
      </c>
      <c r="S296" s="199">
        <f t="shared" si="139"/>
        <v>-4342.3300000000017</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
        <v>3481</v>
      </c>
      <c r="B297" s="24" t="s">
        <v>175</v>
      </c>
      <c r="C297" s="264" t="s">
        <v>180</v>
      </c>
      <c r="D297" s="197">
        <f>+INDEX('Budget original'!$A$2:$AO$500,MATCH($A297,'Budget original'!$A$2:$A$500,0),MATCH(D$2,'Budget original'!$A$2:$AO$2,0))</f>
        <v>29250.274620911685</v>
      </c>
      <c r="E297" s="210">
        <f t="shared" si="140"/>
        <v>0.32393223852119107</v>
      </c>
      <c r="F297" s="199">
        <f>+INDEX('Budget original'!$A$2:$AO$500,MATCH($A297,'Budget original'!$A$2:$A$500,0),MATCH(F$2,'Budget original'!$A$2:$AO$2,0))</f>
        <v>9475.1069353115054</v>
      </c>
      <c r="G297" s="197">
        <f>+INDEX('Budget révisé'!$A$2:$AO$500,MATCH($A297,'Budget révisé'!$A$2:$A$500,0),MATCH(G$2,'Budget révisé'!$A$2:$AO$2,0))</f>
        <v>29250.274620911685</v>
      </c>
      <c r="H297" s="210">
        <f t="shared" si="141"/>
        <v>0.32393223852119107</v>
      </c>
      <c r="I297" s="199">
        <f>+INDEX('Budget révisé'!$A$2:$AO$500,MATCH($A297,'Budget révisé'!$A$2:$A$500,0),MATCH(I$2,'Budget révisé'!$A$2:$AO$2,0))</f>
        <v>9475.1069353115054</v>
      </c>
      <c r="J297" s="179">
        <f>-SUMIFS(BV_Data_An_Cour!$O:$O,BV_Data_An_Cour!$X:$X,"Oui",BV_Data_An_Cour!$U:$U,$B297,BV_Data_An_Cour!$V:$V,$C297)</f>
        <v>39257.660000000003</v>
      </c>
      <c r="K297" s="210">
        <f t="shared" si="135"/>
        <v>0.3217084258205915</v>
      </c>
      <c r="L297" s="180">
        <f>-SUMIFS(BV_Data_An_Cour!$O:$O,BV_Data_An_Cour!$U:$U,$B297,BV_Data_An_Cour!$V:$V,$C297,BV_Data_An_Cour!$W:$W,$L$2)</f>
        <v>12629.520000000004</v>
      </c>
      <c r="M297" s="324">
        <f t="shared" si="136"/>
        <v>0.34212962130392482</v>
      </c>
      <c r="N297" s="304">
        <f t="shared" si="137"/>
        <v>3154.4130646884987</v>
      </c>
      <c r="O297" s="179">
        <f>-SUMIFS(BV_Data_An_Prec!$O:$O,BV_Data_An_Prec!$X:$X,"Oui",BV_Data_An_Prec!$U:$U,$B297,BV_Data_An_Prec!$V:$V,$C297)</f>
        <v>20282.22</v>
      </c>
      <c r="P297" s="210">
        <f t="shared" si="138"/>
        <v>0.35630616372369495</v>
      </c>
      <c r="Q297" s="180">
        <f>-SUMIFS(BV_Data_An_Prec!$O:$O,BV_Data_An_Prec!$U:$U,$B297,BV_Data_An_Prec!$V:$V,$C297,BV_Data_An_Prec!$W:$W,$L$2)</f>
        <v>7226.68</v>
      </c>
      <c r="R297" s="324">
        <f t="shared" si="142"/>
        <v>0.93557016934043713</v>
      </c>
      <c r="S297" s="199">
        <f t="shared" si="139"/>
        <v>5402.8400000000038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
        <v>3482</v>
      </c>
      <c r="B298" s="24" t="s">
        <v>175</v>
      </c>
      <c r="C298" s="264" t="s">
        <v>181</v>
      </c>
      <c r="D298" s="197">
        <f>+INDEX('Budget original'!$A$2:$AO$500,MATCH($A298,'Budget original'!$A$2:$A$500,0),MATCH(D$2,'Budget original'!$A$2:$AO$2,0))</f>
        <v>11826.519514609769</v>
      </c>
      <c r="E298" s="210">
        <f t="shared" si="140"/>
        <v>0.28113730707120016</v>
      </c>
      <c r="F298" s="199">
        <f>+INDEX('Budget original'!$A$2:$AO$500,MATCH($A298,'Budget original'!$A$2:$A$500,0),MATCH(F$2,'Budget original'!$A$2:$AO$2,0))</f>
        <v>3324.8758483623874</v>
      </c>
      <c r="G298" s="197">
        <f>+INDEX('Budget révisé'!$A$2:$AO$500,MATCH($A298,'Budget révisé'!$A$2:$A$500,0),MATCH(G$2,'Budget révisé'!$A$2:$AO$2,0))</f>
        <v>11826.519514609769</v>
      </c>
      <c r="H298" s="210">
        <f t="shared" si="141"/>
        <v>0.28113730707120016</v>
      </c>
      <c r="I298" s="199">
        <f>+INDEX('Budget révisé'!$A$2:$AO$500,MATCH($A298,'Budget révisé'!$A$2:$A$500,0),MATCH(I$2,'Budget révisé'!$A$2:$AO$2,0))</f>
        <v>3324.8758483623874</v>
      </c>
      <c r="J298" s="179">
        <f>-SUMIFS(BV_Data_An_Cour!$O:$O,BV_Data_An_Cour!$X:$X,"Oui",BV_Data_An_Cour!$U:$U,$B298,BV_Data_An_Cour!$V:$V,$C298)</f>
        <v>14260.07</v>
      </c>
      <c r="K298" s="210">
        <f t="shared" si="135"/>
        <v>0.33473047467508915</v>
      </c>
      <c r="L298" s="180">
        <f>-SUMIFS(BV_Data_An_Cour!$O:$O,BV_Data_An_Cour!$U:$U,$B298,BV_Data_An_Cour!$V:$V,$C298,BV_Data_An_Cour!$W:$W,$L$2)</f>
        <v>4773.2799999999988</v>
      </c>
      <c r="M298" s="324">
        <f t="shared" si="136"/>
        <v>0.2057706396530247</v>
      </c>
      <c r="N298" s="304">
        <f t="shared" si="137"/>
        <v>1448.4041516376114</v>
      </c>
      <c r="O298" s="179">
        <f>-SUMIFS(BV_Data_An_Prec!$O:$O,BV_Data_An_Prec!$X:$X,"Oui",BV_Data_An_Prec!$U:$U,$B298,BV_Data_An_Prec!$V:$V,$C298)</f>
        <v>10343.09</v>
      </c>
      <c r="P298" s="210">
        <f t="shared" si="138"/>
        <v>0.31593943396025753</v>
      </c>
      <c r="Q298" s="180">
        <f>-SUMIFS(BV_Data_An_Prec!$O:$O,BV_Data_An_Prec!$U:$U,$B298,BV_Data_An_Prec!$V:$V,$C298,BV_Data_An_Prec!$W:$W,$L$2)</f>
        <v>3267.79</v>
      </c>
      <c r="R298" s="324">
        <f t="shared" si="142"/>
        <v>0.37870500981814909</v>
      </c>
      <c r="S298" s="199">
        <f t="shared" si="139"/>
        <v>1505.4899999999989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
        <v>3483</v>
      </c>
      <c r="B299" s="24" t="s">
        <v>175</v>
      </c>
      <c r="C299" s="264" t="s">
        <v>182</v>
      </c>
      <c r="D299" s="197">
        <f>+INDEX('Budget original'!$A$2:$AO$500,MATCH($A299,'Budget original'!$A$2:$A$500,0),MATCH(D$2,'Budget original'!$A$2:$AO$2,0))</f>
        <v>53078.787628093189</v>
      </c>
      <c r="E299" s="210">
        <f t="shared" si="140"/>
        <v>0.18194830719212418</v>
      </c>
      <c r="F299" s="199">
        <f>+INDEX('Budget original'!$A$2:$AO$500,MATCH($A299,'Budget original'!$A$2:$A$500,0),MATCH(F$2,'Budget original'!$A$2:$AO$2,0))</f>
        <v>9657.5955567418205</v>
      </c>
      <c r="G299" s="197">
        <f>+INDEX('Budget révisé'!$A$2:$AO$500,MATCH($A299,'Budget révisé'!$A$2:$A$500,0),MATCH(G$2,'Budget révisé'!$A$2:$AO$2,0))</f>
        <v>53078.787628093189</v>
      </c>
      <c r="H299" s="210">
        <f t="shared" si="141"/>
        <v>0.18194830719212418</v>
      </c>
      <c r="I299" s="199">
        <f>+INDEX('Budget révisé'!$A$2:$AO$500,MATCH($A299,'Budget révisé'!$A$2:$A$500,0),MATCH(I$2,'Budget révisé'!$A$2:$AO$2,0))</f>
        <v>9657.5955567418205</v>
      </c>
      <c r="J299" s="179">
        <f>-SUMIFS(BV_Data_An_Cour!$O:$O,BV_Data_An_Cour!$X:$X,"Oui",BV_Data_An_Cour!$U:$U,$B299,BV_Data_An_Cour!$V:$V,$C299)</f>
        <v>75601.990000000005</v>
      </c>
      <c r="K299" s="210">
        <f t="shared" si="135"/>
        <v>0.14868814961087667</v>
      </c>
      <c r="L299" s="180">
        <f>-SUMIFS(BV_Data_An_Cour!$O:$O,BV_Data_An_Cour!$U:$U,$B299,BV_Data_An_Cour!$V:$V,$C299,BV_Data_An_Cour!$W:$W,$L$2)</f>
        <v>11241.120000000003</v>
      </c>
      <c r="M299" s="324">
        <f t="shared" si="136"/>
        <v>0.4243352830460258</v>
      </c>
      <c r="N299" s="304">
        <f t="shared" si="137"/>
        <v>1583.5244432581821</v>
      </c>
      <c r="O299" s="179">
        <f>-SUMIFS(BV_Data_An_Prec!$O:$O,BV_Data_An_Prec!$X:$X,"Oui",BV_Data_An_Prec!$U:$U,$B299,BV_Data_An_Prec!$V:$V,$C299)</f>
        <v>44671.41</v>
      </c>
      <c r="P299" s="210">
        <f t="shared" si="138"/>
        <v>0.19024785651493889</v>
      </c>
      <c r="Q299" s="180">
        <f>-SUMIFS(BV_Data_An_Prec!$O:$O,BV_Data_An_Prec!$U:$U,$B299,BV_Data_An_Prec!$V:$V,$C299,BV_Data_An_Prec!$W:$W,$L$2)</f>
        <v>8498.6400000000067</v>
      </c>
      <c r="R299" s="324">
        <f t="shared" si="142"/>
        <v>0.69240214266798383</v>
      </c>
      <c r="S299" s="199">
        <f t="shared" si="139"/>
        <v>2742.4799999999959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
        <v>3484</v>
      </c>
      <c r="B300" s="24" t="s">
        <v>175</v>
      </c>
      <c r="C300" s="264" t="s">
        <v>42</v>
      </c>
      <c r="D300" s="197">
        <f>+INDEX('Budget original'!$A$2:$AO$500,MATCH($A300,'Budget original'!$A$2:$A$500,0),MATCH(D$2,'Budget original'!$A$2:$AO$2,0))</f>
        <v>0</v>
      </c>
      <c r="E300" s="210">
        <f t="shared" ref="E300" si="143">IF(D300=0,0,F300/D300)</f>
        <v>0</v>
      </c>
      <c r="F300" s="199">
        <f>+INDEX('Budget original'!$A$2:$AO$500,MATCH($A300,'Budget original'!$A$2:$A$500,0),MATCH(F$2,'Budget original'!$A$2:$AO$2,0))</f>
        <v>0</v>
      </c>
      <c r="G300" s="197">
        <f>+INDEX('Budget révisé'!$A$2:$AO$500,MATCH($A300,'Budget révisé'!$A$2:$A$500,0),MATCH(G$2,'Budget révisé'!$A$2:$AO$2,0))</f>
        <v>0</v>
      </c>
      <c r="H300" s="210">
        <f t="shared" ref="H300" si="144">IF(G300=0,0,I300/G300)</f>
        <v>0</v>
      </c>
      <c r="I300" s="199">
        <f>+INDEX('Budget révisé'!$A$2:$AO$500,MATCH($A300,'Budget révisé'!$A$2:$A$500,0),MATCH(I$2,'Budget révisé'!$A$2:$AO$2,0))</f>
        <v>0</v>
      </c>
      <c r="J300" s="179">
        <f>-SUMIFS(BV_Data_An_Cour!$O:$O,BV_Data_An_Cour!$X:$X,"Oui",BV_Data_An_Cour!$U:$U,$B300,BV_Data_An_Cour!$V:$V,$C300)</f>
        <v>0</v>
      </c>
      <c r="K300" s="210">
        <f t="shared" ref="K300" si="145">IF(J300&lt;=0,0,L300/J300)</f>
        <v>0</v>
      </c>
      <c r="L300" s="180">
        <f>-SUMIFS(BV_Data_An_Cour!$O:$O,BV_Data_An_Cour!$U:$U,$B300,BV_Data_An_Cour!$V:$V,$C300,BV_Data_An_Cour!$W:$W,$L$2)</f>
        <v>0</v>
      </c>
      <c r="M300" s="324" t="e">
        <f t="shared" ref="M300" si="146">(+J300-G300)/G300</f>
        <v>#DIV/0!</v>
      </c>
      <c r="N300" s="304">
        <f t="shared" ref="N300" si="147">L300-I300</f>
        <v>0</v>
      </c>
      <c r="O300" s="179">
        <f>-SUMIFS(BV_Data_An_Prec!$O:$O,BV_Data_An_Prec!$X:$X,"Oui",BV_Data_An_Prec!$U:$U,$B300,BV_Data_An_Prec!$V:$V,$C300)</f>
        <v>0</v>
      </c>
      <c r="P300" s="210">
        <f t="shared" ref="P300" si="148">IF(O300&lt;=0,0,Q300/O300)</f>
        <v>0</v>
      </c>
      <c r="Q300" s="180">
        <f>-SUMIFS(BV_Data_An_Prec!$O:$O,BV_Data_An_Prec!$U:$U,$B300,BV_Data_An_Prec!$V:$V,$C300,BV_Data_An_Prec!$W:$W,$L$2)</f>
        <v>0</v>
      </c>
      <c r="R300" s="324">
        <f t="shared" ref="R300" si="149">IF(O300=0,0,(J300-O300)/O300)</f>
        <v>0</v>
      </c>
      <c r="S300" s="199">
        <f t="shared" ref="S300" si="15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
        <v>3485</v>
      </c>
      <c r="B301" s="24" t="s">
        <v>175</v>
      </c>
      <c r="C301" s="264" t="s">
        <v>183</v>
      </c>
      <c r="D301" s="197">
        <f>+INDEX('Budget original'!$A$2:$AO$500,MATCH($A301,'Budget original'!$A$2:$A$500,0),MATCH(D$2,'Budget original'!$A$2:$AO$2,0))</f>
        <v>0</v>
      </c>
      <c r="E301" s="210">
        <f t="shared" si="140"/>
        <v>0</v>
      </c>
      <c r="F301" s="199">
        <f>+INDEX('Budget original'!$A$2:$AO$500,MATCH($A301,'Budget original'!$A$2:$A$500,0),MATCH(F$2,'Budget original'!$A$2:$AO$2,0))</f>
        <v>5090.0531326941427</v>
      </c>
      <c r="G301" s="197">
        <f>+INDEX('Budget révisé'!$A$2:$AO$500,MATCH($A301,'Budget révisé'!$A$2:$A$500,0),MATCH(G$2,'Budget révisé'!$A$2:$AO$2,0))</f>
        <v>0</v>
      </c>
      <c r="H301" s="210">
        <f t="shared" si="141"/>
        <v>0</v>
      </c>
      <c r="I301" s="199">
        <f>+INDEX('Budget révisé'!$A$2:$AO$500,MATCH($A301,'Budget révisé'!$A$2:$A$500,0),MATCH(I$2,'Budget révisé'!$A$2:$AO$2,0))</f>
        <v>5090.0531326941427</v>
      </c>
      <c r="J301" s="179">
        <f>-SUMIFS(BV_Data_An_Cour!$O:$O,BV_Data_An_Cour!$X:$X,"Oui",BV_Data_An_Cour!$U:$U,$B301,BV_Data_An_Cour!$V:$V,$C301)</f>
        <v>0</v>
      </c>
      <c r="K301" s="210">
        <f t="shared" ref="K301:K303" si="151">IF(J301&lt;=0,0,L301/J301)</f>
        <v>0</v>
      </c>
      <c r="L301" s="281">
        <f>-SUMIFS(BV_Data_An_Cour!$O:$O,BV_Data_An_Cour!$U:$U,$B301,BV_Data_An_Cour!$V:$V,$C301,BV_Data_An_Cour!$W:$W,$L$2)</f>
        <v>4475.3200000000006</v>
      </c>
      <c r="M301" s="324"/>
      <c r="N301" s="304">
        <f t="shared" ref="N301:N303" si="152">L301-I301</f>
        <v>-614.73313269414211</v>
      </c>
      <c r="O301" s="179">
        <f>-SUMIFS(BV_Data_An_Prec!$O:$O,BV_Data_An_Prec!$X:$X,"Oui",BV_Data_An_Prec!$U:$U,$B301,BV_Data_An_Prec!$V:$V,$C301)</f>
        <v>0</v>
      </c>
      <c r="P301" s="210">
        <f t="shared" si="138"/>
        <v>0</v>
      </c>
      <c r="Q301" s="180">
        <f>-SUMIFS(BV_Data_An_Prec!$O:$O,BV_Data_An_Prec!$U:$U,$B301,BV_Data_An_Prec!$V:$V,$C301,BV_Data_An_Prec!$W:$W,$L$2)</f>
        <v>3100.73</v>
      </c>
      <c r="R301" s="324">
        <f t="shared" si="142"/>
        <v>0</v>
      </c>
      <c r="S301" s="199">
        <f t="shared" ref="S301:S303" si="153">L301-Q301</f>
        <v>1374.5900000000006</v>
      </c>
      <c r="T301" s="222"/>
      <c r="U301" s="222" t="s">
        <v>2921</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
        <v>3486</v>
      </c>
      <c r="B302" s="24" t="s">
        <v>175</v>
      </c>
      <c r="C302" s="326" t="s">
        <v>184</v>
      </c>
      <c r="D302" s="197">
        <f>+INDEX('Budget original'!$A$2:$AO$500,MATCH($A302,'Budget original'!$A$2:$A$500,0),MATCH(D$2,'Budget original'!$A$2:$AO$2,0))</f>
        <v>0</v>
      </c>
      <c r="E302" s="210">
        <f t="shared" si="140"/>
        <v>0</v>
      </c>
      <c r="F302" s="199">
        <f>+INDEX('Budget original'!$A$2:$AO$500,MATCH($A302,'Budget original'!$A$2:$A$500,0),MATCH(F$2,'Budget original'!$A$2:$AO$2,0))</f>
        <v>0</v>
      </c>
      <c r="G302" s="197">
        <f>+INDEX('Budget révisé'!$A$2:$AO$500,MATCH($A302,'Budget révisé'!$A$2:$A$500,0),MATCH(G$2,'Budget révisé'!$A$2:$AO$2,0))</f>
        <v>0</v>
      </c>
      <c r="H302" s="210">
        <f t="shared" si="141"/>
        <v>0</v>
      </c>
      <c r="I302" s="199">
        <f>+INDEX('Budget révisé'!$A$2:$AO$500,MATCH($A302,'Budget révisé'!$A$2:$A$500,0),MATCH(I$2,'Budget révisé'!$A$2:$AO$2,0))</f>
        <v>0</v>
      </c>
      <c r="J302" s="179">
        <f>-SUMIFS(BV_Data_An_Cour!$O:$O,BV_Data_An_Cour!$X:$X,"Oui",BV_Data_An_Cour!$U:$U,$B302,BV_Data_An_Cour!$V:$V,$C302)</f>
        <v>0</v>
      </c>
      <c r="K302" s="210">
        <f t="shared" si="151"/>
        <v>0</v>
      </c>
      <c r="L302" s="180">
        <f>-SUMIFS(BV_Data_An_Cour!$O:$O,BV_Data_An_Cour!$U:$U,$B302,BV_Data_An_Cour!$V:$V,$C302,BV_Data_An_Cour!$W:$W,$L$2)</f>
        <v>0</v>
      </c>
      <c r="M302" s="324"/>
      <c r="N302" s="304">
        <f t="shared" si="152"/>
        <v>0</v>
      </c>
      <c r="O302" s="179">
        <f>-SUMIFS(BV_Data_An_Prec!$O:$O,BV_Data_An_Prec!$X:$X,"Oui",BV_Data_An_Prec!$U:$U,$B302,BV_Data_An_Prec!$V:$V,$C302)</f>
        <v>0</v>
      </c>
      <c r="P302" s="210">
        <f t="shared" si="138"/>
        <v>0</v>
      </c>
      <c r="Q302" s="180">
        <f>-SUMIFS(BV_Data_An_Prec!$O:$O,BV_Data_An_Prec!$U:$U,$B302,BV_Data_An_Prec!$V:$V,$C302,BV_Data_An_Prec!$W:$W,$L$2)</f>
        <v>0</v>
      </c>
      <c r="R302" s="324">
        <f t="shared" si="142"/>
        <v>0</v>
      </c>
      <c r="S302" s="199">
        <f t="shared" si="15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
        <v>3487</v>
      </c>
      <c r="B303" s="24" t="s">
        <v>175</v>
      </c>
      <c r="C303" s="327" t="s">
        <v>185</v>
      </c>
      <c r="D303" s="198">
        <f>SUM(D294:D302)</f>
        <v>307141.98750795214</v>
      </c>
      <c r="E303" s="328">
        <f>IF(D303&lt;=0,0,F303/D303)</f>
        <v>0.28171560526702671</v>
      </c>
      <c r="F303" s="200">
        <f>SUM(F294:F302)</f>
        <v>86526.690913720304</v>
      </c>
      <c r="G303" s="198">
        <f>SUM(G294:G302)</f>
        <v>307141.98750795214</v>
      </c>
      <c r="H303" s="328">
        <f>IF(G303&lt;=0,0,I303/G303)</f>
        <v>0.28171560526702671</v>
      </c>
      <c r="I303" s="200">
        <f>SUM(I294:I302)</f>
        <v>86526.690913720304</v>
      </c>
      <c r="J303" s="198">
        <f>SUM(J294:J302)</f>
        <v>325849.42000000004</v>
      </c>
      <c r="K303" s="328">
        <f t="shared" si="151"/>
        <v>0.27108542958278098</v>
      </c>
      <c r="L303" s="329">
        <f>SUM(L294:L302)</f>
        <v>88333.030000000028</v>
      </c>
      <c r="M303" s="330">
        <f>(+J303-G303)/G303</f>
        <v>6.0908092194863289E-2</v>
      </c>
      <c r="N303" s="329">
        <f t="shared" si="152"/>
        <v>1806.3390862797241</v>
      </c>
      <c r="O303" s="198">
        <f>SUM(O294:O302)</f>
        <v>290348.82999999996</v>
      </c>
      <c r="P303" s="328">
        <f t="shared" si="138"/>
        <v>0.26534365576744362</v>
      </c>
      <c r="Q303" s="329">
        <f>SUM(Q294:Q302)</f>
        <v>77042.22</v>
      </c>
      <c r="R303" s="330">
        <f>IF(O303=0,0,(J303-O303)/O303)</f>
        <v>0.12226875513843155</v>
      </c>
      <c r="S303" s="200">
        <f t="shared" si="153"/>
        <v>11290.810000000027</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
        <v>175</v>
      </c>
      <c r="B304" s="24" t="s">
        <v>175</v>
      </c>
      <c r="C304" s="264"/>
      <c r="D304" s="178"/>
      <c r="E304" s="178"/>
      <c r="F304" s="312"/>
      <c r="G304" s="303"/>
      <c r="H304" s="178"/>
      <c r="I304" s="312"/>
      <c r="J304" s="303"/>
      <c r="K304" s="178"/>
      <c r="L304" s="312"/>
      <c r="M304" s="303"/>
      <c r="N304" s="332">
        <f>N303/I303</f>
        <v>2.0876091148347587E-2</v>
      </c>
      <c r="O304" s="303"/>
      <c r="P304" s="178"/>
      <c r="Q304" s="312"/>
      <c r="R304" s="303"/>
      <c r="S304" s="333">
        <f>IF(Q303=0,0,S303/Q303)</f>
        <v>0.14655353908545246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
        <v>175</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
        <v>3488</v>
      </c>
      <c r="B306" s="24" t="s">
        <v>175</v>
      </c>
      <c r="C306" s="264" t="s">
        <v>186</v>
      </c>
      <c r="D306" s="197">
        <f>+INDEX('Budget original'!$A$2:$AO$500,MATCH($A306,'Budget original'!$A$2:$A$500,0),MATCH(D$2,'Budget original'!$A$2:$AO$2,0))</f>
        <v>31292.343122294344</v>
      </c>
      <c r="E306" s="210">
        <f t="shared" ref="E306:E307" si="154">IF(D306=0,0,F306/D306)</f>
        <v>0.1816444838198383</v>
      </c>
      <c r="F306" s="201">
        <f>+INDEX('Budget original'!$A$2:$AO$500,MATCH($A306,'Budget original'!$A$2:$A$500,0),MATCH(F$2,'Budget original'!$A$2:$AO$2,0))</f>
        <v>5684.0815139624237</v>
      </c>
      <c r="G306" s="197">
        <f>+INDEX('Budget révisé'!$A$2:$AO$500,MATCH($A306,'Budget révisé'!$A$2:$A$500,0),MATCH(G$2,'Budget révisé'!$A$2:$AO$2,0))</f>
        <v>31292.343122294344</v>
      </c>
      <c r="H306" s="210">
        <f t="shared" ref="H306:H307" si="155">IF(G306=0,0,I306/G306)</f>
        <v>0.1816444838198383</v>
      </c>
      <c r="I306" s="201">
        <f>+INDEX('Budget révisé'!$A$2:$AO$500,MATCH($A306,'Budget révisé'!$A$2:$A$500,0),MATCH(I$2,'Budget révisé'!$A$2:$AO$2,0))</f>
        <v>5684.0815139624237</v>
      </c>
      <c r="J306" s="179">
        <f>-SUMIFS(BV_Data_An_Cour!$O:$O,BV_Data_An_Cour!$X:$X,"Oui",BV_Data_An_Cour!$U:$U,$B306,BV_Data_An_Cour!$V:$V,$C306)</f>
        <v>31493.11</v>
      </c>
      <c r="K306" s="536">
        <f t="shared" ref="K306:K308" si="156">IF(J306&lt;=0,0,L306/J306)</f>
        <v>0.17875370200021531</v>
      </c>
      <c r="L306" s="180">
        <f>-SUMIFS(BV_Data_An_Cour!$O:$O,BV_Data_An_Cour!$U:$U,$B306,BV_Data_An_Cour!$V:$V,$C306,BV_Data_An_Cour!$W:$W,$L$2)</f>
        <v>5629.5100000000011</v>
      </c>
      <c r="M306" s="324">
        <f t="shared" ref="M306:M308" si="157">(+J306-G306)/G306</f>
        <v>6.4158467431165251E-3</v>
      </c>
      <c r="N306" s="304">
        <f t="shared" ref="N306:N308" si="158">L306-I306</f>
        <v>-54.571513962422614</v>
      </c>
      <c r="O306" s="179">
        <f>-SUMIFS(BV_Data_An_Prec!$O:$O,BV_Data_An_Prec!$X:$X,"Oui",BV_Data_An_Prec!$U:$U,$B306,BV_Data_An_Prec!$V:$V,$C306)</f>
        <v>14638.67</v>
      </c>
      <c r="P306" s="210">
        <f t="shared" ref="P306:P308" si="159">IF(O306&lt;=0,0,Q306/O306)</f>
        <v>0.18497308840215676</v>
      </c>
      <c r="Q306" s="180">
        <f>-SUMIFS(BV_Data_An_Prec!$O:$O,BV_Data_An_Prec!$U:$U,$B306,BV_Data_An_Prec!$V:$V,$C306,BV_Data_An_Prec!$W:$W,$L$2)</f>
        <v>2707.76</v>
      </c>
      <c r="R306" s="324">
        <f t="shared" ref="R306:R307" si="160">IF(O306=0,0,(J306-O306)/O306)</f>
        <v>1.1513641608151561</v>
      </c>
      <c r="S306" s="199">
        <f t="shared" ref="S306:S308" si="161">L306-Q306</f>
        <v>2921.7500000000009</v>
      </c>
      <c r="T306" s="222"/>
      <c r="U306" s="222" t="s">
        <v>2922</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
        <v>3489</v>
      </c>
      <c r="B307" s="24" t="s">
        <v>175</v>
      </c>
      <c r="C307" s="326" t="s">
        <v>187</v>
      </c>
      <c r="D307" s="197">
        <f>+INDEX('Budget original'!$A$2:$AO$500,MATCH($A307,'Budget original'!$A$2:$A$500,0),MATCH(D$2,'Budget original'!$A$2:$AO$2,0))</f>
        <v>12189.384178068864</v>
      </c>
      <c r="E307" s="210">
        <f t="shared" si="154"/>
        <v>0.29130399895825637</v>
      </c>
      <c r="F307" s="202">
        <f>+INDEX('Budget original'!$A$2:$AO$500,MATCH($A307,'Budget original'!$A$2:$A$500,0),MATCH(F$2,'Budget original'!$A$2:$AO$2,0))</f>
        <v>3550.8163559099589</v>
      </c>
      <c r="G307" s="197">
        <f>+INDEX('Budget révisé'!$A$2:$AO$500,MATCH($A307,'Budget révisé'!$A$2:$A$500,0),MATCH(G$2,'Budget révisé'!$A$2:$AO$2,0))</f>
        <v>12189.384178068864</v>
      </c>
      <c r="H307" s="210">
        <f t="shared" si="155"/>
        <v>0.29130399895825637</v>
      </c>
      <c r="I307" s="202">
        <f>+INDEX('Budget révisé'!$A$2:$AO$500,MATCH($A307,'Budget révisé'!$A$2:$A$500,0),MATCH(I$2,'Budget révisé'!$A$2:$AO$2,0))</f>
        <v>3550.8163559099589</v>
      </c>
      <c r="J307" s="179">
        <f>-SUMIFS(BV_Data_An_Cour!$O:$O,BV_Data_An_Cour!$X:$X,"Oui",BV_Data_An_Cour!$U:$U,$B307,BV_Data_An_Cour!$V:$V,$C307)</f>
        <v>13151.54</v>
      </c>
      <c r="K307" s="210">
        <f t="shared" si="156"/>
        <v>0.26523737904458339</v>
      </c>
      <c r="L307" s="180">
        <f>-SUMIFS(BV_Data_An_Cour!$O:$O,BV_Data_An_Cour!$U:$U,$B307,BV_Data_An_Cour!$V:$V,$C307,BV_Data_An_Cour!$W:$W,$L$2)</f>
        <v>3488.2800000000007</v>
      </c>
      <c r="M307" s="324">
        <f t="shared" si="157"/>
        <v>7.8933915600285023E-2</v>
      </c>
      <c r="N307" s="304">
        <f t="shared" si="158"/>
        <v>-62.536355909958274</v>
      </c>
      <c r="O307" s="179">
        <f>-SUMIFS(BV_Data_An_Prec!$O:$O,BV_Data_An_Prec!$X:$X,"Oui",BV_Data_An_Prec!$U:$U,$B307,BV_Data_An_Prec!$V:$V,$C307)</f>
        <v>11296.55</v>
      </c>
      <c r="P307" s="210">
        <f t="shared" si="159"/>
        <v>0.28911835914504863</v>
      </c>
      <c r="Q307" s="180">
        <f>-SUMIFS(BV_Data_An_Prec!$O:$O,BV_Data_An_Prec!$U:$U,$B307,BV_Data_An_Prec!$V:$V,$C307,BV_Data_An_Prec!$W:$W,$L$2)</f>
        <v>3266.0399999999991</v>
      </c>
      <c r="R307" s="324">
        <f t="shared" si="160"/>
        <v>0.16420854154587036</v>
      </c>
      <c r="S307" s="199">
        <f t="shared" si="161"/>
        <v>222.2400000000016</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
        <v>3490</v>
      </c>
      <c r="B308" s="24" t="s">
        <v>175</v>
      </c>
      <c r="C308" s="327" t="s">
        <v>188</v>
      </c>
      <c r="D308" s="198">
        <f>D303+D306+D307</f>
        <v>350623.71480831533</v>
      </c>
      <c r="E308" s="328">
        <f>IF(D308&lt;=0,0,F308/D308)</f>
        <v>0.27311783184986554</v>
      </c>
      <c r="F308" s="329">
        <f t="shared" ref="F308" si="162">F303+F306+F307</f>
        <v>95761.588783592684</v>
      </c>
      <c r="G308" s="331">
        <f>G303+G306+G307</f>
        <v>350623.71480831533</v>
      </c>
      <c r="H308" s="328">
        <f>IF(G308&lt;=0,0,I308/G308)</f>
        <v>0.27311783184986554</v>
      </c>
      <c r="I308" s="329">
        <f t="shared" ref="I308" si="163">I303+I306+I307</f>
        <v>95761.588783592684</v>
      </c>
      <c r="J308" s="331">
        <f t="shared" ref="J308" si="164">J303+J306+J307</f>
        <v>370494.07</v>
      </c>
      <c r="K308" s="328">
        <f t="shared" si="156"/>
        <v>0.26302936508538455</v>
      </c>
      <c r="L308" s="329">
        <f>L303+L306+L307</f>
        <v>97450.820000000022</v>
      </c>
      <c r="M308" s="330">
        <f t="shared" si="157"/>
        <v>5.6671452478756969E-2</v>
      </c>
      <c r="N308" s="329">
        <f t="shared" si="158"/>
        <v>1689.2312164073373</v>
      </c>
      <c r="O308" s="331">
        <f t="shared" ref="O308" si="165">O303+O306+O307</f>
        <v>316284.04999999993</v>
      </c>
      <c r="P308" s="328">
        <f t="shared" si="159"/>
        <v>0.26247298907421984</v>
      </c>
      <c r="Q308" s="329">
        <f>Q303+Q306+Q307</f>
        <v>83016.01999999999</v>
      </c>
      <c r="R308" s="330">
        <f>IF(O308=0,0,(J308-O308)/O308)</f>
        <v>0.17139662907440351</v>
      </c>
      <c r="S308" s="200">
        <f t="shared" si="161"/>
        <v>14434.800000000032</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
        <v>175</v>
      </c>
      <c r="B309" s="24" t="s">
        <v>175</v>
      </c>
      <c r="C309" s="264"/>
      <c r="D309" s="178"/>
      <c r="E309" s="178"/>
      <c r="F309" s="312"/>
      <c r="G309" s="303"/>
      <c r="H309" s="178"/>
      <c r="I309" s="312"/>
      <c r="J309" s="303"/>
      <c r="K309" s="178"/>
      <c r="L309" s="312"/>
      <c r="M309" s="303"/>
      <c r="N309" s="332">
        <f>N308/I308</f>
        <v>1.7639966482017704E-2</v>
      </c>
      <c r="O309" s="303"/>
      <c r="P309" s="178"/>
      <c r="Q309" s="312"/>
      <c r="R309" s="303"/>
      <c r="S309" s="333">
        <f>IF(Q308=0,0,S308/Q308)</f>
        <v>0.17387969213653021</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
        <v>175</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
        <v>3491</v>
      </c>
      <c r="B311" s="24" t="s">
        <v>175</v>
      </c>
      <c r="C311" s="326" t="s">
        <v>189</v>
      </c>
      <c r="D311" s="190">
        <f>+INDEX('Budget original'!$A$2:$AO$500,MATCH($A311,'Budget original'!$A$2:$A$500,0),MATCH(D$2,'Budget original'!$A$2:$AO$2,0))</f>
        <v>0</v>
      </c>
      <c r="E311" s="195">
        <f t="shared" ref="E311" si="166">IF(D311=0,0,F311/D311)</f>
        <v>0</v>
      </c>
      <c r="F311" s="196">
        <f>+INDEX('Budget original'!$A$2:$AO$500,MATCH($A311,'Budget original'!$A$2:$A$500,0),MATCH(F$2,'Budget original'!$A$2:$AO$2,0))</f>
        <v>0</v>
      </c>
      <c r="G311" s="211">
        <f>+INDEX('Budget révisé'!$A$2:$AO$500,MATCH($A311,'Budget révisé'!$A$2:$A$500,0),MATCH(G$2,'Budget révisé'!$A$2:$AO$2,0))</f>
        <v>0</v>
      </c>
      <c r="H311" s="195">
        <f t="shared" ref="H311" si="167">IF(G311=0,0,I311/G311)</f>
        <v>0</v>
      </c>
      <c r="I311" s="196">
        <f>+INDEX('Budget révisé'!$A$2:$AO$500,MATCH($A311,'Budget révisé'!$A$2:$A$500,0),MATCH(I$2,'Budget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
        <v>175</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
        <v>3492</v>
      </c>
      <c r="B313" s="24" t="s">
        <v>175</v>
      </c>
      <c r="C313" s="269" t="s">
        <v>190</v>
      </c>
      <c r="D313" s="26">
        <f>D308+D311</f>
        <v>350623.71480831533</v>
      </c>
      <c r="E313" s="71">
        <f>IF(D313&lt;=0,0,F313/D313)</f>
        <v>0.27311783184986554</v>
      </c>
      <c r="F313" s="28">
        <f t="shared" ref="F313" si="168">F308+F311</f>
        <v>95761.588783592684</v>
      </c>
      <c r="G313" s="29">
        <f>G308+G311</f>
        <v>350623.71480831533</v>
      </c>
      <c r="H313" s="71">
        <f>IF(G313&lt;=0,0,I313/G313)</f>
        <v>0.27311783184986554</v>
      </c>
      <c r="I313" s="28">
        <f t="shared" ref="I313" si="169">I308+I311</f>
        <v>95761.588783592684</v>
      </c>
      <c r="J313" s="29">
        <f t="shared" ref="J313" si="170">J308+J311</f>
        <v>370494.07</v>
      </c>
      <c r="K313" s="71">
        <f>IF(J313&lt;=0,0,L313/J313)</f>
        <v>0.26302936508538455</v>
      </c>
      <c r="L313" s="28">
        <f>L308+L311</f>
        <v>97450.820000000022</v>
      </c>
      <c r="M313" s="72">
        <f>(+J313-G313)/G313</f>
        <v>5.6671452478756969E-2</v>
      </c>
      <c r="N313" s="73">
        <f>L313-I313</f>
        <v>1689.2312164073373</v>
      </c>
      <c r="O313" s="29">
        <f t="shared" ref="O313" si="171">O308+O311</f>
        <v>316284.04999999993</v>
      </c>
      <c r="P313" s="71">
        <f>IF(O313&lt;=0,0,Q313/O313)</f>
        <v>0.26247298907421984</v>
      </c>
      <c r="Q313" s="28">
        <f>Q308+Q311</f>
        <v>83016.01999999999</v>
      </c>
      <c r="R313" s="72">
        <f>IF(O313=0,0,(J313-O313)/O313)</f>
        <v>0.17139662907440351</v>
      </c>
      <c r="S313" s="270">
        <f>L313-Q313</f>
        <v>14434.800000000032</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
        <v>175</v>
      </c>
      <c r="B314" s="24" t="s">
        <v>175</v>
      </c>
      <c r="C314" s="271"/>
      <c r="D314" s="74"/>
      <c r="E314" s="75"/>
      <c r="F314" s="76"/>
      <c r="G314" s="77"/>
      <c r="H314" s="75"/>
      <c r="I314" s="76"/>
      <c r="J314" s="77"/>
      <c r="K314" s="75"/>
      <c r="L314" s="76"/>
      <c r="M314" s="78"/>
      <c r="N314" s="34">
        <f>N313/I313</f>
        <v>1.7639966482017704E-2</v>
      </c>
      <c r="O314" s="77"/>
      <c r="P314" s="75"/>
      <c r="Q314" s="76"/>
      <c r="R314" s="78"/>
      <c r="S314" s="272">
        <f>IF(Q313=0,0,S313/Q313)</f>
        <v>0.17387969213653021</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
        <v>175</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
        <v>3493</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
        <v>3494</v>
      </c>
      <c r="B317" s="24" t="s">
        <v>175</v>
      </c>
      <c r="C317" s="280" t="s">
        <v>112</v>
      </c>
      <c r="D317" s="233"/>
      <c r="E317" s="233"/>
      <c r="F317" s="231">
        <f>+INDEX('Budget original'!$A$2:$AO$500,MATCH($A317,'Budget original'!$A$2:$A$500,0),MATCH(F$2,'Budget original'!$A$2:$AO$2,0))</f>
        <v>2487.96091954023</v>
      </c>
      <c r="G317" s="227"/>
      <c r="H317" s="233"/>
      <c r="I317" s="231">
        <f>+INDEX('Budget révisé'!$A$2:$AO$500,MATCH($A317,'Budget révisé'!$A$2:$A$500,0),MATCH(I$2,'Budget révisé'!$A$2:$AO$2,0))</f>
        <v>2487.96091954023</v>
      </c>
      <c r="J317" s="227"/>
      <c r="K317" s="233"/>
      <c r="L317" s="281">
        <f>SUMIFS(BV_Data_An_Cour!$O:$O,BV_Data_An_Cour!$U:$U,$B317,BV_Data_An_Cour!$V:$V,$C317,BV_Data_An_Cour!$W:$W,$L$2)</f>
        <v>5721</v>
      </c>
      <c r="M317" s="227"/>
      <c r="N317" s="232">
        <f t="shared" ref="N317:N328" si="172">L317-I317</f>
        <v>3233.03908045977</v>
      </c>
      <c r="O317" s="227"/>
      <c r="P317" s="233"/>
      <c r="Q317" s="281">
        <f>SUMIFS(BV_Data_An_Prec!$O:$O,BV_Data_An_Prec!$U:$U,$B317,BV_Data_An_Prec!$V:$V,$C317,BV_Data_An_Prec!$W:$W,$L$2)</f>
        <v>3692.69</v>
      </c>
      <c r="R317" s="227"/>
      <c r="S317" s="512">
        <f>L317-Q317</f>
        <v>2028.31</v>
      </c>
      <c r="T317" s="222"/>
      <c r="U317" s="222"/>
      <c r="V317" s="222" t="s">
        <v>2867</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
        <v>3495</v>
      </c>
      <c r="B318" s="24" t="s">
        <v>175</v>
      </c>
      <c r="C318" s="282" t="s">
        <v>113</v>
      </c>
      <c r="D318" s="262"/>
      <c r="E318" s="233"/>
      <c r="F318" s="244">
        <f>+INDEX('Budget original'!$A$2:$AO$500,MATCH($A318,'Budget original'!$A$2:$A$500,0),MATCH(F$2,'Budget original'!$A$2:$AO$2,0))</f>
        <v>4171.6026932873565</v>
      </c>
      <c r="G318" s="283"/>
      <c r="H318" s="233"/>
      <c r="I318" s="244">
        <f>+INDEX('Budget révisé'!$A$2:$AO$500,MATCH($A318,'Budget révisé'!$A$2:$A$500,0),MATCH(I$2,'Budget révisé'!$A$2:$AO$2,0))</f>
        <v>4171.6026932873565</v>
      </c>
      <c r="J318" s="227"/>
      <c r="K318" s="233"/>
      <c r="L318" s="281">
        <f>SUMIFS(BV_Data_An_Cour!$O:$O,BV_Data_An_Cour!$U:$U,$B318,BV_Data_An_Cour!$V:$V,$C318,BV_Data_An_Cour!$W:$W,$L$2)</f>
        <v>3548.54</v>
      </c>
      <c r="M318" s="227"/>
      <c r="N318" s="232">
        <f t="shared" si="172"/>
        <v>-623.06269328735652</v>
      </c>
      <c r="O318" s="227"/>
      <c r="P318" s="233"/>
      <c r="Q318" s="281">
        <f>SUMIFS(BV_Data_An_Prec!$O:$O,BV_Data_An_Prec!$U:$U,$B318,BV_Data_An_Prec!$V:$V,$C318,BV_Data_An_Prec!$W:$W,$L$2)</f>
        <v>4211.63</v>
      </c>
      <c r="R318" s="227"/>
      <c r="S318" s="284">
        <f t="shared" ref="S318:S342" si="173">L318-Q318</f>
        <v>-663.09000000000015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
        <v>3496</v>
      </c>
      <c r="B319" s="24" t="s">
        <v>175</v>
      </c>
      <c r="C319" s="280" t="s">
        <v>114</v>
      </c>
      <c r="D319" s="285"/>
      <c r="E319" s="286"/>
      <c r="F319" s="231">
        <f>+INDEX('Budget original'!$A$2:$AO$500,MATCH($A319,'Budget original'!$A$2:$A$500,0),MATCH(F$2,'Budget original'!$A$2:$AO$2,0))</f>
        <v>23500.879209931034</v>
      </c>
      <c r="G319" s="287"/>
      <c r="H319" s="286"/>
      <c r="I319" s="231">
        <f>+INDEX('Budget révisé'!$A$2:$AO$500,MATCH($A319,'Budget révisé'!$A$2:$A$500,0),MATCH(I$2,'Budget révisé'!$A$2:$AO$2,0))</f>
        <v>23500.879209931034</v>
      </c>
      <c r="J319" s="288"/>
      <c r="K319" s="286"/>
      <c r="L319" s="245">
        <f>SUMIFS(BV_Data_An_Cour!$O:$O,BV_Data_An_Cour!$U:$U,$B319,BV_Data_An_Cour!$V:$V,$C319,BV_Data_An_Cour!$W:$W,$L$2)</f>
        <v>13821.12</v>
      </c>
      <c r="M319" s="288"/>
      <c r="N319" s="289">
        <f t="shared" si="172"/>
        <v>-9679.7592099310332</v>
      </c>
      <c r="O319" s="288"/>
      <c r="P319" s="286"/>
      <c r="Q319" s="245">
        <f>SUMIFS(BV_Data_An_Prec!$O:$O,BV_Data_An_Prec!$U:$U,$B319,BV_Data_An_Prec!$V:$V,$C319,BV_Data_An_Prec!$W:$W,$L$2)</f>
        <v>23019.06</v>
      </c>
      <c r="R319" s="288"/>
      <c r="S319" s="290">
        <f t="shared" si="173"/>
        <v>-9197.94</v>
      </c>
      <c r="T319" s="222"/>
      <c r="U319" s="970"/>
      <c r="V319" s="970" t="s">
        <v>2868</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
        <v>3497</v>
      </c>
      <c r="B320" s="24" t="s">
        <v>175</v>
      </c>
      <c r="C320" s="280" t="s">
        <v>115</v>
      </c>
      <c r="D320" s="262"/>
      <c r="E320" s="233"/>
      <c r="F320" s="231">
        <f>+INDEX('Budget original'!$A$2:$AO$500,MATCH($A320,'Budget original'!$A$2:$A$500,0),MATCH(F$2,'Budget original'!$A$2:$AO$2,0))</f>
        <v>0</v>
      </c>
      <c r="G320" s="283"/>
      <c r="H320" s="233"/>
      <c r="I320" s="231">
        <f>+INDEX('Budget révisé'!$A$2:$AO$500,MATCH($A320,'Budget révisé'!$A$2:$A$500,0),MATCH(I$2,'Budget révisé'!$A$2:$AO$2,0))</f>
        <v>0</v>
      </c>
      <c r="J320" s="227"/>
      <c r="K320" s="233"/>
      <c r="L320" s="281">
        <f>SUMIFS(BV_Data_An_Cour!$O:$O,BV_Data_An_Cour!$U:$U,$B320,BV_Data_An_Cour!$V:$V,$C320,BV_Data_An_Cour!$W:$W,$L$2)</f>
        <v>0</v>
      </c>
      <c r="M320" s="227"/>
      <c r="N320" s="232">
        <f t="shared" si="172"/>
        <v>0</v>
      </c>
      <c r="O320" s="227"/>
      <c r="P320" s="233"/>
      <c r="Q320" s="281">
        <f>SUMIFS(BV_Data_An_Prec!$O:$O,BV_Data_An_Prec!$U:$U,$B320,BV_Data_An_Prec!$V:$V,$C320,BV_Data_An_Prec!$W:$W,$L$2)</f>
        <v>0</v>
      </c>
      <c r="R320" s="227"/>
      <c r="S320" s="284">
        <f t="shared" si="17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
        <v>3484</v>
      </c>
      <c r="B321" s="24" t="s">
        <v>175</v>
      </c>
      <c r="C321" s="635" t="s">
        <v>42</v>
      </c>
      <c r="D321" s="262"/>
      <c r="E321" s="233"/>
      <c r="F321" s="231">
        <f>+INDEX('Budget original'!$A$2:$AO$500,MATCH($A321,'Budget original'!$A$2:$A$500,0),MATCH(F$2,'Budget original'!$A$2:$AO$2,0))</f>
        <v>0</v>
      </c>
      <c r="G321" s="283"/>
      <c r="H321" s="233"/>
      <c r="I321" s="231">
        <f>+INDEX('Budget révisé'!$A$2:$AO$500,MATCH($A321,'Budget révisé'!$A$2:$A$500,0),MATCH(I$2,'Budget révisé'!$A$2:$AO$2,0))</f>
        <v>0</v>
      </c>
      <c r="J321" s="227"/>
      <c r="K321" s="233"/>
      <c r="L321" s="281">
        <f>SUMIFS(BV_Data_An_Cour!$O:$O,BV_Data_An_Cour!$U:$U,$B321,BV_Data_An_Cour!$V:$V,$C321,BV_Data_An_Cour!$W:$W,$L$2)</f>
        <v>0</v>
      </c>
      <c r="M321" s="227"/>
      <c r="N321" s="232">
        <f t="shared" ref="N321:N323" si="174">L321-I321</f>
        <v>0</v>
      </c>
      <c r="O321" s="227"/>
      <c r="P321" s="233"/>
      <c r="Q321" s="281">
        <f>SUMIFS(BV_Data_An_Prec!$O:$O,BV_Data_An_Prec!$U:$U,$B321,BV_Data_An_Prec!$V:$V,$C321,BV_Data_An_Prec!$W:$W,$L$2)</f>
        <v>0</v>
      </c>
      <c r="R321" s="227"/>
      <c r="S321" s="284">
        <f t="shared" ref="S321:S323" si="175">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
        <v>3484</v>
      </c>
      <c r="B322" s="24" t="s">
        <v>175</v>
      </c>
      <c r="C322" s="635" t="s">
        <v>42</v>
      </c>
      <c r="D322" s="262"/>
      <c r="E322" s="233"/>
      <c r="F322" s="231">
        <f>+INDEX('Budget original'!$A$2:$AO$500,MATCH($A322,'Budget original'!$A$2:$A$500,0),MATCH(F$2,'Budget original'!$A$2:$AO$2,0))</f>
        <v>0</v>
      </c>
      <c r="G322" s="283"/>
      <c r="H322" s="233"/>
      <c r="I322" s="231">
        <f>+INDEX('Budget révisé'!$A$2:$AO$500,MATCH($A322,'Budget révisé'!$A$2:$A$500,0),MATCH(I$2,'Budget révisé'!$A$2:$AO$2,0))</f>
        <v>0</v>
      </c>
      <c r="J322" s="227"/>
      <c r="K322" s="233"/>
      <c r="L322" s="281">
        <f>SUMIFS(BV_Data_An_Cour!$O:$O,BV_Data_An_Cour!$U:$U,$B322,BV_Data_An_Cour!$V:$V,$C322,BV_Data_An_Cour!$W:$W,$L$2)</f>
        <v>0</v>
      </c>
      <c r="M322" s="227"/>
      <c r="N322" s="232">
        <f t="shared" si="174"/>
        <v>0</v>
      </c>
      <c r="O322" s="227"/>
      <c r="P322" s="233"/>
      <c r="Q322" s="281">
        <f>SUMIFS(BV_Data_An_Prec!$O:$O,BV_Data_An_Prec!$U:$U,$B322,BV_Data_An_Prec!$V:$V,$C322,BV_Data_An_Prec!$W:$W,$L$2)</f>
        <v>0</v>
      </c>
      <c r="R322" s="227"/>
      <c r="S322" s="284">
        <f t="shared" si="175"/>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
        <v>3484</v>
      </c>
      <c r="B323" s="24" t="s">
        <v>175</v>
      </c>
      <c r="C323" s="635" t="s">
        <v>42</v>
      </c>
      <c r="D323" s="262"/>
      <c r="E323" s="233"/>
      <c r="F323" s="231">
        <f>+INDEX('Budget original'!$A$2:$AO$500,MATCH($A323,'Budget original'!$A$2:$A$500,0),MATCH(F$2,'Budget original'!$A$2:$AO$2,0))</f>
        <v>0</v>
      </c>
      <c r="G323" s="283"/>
      <c r="H323" s="233"/>
      <c r="I323" s="231">
        <f>+INDEX('Budget révisé'!$A$2:$AO$500,MATCH($A323,'Budget révisé'!$A$2:$A$500,0),MATCH(I$2,'Budget révisé'!$A$2:$AO$2,0))</f>
        <v>0</v>
      </c>
      <c r="J323" s="227"/>
      <c r="K323" s="233"/>
      <c r="L323" s="281">
        <f>SUMIFS(BV_Data_An_Cour!$O:$O,BV_Data_An_Cour!$U:$U,$B323,BV_Data_An_Cour!$V:$V,$C323,BV_Data_An_Cour!$W:$W,$L$2)</f>
        <v>0</v>
      </c>
      <c r="M323" s="227"/>
      <c r="N323" s="232">
        <f t="shared" si="174"/>
        <v>0</v>
      </c>
      <c r="O323" s="227"/>
      <c r="P323" s="233"/>
      <c r="Q323" s="281">
        <f>SUMIFS(BV_Data_An_Prec!$O:$O,BV_Data_An_Prec!$U:$U,$B323,BV_Data_An_Prec!$V:$V,$C323,BV_Data_An_Prec!$W:$W,$L$2)</f>
        <v>0</v>
      </c>
      <c r="R323" s="227"/>
      <c r="S323" s="284">
        <f t="shared" si="175"/>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
        <v>3498</v>
      </c>
      <c r="B324" s="24" t="s">
        <v>175</v>
      </c>
      <c r="C324" s="282" t="s">
        <v>116</v>
      </c>
      <c r="D324" s="262"/>
      <c r="E324" s="233"/>
      <c r="F324" s="244">
        <f>+INDEX('Budget original'!$A$2:$AO$500,MATCH($A324,'Budget original'!$A$2:$A$500,0),MATCH(F$2,'Budget original'!$A$2:$AO$2,0))</f>
        <v>3777.6323188809752</v>
      </c>
      <c r="G324" s="283"/>
      <c r="H324" s="233"/>
      <c r="I324" s="244">
        <f>+INDEX('Budget révisé'!$A$2:$AO$500,MATCH($A324,'Budget révisé'!$A$2:$A$500,0),MATCH(I$2,'Budget révisé'!$A$2:$AO$2,0))</f>
        <v>3777.6323188809752</v>
      </c>
      <c r="J324" s="227"/>
      <c r="K324" s="233"/>
      <c r="L324" s="281">
        <f>SUMIFS(BV_Data_An_Cour!$O:$O,BV_Data_An_Cour!$U:$U,$B324,BV_Data_An_Cour!$V:$V,$C324,BV_Data_An_Cour!$W:$W,$L$2)</f>
        <v>3777.81</v>
      </c>
      <c r="M324" s="227"/>
      <c r="N324" s="232">
        <f t="shared" si="172"/>
        <v>0.17768111902478267</v>
      </c>
      <c r="O324" s="227"/>
      <c r="P324" s="233"/>
      <c r="Q324" s="281">
        <f>SUMIFS(BV_Data_An_Prec!$O:$O,BV_Data_An_Prec!$U:$U,$B324,BV_Data_An_Prec!$V:$V,$C324,BV_Data_An_Prec!$W:$W,$L$2)</f>
        <v>2490.75</v>
      </c>
      <c r="R324" s="227"/>
      <c r="S324" s="284">
        <f t="shared" si="173"/>
        <v>1287.06</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
        <v>3499</v>
      </c>
      <c r="B325" s="24" t="s">
        <v>175</v>
      </c>
      <c r="C325" s="280" t="s">
        <v>117</v>
      </c>
      <c r="D325" s="285"/>
      <c r="E325" s="286"/>
      <c r="F325" s="231">
        <f>+INDEX('Budget original'!$A$2:$AO$500,MATCH($A325,'Budget original'!$A$2:$A$500,0),MATCH(F$2,'Budget original'!$A$2:$AO$2,0))</f>
        <v>3383.2569705133797</v>
      </c>
      <c r="G325" s="287"/>
      <c r="H325" s="286"/>
      <c r="I325" s="231">
        <f>+INDEX('Budget révisé'!$A$2:$AO$500,MATCH($A325,'Budget révisé'!$A$2:$A$500,0),MATCH(I$2,'Budget révisé'!$A$2:$AO$2,0))</f>
        <v>3383.2569705133797</v>
      </c>
      <c r="J325" s="288"/>
      <c r="K325" s="286"/>
      <c r="L325" s="245">
        <f>SUMIFS(BV_Data_An_Cour!$O:$O,BV_Data_An_Cour!$U:$U,$B325,BV_Data_An_Cour!$V:$V,$C325,BV_Data_An_Cour!$W:$W,$L$2)</f>
        <v>38.46</v>
      </c>
      <c r="M325" s="288"/>
      <c r="N325" s="289">
        <f t="shared" si="172"/>
        <v>-3344.7969705133796</v>
      </c>
      <c r="O325" s="288"/>
      <c r="P325" s="286"/>
      <c r="Q325" s="245">
        <f>SUMIFS(BV_Data_An_Prec!$O:$O,BV_Data_An_Prec!$U:$U,$B325,BV_Data_An_Prec!$V:$V,$C325,BV_Data_An_Prec!$W:$W,$L$2)</f>
        <v>36.33</v>
      </c>
      <c r="R325" s="288"/>
      <c r="S325" s="290">
        <f t="shared" si="173"/>
        <v>2.1300000000000026</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
        <v>3500</v>
      </c>
      <c r="B326" s="24" t="s">
        <v>175</v>
      </c>
      <c r="C326" s="280" t="s">
        <v>118</v>
      </c>
      <c r="D326" s="262"/>
      <c r="E326" s="233"/>
      <c r="F326" s="231">
        <f>+INDEX('Budget original'!$A$2:$AO$500,MATCH($A326,'Budget original'!$A$2:$A$500,0),MATCH(F$2,'Budget original'!$A$2:$AO$2,0))</f>
        <v>2686.7040648194488</v>
      </c>
      <c r="G326" s="283"/>
      <c r="H326" s="233"/>
      <c r="I326" s="231">
        <f>+INDEX('Budget révisé'!$A$2:$AO$500,MATCH($A326,'Budget révisé'!$A$2:$A$500,0),MATCH(I$2,'Budget révisé'!$A$2:$AO$2,0))</f>
        <v>2686.7040648194488</v>
      </c>
      <c r="J326" s="227"/>
      <c r="K326" s="233"/>
      <c r="L326" s="281">
        <f>SUMIFS(BV_Data_An_Cour!$O:$O,BV_Data_An_Cour!$U:$U,$B326,BV_Data_An_Cour!$V:$V,$C326,BV_Data_An_Cour!$W:$W,$L$2)</f>
        <v>1597.81</v>
      </c>
      <c r="M326" s="227"/>
      <c r="N326" s="232">
        <f t="shared" si="172"/>
        <v>-1088.8940648194489</v>
      </c>
      <c r="O326" s="227"/>
      <c r="P326" s="233"/>
      <c r="Q326" s="281">
        <f>SUMIFS(BV_Data_An_Prec!$O:$O,BV_Data_An_Prec!$U:$U,$B326,BV_Data_An_Prec!$V:$V,$C326,BV_Data_An_Prec!$W:$W,$L$2)</f>
        <v>4575.01</v>
      </c>
      <c r="R326" s="227"/>
      <c r="S326" s="284">
        <f t="shared" si="173"/>
        <v>-2977.2000000000003</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
        <v>3501</v>
      </c>
      <c r="B327" s="24" t="s">
        <v>175</v>
      </c>
      <c r="C327" s="280" t="s">
        <v>119</v>
      </c>
      <c r="D327" s="262"/>
      <c r="E327" s="233"/>
      <c r="F327" s="231">
        <f>+INDEX('Budget original'!$A$2:$AO$500,MATCH($A327,'Budget original'!$A$2:$A$500,0),MATCH(F$2,'Budget original'!$A$2:$AO$2,0))</f>
        <v>1094.5831375190346</v>
      </c>
      <c r="G327" s="283"/>
      <c r="H327" s="233"/>
      <c r="I327" s="231">
        <f>+INDEX('Budget révisé'!$A$2:$AO$500,MATCH($A327,'Budget révisé'!$A$2:$A$500,0),MATCH(I$2,'Budget révisé'!$A$2:$AO$2,0))</f>
        <v>1094.5831375190346</v>
      </c>
      <c r="J327" s="227"/>
      <c r="K327" s="233"/>
      <c r="L327" s="281">
        <f>SUMIFS(BV_Data_An_Cour!$O:$O,BV_Data_An_Cour!$U:$U,$B327,BV_Data_An_Cour!$V:$V,$C327,BV_Data_An_Cour!$W:$W,$L$2)</f>
        <v>3821.1100000000006</v>
      </c>
      <c r="M327" s="227"/>
      <c r="N327" s="232">
        <f t="shared" si="172"/>
        <v>2726.526862480966</v>
      </c>
      <c r="O327" s="227"/>
      <c r="P327" s="233"/>
      <c r="Q327" s="281">
        <f>SUMIFS(BV_Data_An_Prec!$O:$O,BV_Data_An_Prec!$U:$U,$B327,BV_Data_An_Prec!$V:$V,$C327,BV_Data_An_Prec!$W:$W,$L$2)</f>
        <v>5020.3100000000004</v>
      </c>
      <c r="R327" s="227"/>
      <c r="S327" s="284">
        <f t="shared" si="173"/>
        <v>-1199.1999999999998</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
        <v>3484</v>
      </c>
      <c r="B328" s="24" t="s">
        <v>175</v>
      </c>
      <c r="C328" s="291" t="s">
        <v>42</v>
      </c>
      <c r="D328" s="292"/>
      <c r="E328" s="293"/>
      <c r="F328" s="231">
        <f>+INDEX('Budget original'!$A$2:$AO$500,MATCH($A328,'Budget original'!$A$2:$A$500,0),MATCH(F$2,'Budget original'!$A$2:$AO$2,0))</f>
        <v>0</v>
      </c>
      <c r="G328" s="294"/>
      <c r="H328" s="293"/>
      <c r="I328" s="231">
        <f>+INDEX('Budget révisé'!$A$2:$AO$500,MATCH($A328,'Budget révisé'!$A$2:$A$500,0),MATCH(I$2,'Budget révisé'!$A$2:$AO$2,0))</f>
        <v>0</v>
      </c>
      <c r="J328" s="295"/>
      <c r="K328" s="293"/>
      <c r="L328" s="281">
        <f>SUMIFS(BV_Data_An_Cour!$O:$O,BV_Data_An_Cour!$U:$U,$B328,BV_Data_An_Cour!$V:$V,$C328,BV_Data_An_Cour!$W:$W,$L$2)</f>
        <v>0</v>
      </c>
      <c r="M328" s="295"/>
      <c r="N328" s="296">
        <f t="shared" si="172"/>
        <v>0</v>
      </c>
      <c r="O328" s="295"/>
      <c r="P328" s="293"/>
      <c r="Q328" s="281">
        <f>SUMIFS(BV_Data_An_Prec!$O:$O,BV_Data_An_Prec!$U:$U,$B328,BV_Data_An_Prec!$V:$V,$C328,BV_Data_An_Prec!$W:$W,$L$2)</f>
        <v>0</v>
      </c>
      <c r="R328" s="295"/>
      <c r="S328" s="297">
        <f t="shared" si="17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
        <v>3502</v>
      </c>
      <c r="B329" s="24" t="s">
        <v>175</v>
      </c>
      <c r="C329" s="298" t="s">
        <v>120</v>
      </c>
      <c r="D329" s="39" t="s">
        <v>111</v>
      </c>
      <c r="E329" s="40">
        <f>F329/F$313</f>
        <v>0.42921822660417031</v>
      </c>
      <c r="F329" s="41">
        <f>+SUM(F317:F328)</f>
        <v>41102.619314491458</v>
      </c>
      <c r="G329" s="42" t="s">
        <v>111</v>
      </c>
      <c r="H329" s="40">
        <f>I329/I$313</f>
        <v>0.42921822660417031</v>
      </c>
      <c r="I329" s="41">
        <f>+SUM(I317:I328)</f>
        <v>41102.619314491458</v>
      </c>
      <c r="J329" s="42" t="s">
        <v>111</v>
      </c>
      <c r="K329" s="40">
        <f>L329/L$313</f>
        <v>0.33171449968301958</v>
      </c>
      <c r="L329" s="41">
        <f>+SUM(L317:L328)</f>
        <v>32325.850000000006</v>
      </c>
      <c r="M329" s="43"/>
      <c r="N329" s="46">
        <f t="shared" ref="N329:N342" si="176">L329-I329</f>
        <v>-8776.769314491452</v>
      </c>
      <c r="O329" s="42" t="s">
        <v>111</v>
      </c>
      <c r="P329" s="40">
        <f>Q329/Q$313</f>
        <v>0.51852377408601391</v>
      </c>
      <c r="Q329" s="41">
        <f>+SUM(Q317:Q328)</f>
        <v>43045.780000000006</v>
      </c>
      <c r="R329" s="43"/>
      <c r="S329" s="299">
        <f t="shared" si="173"/>
        <v>-10719.93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
        <v>3503</v>
      </c>
      <c r="B330" s="24" t="s">
        <v>175</v>
      </c>
      <c r="C330" s="552" t="s">
        <v>121</v>
      </c>
      <c r="D330" s="301"/>
      <c r="E330" s="178"/>
      <c r="F330" s="179">
        <f>+INDEX('Budget original'!$A$2:$AO$500,MATCH($A330,'Budget original'!$A$2:$A$500,0),MATCH(F$2,'Budget original'!$A$2:$AO$2,0))</f>
        <v>3725.4874999999997</v>
      </c>
      <c r="G330" s="302"/>
      <c r="H330" s="178"/>
      <c r="I330" s="179">
        <f>+INDEX('Budget révisé'!$A$2:$AO$500,MATCH($A330,'Budget révisé'!$A$2:$A$500,0),MATCH(I$2,'Budget révisé'!$A$2:$AO$2,0))</f>
        <v>3725.4874999999997</v>
      </c>
      <c r="J330" s="303"/>
      <c r="K330" s="178"/>
      <c r="L330" s="281">
        <f>SUMIFS(BV_Data_An_Cour!$O:$O,BV_Data_An_Cour!$U:$U,$B330,BV_Data_An_Cour!$V:$V,$C330,BV_Data_An_Cour!$W:$W,$L$2)</f>
        <v>3721.77</v>
      </c>
      <c r="M330" s="303"/>
      <c r="N330" s="304">
        <f t="shared" si="176"/>
        <v>-3.7174999999997453</v>
      </c>
      <c r="O330" s="303"/>
      <c r="P330" s="178"/>
      <c r="Q330" s="281">
        <f>SUMIFS(BV_Data_An_Prec!$O:$O,BV_Data_An_Prec!$U:$U,$B330,BV_Data_An_Prec!$V:$V,$C330,BV_Data_An_Prec!$W:$W,$L$2)</f>
        <v>5397.13</v>
      </c>
      <c r="R330" s="303"/>
      <c r="S330" s="199">
        <f t="shared" si="173"/>
        <v>-1675.3600000000001</v>
      </c>
      <c r="T330" s="222"/>
      <c r="U330" s="222"/>
      <c r="V330" s="222">
        <v>308</v>
      </c>
      <c r="W330" s="229">
        <f>V330+N330</f>
        <v>304.28250000000025</v>
      </c>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
        <v>3504</v>
      </c>
      <c r="B331" s="24" t="s">
        <v>175</v>
      </c>
      <c r="C331" s="305" t="s">
        <v>122</v>
      </c>
      <c r="D331" s="301"/>
      <c r="E331" s="178"/>
      <c r="F331" s="179">
        <f>+INDEX('Budget original'!$A$2:$AO$500,MATCH($A331,'Budget original'!$A$2:$A$500,0),MATCH(F$2,'Budget original'!$A$2:$AO$2,0))</f>
        <v>473.39246719983549</v>
      </c>
      <c r="G331" s="302"/>
      <c r="H331" s="178"/>
      <c r="I331" s="179">
        <f>+INDEX('Budget révisé'!$A$2:$AO$500,MATCH($A331,'Budget révisé'!$A$2:$A$500,0),MATCH(I$2,'Budget révisé'!$A$2:$AO$2,0))</f>
        <v>473.39246719983549</v>
      </c>
      <c r="J331" s="303"/>
      <c r="K331" s="178"/>
      <c r="L331" s="180">
        <f>SUMIFS(BV_Data_An_Cour!$O:$O,BV_Data_An_Cour!$U:$U,$B331,BV_Data_An_Cour!$V:$V,$C331,BV_Data_An_Cour!$W:$W,$L$2)</f>
        <v>46.35</v>
      </c>
      <c r="M331" s="303"/>
      <c r="N331" s="304">
        <f t="shared" si="176"/>
        <v>-427.04246719983547</v>
      </c>
      <c r="O331" s="303"/>
      <c r="P331" s="178"/>
      <c r="Q331" s="180">
        <f>SUMIFS(BV_Data_An_Prec!$O:$O,BV_Data_An_Prec!$U:$U,$B331,BV_Data_An_Prec!$V:$V,$C331,BV_Data_An_Prec!$W:$W,$L$2)</f>
        <v>145.72999999999999</v>
      </c>
      <c r="R331" s="303"/>
      <c r="S331" s="199">
        <f t="shared" si="173"/>
        <v>-99.38</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
        <v>3505</v>
      </c>
      <c r="B332" s="24" t="s">
        <v>175</v>
      </c>
      <c r="C332" s="306" t="s">
        <v>123</v>
      </c>
      <c r="D332" s="307"/>
      <c r="E332" s="308"/>
      <c r="F332" s="177">
        <f>+INDEX('Budget original'!$A$2:$AO$500,MATCH($A332,'Budget original'!$A$2:$A$500,0),MATCH(F$2,'Budget original'!$A$2:$AO$2,0))</f>
        <v>433.5</v>
      </c>
      <c r="G332" s="309"/>
      <c r="H332" s="308"/>
      <c r="I332" s="177">
        <f>+INDEX('Budget révisé'!$A$2:$AO$500,MATCH($A332,'Budget révisé'!$A$2:$A$500,0),MATCH(I$2,'Budget révisé'!$A$2:$AO$2,0))</f>
        <v>433.5</v>
      </c>
      <c r="J332" s="310"/>
      <c r="K332" s="308"/>
      <c r="L332" s="180">
        <f>SUMIFS(BV_Data_An_Cour!$O:$O,BV_Data_An_Cour!$U:$U,$B332,BV_Data_An_Cour!$V:$V,$C332,BV_Data_An_Cour!$W:$W,$L$2)</f>
        <v>434.1</v>
      </c>
      <c r="M332" s="310"/>
      <c r="N332" s="311">
        <f t="shared" si="176"/>
        <v>0.60000000000002274</v>
      </c>
      <c r="O332" s="310"/>
      <c r="P332" s="308"/>
      <c r="Q332" s="180">
        <f>SUMIFS(BV_Data_An_Prec!$O:$O,BV_Data_An_Prec!$U:$U,$B332,BV_Data_An_Prec!$V:$V,$C332,BV_Data_An_Prec!$W:$W,$L$2)</f>
        <v>290.89</v>
      </c>
      <c r="R332" s="310"/>
      <c r="S332" s="202">
        <f t="shared" si="173"/>
        <v>143.21000000000004</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
        <v>3506</v>
      </c>
      <c r="B333" s="24" t="s">
        <v>175</v>
      </c>
      <c r="C333" s="305" t="s">
        <v>124</v>
      </c>
      <c r="D333" s="301"/>
      <c r="E333" s="178"/>
      <c r="F333" s="179">
        <f>+INDEX('Budget original'!$A$2:$AO$500,MATCH($A333,'Budget original'!$A$2:$A$500,0),MATCH(F$2,'Budget original'!$A$2:$AO$2,0))</f>
        <v>3489.4852291666666</v>
      </c>
      <c r="G333" s="302"/>
      <c r="H333" s="178"/>
      <c r="I333" s="179">
        <f>+INDEX('Budget révisé'!$A$2:$AO$500,MATCH($A333,'Budget révisé'!$A$2:$A$500,0),MATCH(I$2,'Budget révisé'!$A$2:$AO$2,0))</f>
        <v>3489.4852291666666</v>
      </c>
      <c r="J333" s="303"/>
      <c r="K333" s="178"/>
      <c r="L333" s="181">
        <f>SUMIFS(BV_Data_An_Cour!$O:$O,BV_Data_An_Cour!$U:$U,$B333,BV_Data_An_Cour!$V:$V,$C333,BV_Data_An_Cour!$W:$W,$L$2)</f>
        <v>3498.87</v>
      </c>
      <c r="M333" s="303"/>
      <c r="N333" s="304">
        <f t="shared" si="176"/>
        <v>9.3847708333332776</v>
      </c>
      <c r="O333" s="303"/>
      <c r="P333" s="178"/>
      <c r="Q333" s="181">
        <f>SUMIFS(BV_Data_An_Prec!$O:$O,BV_Data_An_Prec!$U:$U,$B333,BV_Data_An_Prec!$V:$V,$C333,BV_Data_An_Prec!$W:$W,$L$2)</f>
        <v>3781.12</v>
      </c>
      <c r="R333" s="303"/>
      <c r="S333" s="199">
        <f t="shared" si="173"/>
        <v>-282.25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
        <v>3507</v>
      </c>
      <c r="B334" s="24" t="s">
        <v>175</v>
      </c>
      <c r="C334" s="305" t="s">
        <v>125</v>
      </c>
      <c r="D334" s="301"/>
      <c r="E334" s="178"/>
      <c r="F334" s="179">
        <f>+INDEX('Budget original'!$A$2:$AO$500,MATCH($A334,'Budget original'!$A$2:$A$500,0),MATCH(F$2,'Budget original'!$A$2:$AO$2,0))</f>
        <v>618.86078125000006</v>
      </c>
      <c r="G334" s="302"/>
      <c r="H334" s="178"/>
      <c r="I334" s="179">
        <f>+INDEX('Budget révisé'!$A$2:$AO$500,MATCH($A334,'Budget révisé'!$A$2:$A$500,0),MATCH(I$2,'Budget révisé'!$A$2:$AO$2,0))</f>
        <v>618.86078125000006</v>
      </c>
      <c r="J334" s="303"/>
      <c r="K334" s="178"/>
      <c r="L334" s="180">
        <f>SUMIFS(BV_Data_An_Cour!$O:$O,BV_Data_An_Cour!$U:$U,$B334,BV_Data_An_Cour!$V:$V,$C334,BV_Data_An_Cour!$W:$W,$L$2)</f>
        <v>229.49</v>
      </c>
      <c r="M334" s="303"/>
      <c r="N334" s="304">
        <f t="shared" si="176"/>
        <v>-389.37078125000005</v>
      </c>
      <c r="O334" s="303"/>
      <c r="P334" s="178"/>
      <c r="Q334" s="180">
        <f>SUMIFS(BV_Data_An_Prec!$O:$O,BV_Data_An_Prec!$U:$U,$B334,BV_Data_An_Prec!$V:$V,$C334,BV_Data_An_Prec!$W:$W,$L$2)</f>
        <v>48.43</v>
      </c>
      <c r="R334" s="303"/>
      <c r="S334" s="199">
        <f t="shared" si="173"/>
        <v>181.06</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
        <v>3508</v>
      </c>
      <c r="B335" s="24" t="s">
        <v>175</v>
      </c>
      <c r="C335" s="687" t="s">
        <v>126</v>
      </c>
      <c r="D335" s="307"/>
      <c r="E335" s="308"/>
      <c r="F335" s="177">
        <f>+INDEX('Budget original'!$A$2:$AO$500,MATCH($A335,'Budget original'!$A$2:$A$500,0),MATCH(F$2,'Budget original'!$A$2:$AO$2,0))</f>
        <v>7859.6626888888895</v>
      </c>
      <c r="G335" s="309"/>
      <c r="H335" s="308"/>
      <c r="I335" s="177">
        <f>+INDEX('Budget révisé'!$A$2:$AO$500,MATCH($A335,'Budget révisé'!$A$2:$A$500,0),MATCH(I$2,'Budget révisé'!$A$2:$AO$2,0))</f>
        <v>7859.6626888888895</v>
      </c>
      <c r="J335" s="310"/>
      <c r="K335" s="308"/>
      <c r="L335" s="405">
        <f>SUMIFS(BV_Data_An_Cour!$O:$O,BV_Data_An_Cour!$U:$U,$B335,BV_Data_An_Cour!$V:$V,$C335,BV_Data_An_Cour!$W:$W,$L$2)</f>
        <v>7859.28</v>
      </c>
      <c r="M335" s="310"/>
      <c r="N335" s="311">
        <f t="shared" si="176"/>
        <v>-0.38268888888978836</v>
      </c>
      <c r="O335" s="310"/>
      <c r="P335" s="308"/>
      <c r="Q335" s="405">
        <f>SUMIFS(BV_Data_An_Prec!$O:$O,BV_Data_An_Prec!$U:$U,$B335,BV_Data_An_Prec!$V:$V,$C335,BV_Data_An_Prec!$W:$W,$L$2)</f>
        <v>5169.6099999999997</v>
      </c>
      <c r="R335" s="310"/>
      <c r="S335" s="202">
        <f t="shared" si="173"/>
        <v>2689.67</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
        <v>3509</v>
      </c>
      <c r="B336" s="24" t="s">
        <v>175</v>
      </c>
      <c r="C336" s="305" t="s">
        <v>1993</v>
      </c>
      <c r="D336" s="301"/>
      <c r="E336" s="178"/>
      <c r="F336" s="179"/>
      <c r="G336" s="302"/>
      <c r="H336" s="178"/>
      <c r="I336" s="179"/>
      <c r="J336" s="303"/>
      <c r="K336" s="178"/>
      <c r="L336" s="180">
        <f>SUMIFS(BV_Data_An_Cour!$O:$O,BV_Data_An_Cour!$U:$U,$B336,BV_Data_An_Cour!$V:$V,$C336,BV_Data_An_Cour!$W:$W,$L$2)</f>
        <v>0</v>
      </c>
      <c r="M336" s="303"/>
      <c r="N336" s="304">
        <f t="shared" ref="N336" si="177">L336-I336</f>
        <v>0</v>
      </c>
      <c r="O336" s="303"/>
      <c r="P336" s="178"/>
      <c r="Q336" s="180">
        <f>SUMIFS(BV_Data_An_Prec!$O:$O,BV_Data_An_Prec!$U:$U,$B336,BV_Data_An_Prec!$V:$V,$C336,BV_Data_An_Prec!$W:$W,$L$2)</f>
        <v>0</v>
      </c>
      <c r="R336" s="303"/>
      <c r="S336" s="199">
        <f t="shared" ref="S336" si="178">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
        <v>3510</v>
      </c>
      <c r="B337" s="24" t="s">
        <v>175</v>
      </c>
      <c r="C337" s="305" t="s">
        <v>127</v>
      </c>
      <c r="D337" s="301"/>
      <c r="E337" s="178"/>
      <c r="F337" s="179">
        <f>+INDEX('Budget original'!$A$2:$AO$500,MATCH($A337,'Budget original'!$A$2:$A$500,0),MATCH(F$2,'Budget original'!$A$2:$AO$2,0))</f>
        <v>50.536579190711528</v>
      </c>
      <c r="G337" s="302"/>
      <c r="H337" s="178"/>
      <c r="I337" s="179">
        <f>+INDEX('Budget révisé'!$A$2:$AO$500,MATCH($A337,'Budget révisé'!$A$2:$A$500,0),MATCH(I$2,'Budget révisé'!$A$2:$AO$2,0))</f>
        <v>50.536579190711528</v>
      </c>
      <c r="J337" s="303"/>
      <c r="K337" s="178"/>
      <c r="L337" s="180">
        <f>SUMIFS(BV_Data_An_Cour!$O:$O,BV_Data_An_Cour!$U:$U,$B337,BV_Data_An_Cour!$V:$V,$C337,BV_Data_An_Cour!$W:$W,$L$2)</f>
        <v>7.49</v>
      </c>
      <c r="M337" s="303"/>
      <c r="N337" s="304">
        <f t="shared" si="176"/>
        <v>-43.046579190711526</v>
      </c>
      <c r="O337" s="303"/>
      <c r="P337" s="178"/>
      <c r="Q337" s="180">
        <f>SUMIFS(BV_Data_An_Prec!$O:$O,BV_Data_An_Prec!$U:$U,$B337,BV_Data_An_Prec!$V:$V,$C337,BV_Data_An_Prec!$W:$W,$L$2)</f>
        <v>164.65</v>
      </c>
      <c r="R337" s="303"/>
      <c r="S337" s="199">
        <f t="shared" si="173"/>
        <v>-157.16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
        <v>3511</v>
      </c>
      <c r="B338" s="24" t="s">
        <v>175</v>
      </c>
      <c r="C338" s="305" t="s">
        <v>128</v>
      </c>
      <c r="D338" s="301"/>
      <c r="E338" s="178"/>
      <c r="F338" s="179">
        <f>+INDEX('Budget original'!$A$2:$AO$500,MATCH($A338,'Budget original'!$A$2:$A$500,0),MATCH(F$2,'Budget original'!$A$2:$AO$2,0))</f>
        <v>26.853809687373364</v>
      </c>
      <c r="G338" s="302"/>
      <c r="H338" s="178"/>
      <c r="I338" s="179">
        <f>+INDEX('Budget révisé'!$A$2:$AO$500,MATCH($A338,'Budget révisé'!$A$2:$A$500,0),MATCH(I$2,'Budget révisé'!$A$2:$AO$2,0))</f>
        <v>26.853809687373364</v>
      </c>
      <c r="J338" s="303"/>
      <c r="K338" s="178"/>
      <c r="L338" s="180">
        <f>SUMIFS(BV_Data_An_Cour!$O:$O,BV_Data_An_Cour!$U:$U,$B338,BV_Data_An_Cour!$V:$V,$C338,BV_Data_An_Cour!$W:$W,$L$2)</f>
        <v>0</v>
      </c>
      <c r="M338" s="303"/>
      <c r="N338" s="304">
        <f t="shared" si="176"/>
        <v>-26.853809687373364</v>
      </c>
      <c r="O338" s="303"/>
      <c r="P338" s="178"/>
      <c r="Q338" s="180">
        <f>SUMIFS(BV_Data_An_Prec!$O:$O,BV_Data_An_Prec!$U:$U,$B338,BV_Data_An_Prec!$V:$V,$C338,BV_Data_An_Prec!$W:$W,$L$2)</f>
        <v>0</v>
      </c>
      <c r="R338" s="303"/>
      <c r="S338" s="199">
        <f t="shared" si="173"/>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
        <v>3512</v>
      </c>
      <c r="B339" s="24" t="s">
        <v>175</v>
      </c>
      <c r="C339" s="305" t="s">
        <v>129</v>
      </c>
      <c r="D339" s="301"/>
      <c r="E339" s="178"/>
      <c r="F339" s="179">
        <f>+INDEX('Budget original'!$A$2:$AO$500,MATCH($A339,'Budget original'!$A$2:$A$500,0),MATCH(F$2,'Budget original'!$A$2:$AO$2,0))</f>
        <v>510.05025000000001</v>
      </c>
      <c r="G339" s="302"/>
      <c r="H339" s="178"/>
      <c r="I339" s="179">
        <f>+INDEX('Budget révisé'!$A$2:$AO$500,MATCH($A339,'Budget révisé'!$A$2:$A$500,0),MATCH(I$2,'Budget révisé'!$A$2:$AO$2,0))</f>
        <v>510.05025000000001</v>
      </c>
      <c r="J339" s="303"/>
      <c r="K339" s="178"/>
      <c r="L339" s="554">
        <f>SUMIFS(BV_Data_An_Cour!$O:$O,BV_Data_An_Cour!$U:$U,$B339,BV_Data_An_Cour!$V:$V,$C339,BV_Data_An_Cour!$W:$W,$L$2)</f>
        <v>660.87</v>
      </c>
      <c r="M339" s="303"/>
      <c r="N339" s="304">
        <f t="shared" si="176"/>
        <v>150.81975</v>
      </c>
      <c r="O339" s="303"/>
      <c r="P339" s="178"/>
      <c r="Q339" s="554">
        <f>SUMIFS(BV_Data_An_Prec!$O:$O,BV_Data_An_Prec!$U:$U,$B339,BV_Data_An_Prec!$V:$V,$C339,BV_Data_An_Prec!$W:$W,$L$2)</f>
        <v>424.01</v>
      </c>
      <c r="R339" s="303"/>
      <c r="S339" s="199">
        <f t="shared" si="173"/>
        <v>236.86</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
        <v>3513</v>
      </c>
      <c r="B340" s="24" t="s">
        <v>175</v>
      </c>
      <c r="C340" s="305" t="s">
        <v>130</v>
      </c>
      <c r="D340" s="301"/>
      <c r="E340" s="178"/>
      <c r="F340" s="179">
        <f>+INDEX('Budget original'!$A$2:$AO$500,MATCH($A340,'Budget original'!$A$2:$A$500,0),MATCH(F$2,'Budget original'!$A$2:$AO$2,0))</f>
        <v>235.51916145833334</v>
      </c>
      <c r="G340" s="302"/>
      <c r="H340" s="178"/>
      <c r="I340" s="179">
        <f>+INDEX('Budget révisé'!$A$2:$AO$500,MATCH($A340,'Budget révisé'!$A$2:$A$500,0),MATCH(I$2,'Budget révisé'!$A$2:$AO$2,0))</f>
        <v>235.51916145833334</v>
      </c>
      <c r="J340" s="303"/>
      <c r="K340" s="178"/>
      <c r="L340" s="180">
        <f>SUMIFS(BV_Data_An_Cour!$O:$O,BV_Data_An_Cour!$U:$U,$B340,BV_Data_An_Cour!$V:$V,$C340,BV_Data_An_Cour!$W:$W,$L$2)</f>
        <v>81.349999999999994</v>
      </c>
      <c r="M340" s="303"/>
      <c r="N340" s="304">
        <f t="shared" si="176"/>
        <v>-154.16916145833335</v>
      </c>
      <c r="O340" s="303"/>
      <c r="P340" s="178"/>
      <c r="Q340" s="180">
        <f>SUMIFS(BV_Data_An_Prec!$O:$O,BV_Data_An_Prec!$U:$U,$B340,BV_Data_An_Prec!$V:$V,$C340,BV_Data_An_Prec!$W:$W,$L$2)</f>
        <v>256.82</v>
      </c>
      <c r="R340" s="303"/>
      <c r="S340" s="199">
        <f t="shared" si="173"/>
        <v>-175.47</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
        <v>3514</v>
      </c>
      <c r="B341" s="24" t="s">
        <v>175</v>
      </c>
      <c r="C341" s="305" t="s">
        <v>131</v>
      </c>
      <c r="D341" s="301"/>
      <c r="E341" s="178"/>
      <c r="F341" s="179">
        <f>+INDEX('Budget original'!$A$2:$AO$500,MATCH($A341,'Budget original'!$A$2:$A$500,0),MATCH(F$2,'Budget original'!$A$2:$AO$2,0))</f>
        <v>125.71646354166664</v>
      </c>
      <c r="G341" s="302"/>
      <c r="H341" s="178"/>
      <c r="I341" s="179">
        <f>+INDEX('Budget révisé'!$A$2:$AO$500,MATCH($A341,'Budget révisé'!$A$2:$A$500,0),MATCH(I$2,'Budget révisé'!$A$2:$AO$2,0))</f>
        <v>125.71646354166664</v>
      </c>
      <c r="J341" s="303"/>
      <c r="K341" s="178"/>
      <c r="L341" s="281">
        <f>SUMIFS(BV_Data_An_Cour!$O:$O,BV_Data_An_Cour!$U:$U,$B341,BV_Data_An_Cour!$V:$V,$C341,BV_Data_An_Cour!$W:$W,$L$2)</f>
        <v>-28.63</v>
      </c>
      <c r="M341" s="303"/>
      <c r="N341" s="304">
        <f t="shared" si="176"/>
        <v>-154.34646354166665</v>
      </c>
      <c r="O341" s="303"/>
      <c r="P341" s="178"/>
      <c r="Q341" s="180">
        <f>SUMIFS(BV_Data_An_Prec!$O:$O,BV_Data_An_Prec!$U:$U,$B341,BV_Data_An_Prec!$V:$V,$C341,BV_Data_An_Prec!$W:$W,$L$2)</f>
        <v>15.97</v>
      </c>
      <c r="R341" s="303"/>
      <c r="S341" s="199">
        <f t="shared" si="173"/>
        <v>-44.6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
        <v>3515</v>
      </c>
      <c r="B342" s="24" t="s">
        <v>175</v>
      </c>
      <c r="C342" s="305" t="s">
        <v>132</v>
      </c>
      <c r="D342" s="301"/>
      <c r="E342" s="178"/>
      <c r="F342" s="179">
        <f>+INDEX('Budget original'!$A$2:$AO$500,MATCH($A342,'Budget original'!$A$2:$A$500,0),MATCH(F$2,'Budget original'!$A$2:$AO$2,0))</f>
        <v>606.4324947916665</v>
      </c>
      <c r="G342" s="302"/>
      <c r="H342" s="178"/>
      <c r="I342" s="179">
        <f>+INDEX('Budget révisé'!$A$2:$AO$500,MATCH($A342,'Budget révisé'!$A$2:$A$500,0),MATCH(I$2,'Budget révisé'!$A$2:$AO$2,0))</f>
        <v>606.4324947916665</v>
      </c>
      <c r="J342" s="303"/>
      <c r="K342" s="178"/>
      <c r="L342" s="281">
        <f>SUMIFS(BV_Data_An_Cour!$O:$O,BV_Data_An_Cour!$U:$U,$B342,BV_Data_An_Cour!$V:$V,$C342,BV_Data_An_Cour!$W:$W,$L$2)</f>
        <v>258.91000000000003</v>
      </c>
      <c r="M342" s="303"/>
      <c r="N342" s="304">
        <f t="shared" si="176"/>
        <v>-347.52249479166647</v>
      </c>
      <c r="O342" s="303"/>
      <c r="P342" s="178"/>
      <c r="Q342" s="180">
        <f>SUMIFS(BV_Data_An_Prec!$O:$O,BV_Data_An_Prec!$U:$U,$B342,BV_Data_An_Prec!$V:$V,$C342,BV_Data_An_Prec!$W:$W,$L$2)</f>
        <v>197.1</v>
      </c>
      <c r="R342" s="303"/>
      <c r="S342" s="199">
        <f t="shared" si="173"/>
        <v>61.810000000000031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
        <v>3516</v>
      </c>
      <c r="B343" s="24" t="s">
        <v>175</v>
      </c>
      <c r="C343" s="305" t="s">
        <v>133</v>
      </c>
      <c r="D343" s="301"/>
      <c r="E343" s="178"/>
      <c r="F343" s="179">
        <f>+INDEX('Budget original'!$A$2:$AO$500,MATCH($A343,'Budget original'!$A$2:$A$500,0),MATCH(F$2,'Budget original'!$A$2:$AO$2,0))</f>
        <v>900.98145833333331</v>
      </c>
      <c r="G343" s="302"/>
      <c r="H343" s="178"/>
      <c r="I343" s="179">
        <f>+INDEX('Budget révisé'!$A$2:$AO$500,MATCH($A343,'Budget révisé'!$A$2:$A$500,0),MATCH(I$2,'Budget révisé'!$A$2:$AO$2,0))</f>
        <v>900.98145833333331</v>
      </c>
      <c r="J343" s="303"/>
      <c r="K343" s="178"/>
      <c r="L343" s="281">
        <f>SUMIFS(BV_Data_An_Cour!$O:$O,BV_Data_An_Cour!$U:$U,$B343,BV_Data_An_Cour!$V:$V,$C343,BV_Data_An_Cour!$W:$W,$L$2)</f>
        <v>79.75</v>
      </c>
      <c r="M343" s="303"/>
      <c r="N343" s="304">
        <f t="shared" ref="N343:N347" si="179">L343-I343</f>
        <v>-821.23145833333331</v>
      </c>
      <c r="O343" s="303"/>
      <c r="P343" s="178"/>
      <c r="Q343" s="180">
        <f>SUMIFS(BV_Data_An_Prec!$O:$O,BV_Data_An_Prec!$U:$U,$B343,BV_Data_An_Prec!$V:$V,$C343,BV_Data_An_Prec!$W:$W,$L$2)</f>
        <v>22.14</v>
      </c>
      <c r="R343" s="303"/>
      <c r="S343" s="199">
        <f t="shared" ref="S343:S347" si="180">L343-Q343</f>
        <v>57.61</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
        <v>3517</v>
      </c>
      <c r="B344" s="24" t="s">
        <v>175</v>
      </c>
      <c r="C344" s="305" t="s">
        <v>134</v>
      </c>
      <c r="D344" s="301"/>
      <c r="E344" s="178"/>
      <c r="F344" s="179">
        <f>+INDEX('Budget original'!$A$2:$AO$500,MATCH($A344,'Budget original'!$A$2:$A$500,0),MATCH(F$2,'Budget original'!$A$2:$AO$2,0))</f>
        <v>1315.0291164110902</v>
      </c>
      <c r="G344" s="302"/>
      <c r="H344" s="178"/>
      <c r="I344" s="179">
        <f>+INDEX('Budget révisé'!$A$2:$AO$500,MATCH($A344,'Budget révisé'!$A$2:$A$500,0),MATCH(I$2,'Budget révisé'!$A$2:$AO$2,0))</f>
        <v>1315.0291164110902</v>
      </c>
      <c r="J344" s="303"/>
      <c r="K344" s="178"/>
      <c r="L344" s="974">
        <f>AF447*W7</f>
        <v>996.2</v>
      </c>
      <c r="M344" s="303"/>
      <c r="N344" s="304">
        <f t="shared" si="179"/>
        <v>-318.82911641109013</v>
      </c>
      <c r="O344" s="303"/>
      <c r="P344" s="178"/>
      <c r="Q344" s="281">
        <f>AL447*W7</f>
        <v>856.24400000000014</v>
      </c>
      <c r="R344" s="303"/>
      <c r="S344" s="199">
        <f t="shared" si="180"/>
        <v>139.9559999999999</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
        <v>3484</v>
      </c>
      <c r="B345" s="24" t="s">
        <v>175</v>
      </c>
      <c r="C345" s="305" t="s">
        <v>42</v>
      </c>
      <c r="D345" s="301"/>
      <c r="E345" s="178"/>
      <c r="F345" s="179">
        <f>+INDEX('Budget original'!$A$2:$AO$500,MATCH($A345,'Budget original'!$A$2:$A$500,0),MATCH(F$2,'Budget original'!$A$2:$AO$2,0))</f>
        <v>0</v>
      </c>
      <c r="G345" s="302"/>
      <c r="H345" s="178"/>
      <c r="I345" s="179">
        <f>+INDEX('Budget révisé'!$A$2:$AO$500,MATCH($A345,'Budget révisé'!$A$2:$A$500,0),MATCH(I$2,'Budget révisé'!$A$2:$AO$2,0))</f>
        <v>0</v>
      </c>
      <c r="J345" s="303"/>
      <c r="K345" s="178"/>
      <c r="L345" s="281">
        <f>SUMIFS(BV_Data_An_Cour!$O:$O,BV_Data_An_Cour!$U:$U,$B345,BV_Data_An_Cour!$V:$V,$C345,BV_Data_An_Cour!$W:$W,$L$2)</f>
        <v>0</v>
      </c>
      <c r="M345" s="303"/>
      <c r="N345" s="304">
        <f t="shared" si="179"/>
        <v>0</v>
      </c>
      <c r="O345" s="303"/>
      <c r="P345" s="178"/>
      <c r="Q345" s="180">
        <f>SUMIFS(BV_Data_An_Prec!$O:$O,BV_Data_An_Prec!$U:$U,$B345,BV_Data_An_Prec!$V:$V,$C345,BV_Data_An_Prec!$W:$W,$L$2)</f>
        <v>0</v>
      </c>
      <c r="R345" s="303"/>
      <c r="S345" s="199">
        <f t="shared" si="18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
        <v>3484</v>
      </c>
      <c r="B346" s="24" t="s">
        <v>175</v>
      </c>
      <c r="C346" s="305" t="s">
        <v>42</v>
      </c>
      <c r="D346" s="301"/>
      <c r="E346" s="178"/>
      <c r="F346" s="179">
        <f>+INDEX('Budget original'!$A$2:$AO$500,MATCH($A346,'Budget original'!$A$2:$A$500,0),MATCH(F$2,'Budget original'!$A$2:$AO$2,0))</f>
        <v>0</v>
      </c>
      <c r="G346" s="302"/>
      <c r="H346" s="178"/>
      <c r="I346" s="179">
        <f>+INDEX('Budget révisé'!$A$2:$AO$500,MATCH($A346,'Budget révisé'!$A$2:$A$500,0),MATCH(I$2,'Budget révisé'!$A$2:$AO$2,0))</f>
        <v>0</v>
      </c>
      <c r="J346" s="303"/>
      <c r="K346" s="178"/>
      <c r="L346" s="180">
        <f>SUMIFS(BV_Data_An_Cour!$O:$O,BV_Data_An_Cour!$U:$U,$B346,BV_Data_An_Cour!$V:$V,$C346,BV_Data_An_Cour!$W:$W,$L$2)</f>
        <v>0</v>
      </c>
      <c r="M346" s="303"/>
      <c r="N346" s="304">
        <f t="shared" si="179"/>
        <v>0</v>
      </c>
      <c r="O346" s="303"/>
      <c r="P346" s="178"/>
      <c r="Q346" s="180">
        <f>SUMIFS(BV_Data_An_Prec!$O:$O,BV_Data_An_Prec!$U:$U,$B346,BV_Data_An_Prec!$V:$V,$C346,BV_Data_An_Prec!$W:$W,$L$2)</f>
        <v>0</v>
      </c>
      <c r="R346" s="303"/>
      <c r="S346" s="199">
        <f t="shared" si="18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
        <v>3484</v>
      </c>
      <c r="B347" s="24" t="s">
        <v>175</v>
      </c>
      <c r="C347" s="305" t="s">
        <v>42</v>
      </c>
      <c r="D347" s="301"/>
      <c r="E347" s="178"/>
      <c r="F347" s="179">
        <f>+INDEX('Budget original'!$A$2:$AO$500,MATCH($A347,'Budget original'!$A$2:$A$500,0),MATCH(F$2,'Budget original'!$A$2:$AO$2,0))</f>
        <v>0</v>
      </c>
      <c r="G347" s="302"/>
      <c r="H347" s="178"/>
      <c r="I347" s="179">
        <f>+INDEX('Budget révisé'!$A$2:$AO$500,MATCH($A347,'Budget révisé'!$A$2:$A$500,0),MATCH(I$2,'Budget révisé'!$A$2:$AO$2,0))</f>
        <v>0</v>
      </c>
      <c r="J347" s="303"/>
      <c r="K347" s="178"/>
      <c r="L347" s="180">
        <f>SUMIFS(BV_Data_An_Cour!$O:$O,BV_Data_An_Cour!$U:$U,$B347,BV_Data_An_Cour!$V:$V,$C347,BV_Data_An_Cour!$W:$W,$L$2)</f>
        <v>0</v>
      </c>
      <c r="M347" s="303"/>
      <c r="N347" s="304">
        <f t="shared" si="179"/>
        <v>0</v>
      </c>
      <c r="O347" s="303"/>
      <c r="P347" s="178"/>
      <c r="Q347" s="180">
        <f>SUMIFS(BV_Data_An_Prec!$O:$O,BV_Data_An_Prec!$U:$U,$B347,BV_Data_An_Prec!$V:$V,$C347,BV_Data_An_Prec!$W:$W,$L$2)</f>
        <v>0</v>
      </c>
      <c r="R347" s="303"/>
      <c r="S347" s="199">
        <f t="shared" si="18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0.21273151645338945</v>
      </c>
      <c r="F348" s="41">
        <f>+SUM(F330:F347)</f>
        <v>20371.507999919562</v>
      </c>
      <c r="G348" s="42" t="s">
        <v>111</v>
      </c>
      <c r="H348" s="40">
        <f>I348/I$313</f>
        <v>0.21273151645338945</v>
      </c>
      <c r="I348" s="41">
        <f>+SUM(I330:I347)</f>
        <v>20371.507999919562</v>
      </c>
      <c r="J348" s="42" t="s">
        <v>111</v>
      </c>
      <c r="K348" s="40">
        <f>L348/L$313</f>
        <v>0.183126216895866</v>
      </c>
      <c r="L348" s="41">
        <f>+SUM(L330:L347)</f>
        <v>17845.8</v>
      </c>
      <c r="M348" s="44"/>
      <c r="N348" s="41">
        <f>+SUM(N330:N347)</f>
        <v>-2525.7079999195666</v>
      </c>
      <c r="O348" s="42" t="s">
        <v>111</v>
      </c>
      <c r="P348" s="40">
        <f>Q348/Q$313</f>
        <v>0.20200732340577154</v>
      </c>
      <c r="Q348" s="41">
        <f>+SUM(Q330:Q347)</f>
        <v>16769.843999999997</v>
      </c>
      <c r="R348" s="44"/>
      <c r="S348" s="316">
        <f>+SUM(S330:S347)</f>
        <v>1075.9559999999997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0.6419497430575597</v>
      </c>
      <c r="F350" s="41">
        <f>F329+F348</f>
        <v>61474.127314411016</v>
      </c>
      <c r="G350" s="42" t="s">
        <v>111</v>
      </c>
      <c r="H350" s="40">
        <f>I350/I$313</f>
        <v>0.6419497430575597</v>
      </c>
      <c r="I350" s="41">
        <f>I329+I348</f>
        <v>61474.127314411016</v>
      </c>
      <c r="J350" s="42" t="s">
        <v>111</v>
      </c>
      <c r="K350" s="40">
        <f>L350/L$313</f>
        <v>0.51484071657888564</v>
      </c>
      <c r="L350" s="41">
        <f>L329+L348</f>
        <v>50171.650000000009</v>
      </c>
      <c r="M350" s="44"/>
      <c r="N350" s="46">
        <f t="shared" ref="N350:N351" si="181">L350-I350</f>
        <v>-11302.477314411008</v>
      </c>
      <c r="O350" s="42" t="s">
        <v>111</v>
      </c>
      <c r="P350" s="40">
        <f>Q350/Q$313</f>
        <v>0.72053109749178545</v>
      </c>
      <c r="Q350" s="41">
        <f>Q329+Q348</f>
        <v>59815.624000000003</v>
      </c>
      <c r="R350" s="44"/>
      <c r="S350" s="299">
        <f>L350-Q350</f>
        <v>-9643.9739999999947</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181"/>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34287.461469181668</v>
      </c>
      <c r="G352" s="344"/>
      <c r="H352" s="342"/>
      <c r="I352" s="343">
        <f>I313-I350</f>
        <v>34287.461469181668</v>
      </c>
      <c r="J352" s="345"/>
      <c r="K352" s="346"/>
      <c r="L352" s="343">
        <f>L313-L350</f>
        <v>47279.170000000013</v>
      </c>
      <c r="M352" s="345"/>
      <c r="N352" s="343">
        <f>L352-I352</f>
        <v>12991.708530818345</v>
      </c>
      <c r="O352" s="345"/>
      <c r="P352" s="346"/>
      <c r="Q352" s="343">
        <f>Q313-Q350</f>
        <v>23200.395999999986</v>
      </c>
      <c r="R352" s="345"/>
      <c r="S352" s="347">
        <f>L352-Q352</f>
        <v>24078.774000000027</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Janvier 2022</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287" t="s">
        <v>77</v>
      </c>
      <c r="E357" s="1288"/>
      <c r="F357" s="1289"/>
      <c r="G357" s="1290" t="s">
        <v>145</v>
      </c>
      <c r="H357" s="1288"/>
      <c r="I357" s="1289"/>
      <c r="J357" s="1290" t="s">
        <v>79</v>
      </c>
      <c r="K357" s="1288"/>
      <c r="L357" s="1289"/>
      <c r="M357" s="1290" t="s">
        <v>80</v>
      </c>
      <c r="N357" s="1289"/>
      <c r="O357" s="1287" t="s">
        <v>81</v>
      </c>
      <c r="P357" s="1288"/>
      <c r="Q357" s="1289"/>
      <c r="R357" s="1290" t="s">
        <v>82</v>
      </c>
      <c r="S357" s="1291"/>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
        <v>191</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
        <v>3518</v>
      </c>
      <c r="B359" s="24" t="s">
        <v>191</v>
      </c>
      <c r="C359" s="269" t="s">
        <v>191</v>
      </c>
      <c r="D359" s="203">
        <f>+INDEX('Budget original'!$A$2:$AO$500,MATCH($A359,'Budget original'!$A$2:$A$500,0),MATCH(D$2,'Budget original'!$A$2:$AO$2,0))</f>
        <v>0</v>
      </c>
      <c r="E359" s="204">
        <f>IFERROR(F359/D359,0)</f>
        <v>0</v>
      </c>
      <c r="F359" s="208">
        <f>+INDEX('Budget original'!$A$2:$AO$500,MATCH($A359,'Budget original'!$A$2:$A$500,0),MATCH(F$2,'Budget original'!$A$2:$AO$2,0))</f>
        <v>0</v>
      </c>
      <c r="G359" s="203">
        <f>+INDEX('Budget révisé'!$A$2:$AO$500,MATCH($A359,'Budget révisé'!$A$2:$A$500,0),MATCH(G$2,'Budget révisé'!$A$2:$AO$2,0))</f>
        <v>0</v>
      </c>
      <c r="H359" s="204">
        <f>IFERROR(I359/G359,0)</f>
        <v>0</v>
      </c>
      <c r="I359" s="203">
        <f>+INDEX('Budget révisé'!$A$2:$AO$500,MATCH($A359,'Budget révisé'!$A$2:$A$500,0),MATCH(I$2,'Budget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
        <v>191</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
        <v>3519</v>
      </c>
      <c r="B361" s="24" t="s">
        <v>191</v>
      </c>
      <c r="C361" s="273" t="s">
        <v>192</v>
      </c>
      <c r="D361" s="246">
        <f>+D359</f>
        <v>0</v>
      </c>
      <c r="E361" s="237">
        <f>IF(D361&lt;=0,0,F361/D361)</f>
        <v>0</v>
      </c>
      <c r="F361" s="238">
        <f t="shared" ref="F361" si="182">+F359</f>
        <v>0</v>
      </c>
      <c r="G361" s="236">
        <f>+G359</f>
        <v>0</v>
      </c>
      <c r="H361" s="237">
        <f>IF(G361&lt;=0,0,I361/G361)</f>
        <v>0</v>
      </c>
      <c r="I361" s="238">
        <f t="shared" ref="I361" si="183">+I359</f>
        <v>0</v>
      </c>
      <c r="J361" s="236">
        <f t="shared" ref="J361" si="184">+J359</f>
        <v>0</v>
      </c>
      <c r="K361" s="237">
        <f>IF(J361&lt;=0,0,L361/J361)</f>
        <v>0</v>
      </c>
      <c r="L361" s="238">
        <f>+L359</f>
        <v>0</v>
      </c>
      <c r="M361" s="624">
        <f>IF(G361=0,0,(+J361-G361)/G361)</f>
        <v>0</v>
      </c>
      <c r="N361" s="625">
        <f>L361-I361</f>
        <v>0</v>
      </c>
      <c r="O361" s="236">
        <f t="shared" ref="O361" si="185">+O359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
        <v>191</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
        <v>3520</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
        <v>3521</v>
      </c>
      <c r="B364" s="24" t="s">
        <v>191</v>
      </c>
      <c r="C364" s="280" t="s">
        <v>112</v>
      </c>
      <c r="D364" s="233"/>
      <c r="E364" s="233"/>
      <c r="F364" s="231">
        <f>+INDEX('Budget original'!$A$2:$AO$500,MATCH($A364,'Budget original'!$A$2:$A$500,0),MATCH(F$2,'Budget original'!$A$2:$AO$2,0))</f>
        <v>0</v>
      </c>
      <c r="G364" s="227"/>
      <c r="H364" s="233"/>
      <c r="I364" s="231">
        <f>+INDEX('Budget révisé'!$A$2:$AO$500,MATCH($A364,'Budget révisé'!$A$2:$A$500,0),MATCH(I$2,'Budget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
        <v>3522</v>
      </c>
      <c r="B365" s="24" t="s">
        <v>191</v>
      </c>
      <c r="C365" s="282" t="s">
        <v>113</v>
      </c>
      <c r="D365" s="262"/>
      <c r="E365" s="233"/>
      <c r="F365" s="244">
        <f>+INDEX('Budget original'!$A$2:$AO$500,MATCH($A365,'Budget original'!$A$2:$A$500,0),MATCH(F$2,'Budget original'!$A$2:$AO$2,0))</f>
        <v>0</v>
      </c>
      <c r="G365" s="283"/>
      <c r="H365" s="233"/>
      <c r="I365" s="244">
        <f>+INDEX('Budget révisé'!$A$2:$AO$500,MATCH($A365,'Budget révisé'!$A$2:$A$500,0),MATCH(I$2,'Budget révisé'!$A$2:$AO$2,0))</f>
        <v>0</v>
      </c>
      <c r="J365" s="227"/>
      <c r="K365" s="233"/>
      <c r="L365" s="244">
        <f>-SUMIFS(BV_Data_An_Cour!$O:$O,BV_Data_An_Cour!$U:$U,$B365,BV_Data_An_Cour!$V:$V,$C365,BV_Data_An_Cour!$W:$W,$L$2)</f>
        <v>0</v>
      </c>
      <c r="M365" s="227"/>
      <c r="N365" s="232">
        <f t="shared" ref="N365:N393" si="186">L365-I365</f>
        <v>0</v>
      </c>
      <c r="O365" s="227"/>
      <c r="P365" s="233"/>
      <c r="Q365" s="244">
        <f>-SUMIFS(BV_Data_An_Prec!$O:$O,BV_Data_An_Prec!$U:$U,$B365,BV_Data_An_Prec!$V:$V,$C365,BV_Data_An_Prec!$W:$W,$L$2)</f>
        <v>0</v>
      </c>
      <c r="R365" s="227"/>
      <c r="S365" s="284">
        <f t="shared" ref="S365:S393" si="187">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
        <v>3523</v>
      </c>
      <c r="B366" s="24" t="s">
        <v>191</v>
      </c>
      <c r="C366" s="280" t="s">
        <v>114</v>
      </c>
      <c r="D366" s="285"/>
      <c r="E366" s="286"/>
      <c r="F366" s="231">
        <f>+INDEX('Budget original'!$A$2:$AO$500,MATCH($A366,'Budget original'!$A$2:$A$500,0),MATCH(F$2,'Budget original'!$A$2:$AO$2,0))</f>
        <v>0</v>
      </c>
      <c r="G366" s="287"/>
      <c r="H366" s="286"/>
      <c r="I366" s="231">
        <f>+INDEX('Budget révisé'!$A$2:$AO$500,MATCH($A366,'Budget révisé'!$A$2:$A$500,0),MATCH(I$2,'Budget révisé'!$A$2:$AO$2,0))</f>
        <v>0</v>
      </c>
      <c r="J366" s="288"/>
      <c r="K366" s="286"/>
      <c r="L366" s="281">
        <f>-SUMIFS(BV_Data_An_Cour!$O:$O,BV_Data_An_Cour!$U:$U,$B366,BV_Data_An_Cour!$V:$V,$C366,BV_Data_An_Cour!$W:$W,$L$2)</f>
        <v>0</v>
      </c>
      <c r="M366" s="288"/>
      <c r="N366" s="289">
        <f t="shared" si="186"/>
        <v>0</v>
      </c>
      <c r="O366" s="288"/>
      <c r="P366" s="286"/>
      <c r="Q366" s="281">
        <f>-SUMIFS(BV_Data_An_Prec!$O:$O,BV_Data_An_Prec!$U:$U,$B366,BV_Data_An_Prec!$V:$V,$C366,BV_Data_An_Prec!$W:$W,$L$2)</f>
        <v>0</v>
      </c>
      <c r="R366" s="288"/>
      <c r="S366" s="290">
        <f t="shared" si="187"/>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
        <v>3524</v>
      </c>
      <c r="B367" s="24" t="s">
        <v>191</v>
      </c>
      <c r="C367" s="280" t="s">
        <v>115</v>
      </c>
      <c r="D367" s="262"/>
      <c r="E367" s="233"/>
      <c r="F367" s="231">
        <f>+INDEX('Budget original'!$A$2:$AO$500,MATCH($A367,'Budget original'!$A$2:$A$500,0),MATCH(F$2,'Budget original'!$A$2:$AO$2,0))</f>
        <v>0</v>
      </c>
      <c r="G367" s="283"/>
      <c r="H367" s="233"/>
      <c r="I367" s="231">
        <f>+INDEX('Budget révisé'!$A$2:$AO$500,MATCH($A367,'Budget révisé'!$A$2:$A$500,0),MATCH(I$2,'Budget révisé'!$A$2:$AO$2,0))</f>
        <v>0</v>
      </c>
      <c r="J367" s="227"/>
      <c r="K367" s="233"/>
      <c r="L367" s="281">
        <f>-SUMIFS(BV_Data_An_Cour!$O:$O,BV_Data_An_Cour!$U:$U,$B367,BV_Data_An_Cour!$V:$V,$C367,BV_Data_An_Cour!$W:$W,$L$2)</f>
        <v>0</v>
      </c>
      <c r="M367" s="227"/>
      <c r="N367" s="232">
        <f t="shared" si="186"/>
        <v>0</v>
      </c>
      <c r="O367" s="227"/>
      <c r="P367" s="233"/>
      <c r="Q367" s="281">
        <f>-SUMIFS(BV_Data_An_Prec!$O:$O,BV_Data_An_Prec!$U:$U,$B367,BV_Data_An_Prec!$V:$V,$C367,BV_Data_An_Prec!$W:$W,$L$2)</f>
        <v>0</v>
      </c>
      <c r="R367" s="227"/>
      <c r="S367" s="284">
        <f t="shared" si="187"/>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
        <v>3525</v>
      </c>
      <c r="B368" s="24" t="s">
        <v>191</v>
      </c>
      <c r="C368" s="291" t="s">
        <v>42</v>
      </c>
      <c r="D368" s="262"/>
      <c r="E368" s="233"/>
      <c r="F368" s="231">
        <f>+INDEX('Budget original'!$A$2:$AO$500,MATCH($A368,'Budget original'!$A$2:$A$500,0),MATCH(F$2,'Budget original'!$A$2:$AO$2,0))</f>
        <v>0</v>
      </c>
      <c r="G368" s="283"/>
      <c r="H368" s="233"/>
      <c r="I368" s="231">
        <f>+INDEX('Budget révisé'!$A$2:$AO$500,MATCH($A368,'Budget révisé'!$A$2:$A$500,0),MATCH(I$2,'Budget révisé'!$A$2:$AO$2,0))</f>
        <v>0</v>
      </c>
      <c r="J368" s="227"/>
      <c r="K368" s="233"/>
      <c r="L368" s="281">
        <f>-SUMIFS(BV_Data_An_Cour!$O:$O,BV_Data_An_Cour!$U:$U,$B368,BV_Data_An_Cour!$V:$V,$C368,BV_Data_An_Cour!$W:$W,$L$2)</f>
        <v>0</v>
      </c>
      <c r="M368" s="227"/>
      <c r="N368" s="232">
        <f t="shared" si="186"/>
        <v>0</v>
      </c>
      <c r="O368" s="227"/>
      <c r="P368" s="233"/>
      <c r="Q368" s="281">
        <f>-SUMIFS(BV_Data_An_Prec!$O:$O,BV_Data_An_Prec!$U:$U,$B368,BV_Data_An_Prec!$V:$V,$C368,BV_Data_An_Prec!$W:$W,$L$2)</f>
        <v>0</v>
      </c>
      <c r="R368" s="227"/>
      <c r="S368" s="284">
        <f t="shared" si="187"/>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
        <v>3525</v>
      </c>
      <c r="B369" s="24" t="s">
        <v>191</v>
      </c>
      <c r="C369" s="291" t="s">
        <v>42</v>
      </c>
      <c r="D369" s="262"/>
      <c r="E369" s="233"/>
      <c r="F369" s="231">
        <f>+INDEX('Budget original'!$A$2:$AO$500,MATCH($A369,'Budget original'!$A$2:$A$500,0),MATCH(F$2,'Budget original'!$A$2:$AO$2,0))</f>
        <v>0</v>
      </c>
      <c r="G369" s="283"/>
      <c r="H369" s="233"/>
      <c r="I369" s="231">
        <f>+INDEX('Budget révisé'!$A$2:$AO$500,MATCH($A369,'Budget révisé'!$A$2:$A$500,0),MATCH(I$2,'Budget révisé'!$A$2:$AO$2,0))</f>
        <v>0</v>
      </c>
      <c r="J369" s="227"/>
      <c r="K369" s="233"/>
      <c r="L369" s="281">
        <f>-SUMIFS(BV_Data_An_Cour!$O:$O,BV_Data_An_Cour!$U:$U,$B369,BV_Data_An_Cour!$V:$V,$C369,BV_Data_An_Cour!$W:$W,$L$2)</f>
        <v>0</v>
      </c>
      <c r="M369" s="227"/>
      <c r="N369" s="232">
        <f t="shared" si="186"/>
        <v>0</v>
      </c>
      <c r="O369" s="227"/>
      <c r="P369" s="233"/>
      <c r="Q369" s="281">
        <f>-SUMIFS(BV_Data_An_Prec!$O:$O,BV_Data_An_Prec!$U:$U,$B369,BV_Data_An_Prec!$V:$V,$C369,BV_Data_An_Prec!$W:$W,$L$2)</f>
        <v>0</v>
      </c>
      <c r="R369" s="227"/>
      <c r="S369" s="284">
        <f t="shared" si="187"/>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
        <v>3525</v>
      </c>
      <c r="B370" s="24" t="s">
        <v>191</v>
      </c>
      <c r="C370" s="291" t="s">
        <v>42</v>
      </c>
      <c r="D370" s="262"/>
      <c r="E370" s="233"/>
      <c r="F370" s="231">
        <f>+INDEX('Budget original'!$A$2:$AO$500,MATCH($A370,'Budget original'!$A$2:$A$500,0),MATCH(F$2,'Budget original'!$A$2:$AO$2,0))</f>
        <v>0</v>
      </c>
      <c r="G370" s="283"/>
      <c r="H370" s="233"/>
      <c r="I370" s="231">
        <f>+INDEX('Budget révisé'!$A$2:$AO$500,MATCH($A370,'Budget révisé'!$A$2:$A$500,0),MATCH(I$2,'Budget révisé'!$A$2:$AO$2,0))</f>
        <v>0</v>
      </c>
      <c r="J370" s="227"/>
      <c r="K370" s="233"/>
      <c r="L370" s="281">
        <f>-SUMIFS(BV_Data_An_Cour!$O:$O,BV_Data_An_Cour!$U:$U,$B370,BV_Data_An_Cour!$V:$V,$C370,BV_Data_An_Cour!$W:$W,$L$2)</f>
        <v>0</v>
      </c>
      <c r="M370" s="227"/>
      <c r="N370" s="232">
        <f t="shared" si="186"/>
        <v>0</v>
      </c>
      <c r="O370" s="227"/>
      <c r="P370" s="233"/>
      <c r="Q370" s="281">
        <f>-SUMIFS(BV_Data_An_Prec!$O:$O,BV_Data_An_Prec!$U:$U,$B370,BV_Data_An_Prec!$V:$V,$C370,BV_Data_An_Prec!$W:$W,$L$2)</f>
        <v>0</v>
      </c>
      <c r="R370" s="227"/>
      <c r="S370" s="284">
        <f t="shared" si="187"/>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
        <v>3526</v>
      </c>
      <c r="B371" s="24" t="s">
        <v>191</v>
      </c>
      <c r="C371" s="282" t="s">
        <v>116</v>
      </c>
      <c r="D371" s="262"/>
      <c r="E371" s="233"/>
      <c r="F371" s="244">
        <f>+INDEX('Budget original'!$A$2:$AO$500,MATCH($A371,'Budget original'!$A$2:$A$500,0),MATCH(F$2,'Budget original'!$A$2:$AO$2,0))</f>
        <v>0</v>
      </c>
      <c r="G371" s="283"/>
      <c r="H371" s="233"/>
      <c r="I371" s="244">
        <f>+INDEX('Budget révisé'!$A$2:$AO$500,MATCH($A371,'Budget révisé'!$A$2:$A$500,0),MATCH(I$2,'Budget révisé'!$A$2:$AO$2,0))</f>
        <v>0</v>
      </c>
      <c r="J371" s="227"/>
      <c r="K371" s="233"/>
      <c r="L371" s="244">
        <f>-SUMIFS(BV_Data_An_Cour!$O:$O,BV_Data_An_Cour!$U:$U,$B371,BV_Data_An_Cour!$V:$V,$C371,BV_Data_An_Cour!$W:$W,$L$2)</f>
        <v>0</v>
      </c>
      <c r="M371" s="227"/>
      <c r="N371" s="232">
        <f t="shared" si="186"/>
        <v>0</v>
      </c>
      <c r="O371" s="227"/>
      <c r="P371" s="233"/>
      <c r="Q371" s="244">
        <f>-SUMIFS(BV_Data_An_Prec!$O:$O,BV_Data_An_Prec!$U:$U,$B371,BV_Data_An_Prec!$V:$V,$C371,BV_Data_An_Prec!$W:$W,$L$2)</f>
        <v>0</v>
      </c>
      <c r="R371" s="227"/>
      <c r="S371" s="284">
        <f t="shared" si="187"/>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
        <v>3527</v>
      </c>
      <c r="B372" s="24" t="s">
        <v>191</v>
      </c>
      <c r="C372" s="280" t="s">
        <v>117</v>
      </c>
      <c r="D372" s="285"/>
      <c r="E372" s="286"/>
      <c r="F372" s="231">
        <f>+INDEX('Budget original'!$A$2:$AO$500,MATCH($A372,'Budget original'!$A$2:$A$500,0),MATCH(F$2,'Budget original'!$A$2:$AO$2,0))</f>
        <v>0</v>
      </c>
      <c r="G372" s="287"/>
      <c r="H372" s="286"/>
      <c r="I372" s="231">
        <f>+INDEX('Budget révisé'!$A$2:$AO$500,MATCH($A372,'Budget révisé'!$A$2:$A$500,0),MATCH(I$2,'Budget révisé'!$A$2:$AO$2,0))</f>
        <v>0</v>
      </c>
      <c r="J372" s="288"/>
      <c r="K372" s="286"/>
      <c r="L372" s="281">
        <f>-SUMIFS(BV_Data_An_Cour!$O:$O,BV_Data_An_Cour!$U:$U,$B372,BV_Data_An_Cour!$V:$V,$C372,BV_Data_An_Cour!$W:$W,$L$2)</f>
        <v>0</v>
      </c>
      <c r="M372" s="288"/>
      <c r="N372" s="289">
        <f t="shared" si="186"/>
        <v>0</v>
      </c>
      <c r="O372" s="288"/>
      <c r="P372" s="286"/>
      <c r="Q372" s="281">
        <f>-SUMIFS(BV_Data_An_Prec!$O:$O,BV_Data_An_Prec!$U:$U,$B372,BV_Data_An_Prec!$V:$V,$C372,BV_Data_An_Prec!$W:$W,$L$2)</f>
        <v>0</v>
      </c>
      <c r="R372" s="288"/>
      <c r="S372" s="290">
        <f t="shared" si="187"/>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
        <v>3528</v>
      </c>
      <c r="B373" s="24" t="s">
        <v>191</v>
      </c>
      <c r="C373" s="280" t="s">
        <v>118</v>
      </c>
      <c r="D373" s="262"/>
      <c r="E373" s="233"/>
      <c r="F373" s="231">
        <f>+INDEX('Budget original'!$A$2:$AO$500,MATCH($A373,'Budget original'!$A$2:$A$500,0),MATCH(F$2,'Budget original'!$A$2:$AO$2,0))</f>
        <v>0</v>
      </c>
      <c r="G373" s="283"/>
      <c r="H373" s="233"/>
      <c r="I373" s="231">
        <f>+INDEX('Budget révisé'!$A$2:$AO$500,MATCH($A373,'Budget révisé'!$A$2:$A$500,0),MATCH(I$2,'Budget révisé'!$A$2:$AO$2,0))</f>
        <v>0</v>
      </c>
      <c r="J373" s="227"/>
      <c r="K373" s="233"/>
      <c r="L373" s="281">
        <f>-SUMIFS(BV_Data_An_Cour!$O:$O,BV_Data_An_Cour!$U:$U,$B373,BV_Data_An_Cour!$V:$V,$C373,BV_Data_An_Cour!$W:$W,$L$2)</f>
        <v>0</v>
      </c>
      <c r="M373" s="227"/>
      <c r="N373" s="232">
        <f t="shared" si="186"/>
        <v>0</v>
      </c>
      <c r="O373" s="227"/>
      <c r="P373" s="233"/>
      <c r="Q373" s="281">
        <f>-SUMIFS(BV_Data_An_Prec!$O:$O,BV_Data_An_Prec!$U:$U,$B373,BV_Data_An_Prec!$V:$V,$C373,BV_Data_An_Prec!$W:$W,$L$2)</f>
        <v>0</v>
      </c>
      <c r="R373" s="227"/>
      <c r="S373" s="284">
        <f t="shared" si="187"/>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
        <v>3529</v>
      </c>
      <c r="B374" s="24" t="s">
        <v>191</v>
      </c>
      <c r="C374" s="280" t="s">
        <v>119</v>
      </c>
      <c r="D374" s="262"/>
      <c r="E374" s="233"/>
      <c r="F374" s="231">
        <f>+INDEX('Budget original'!$A$2:$AO$500,MATCH($A374,'Budget original'!$A$2:$A$500,0),MATCH(F$2,'Budget original'!$A$2:$AO$2,0))</f>
        <v>0</v>
      </c>
      <c r="G374" s="283"/>
      <c r="H374" s="233"/>
      <c r="I374" s="231">
        <f>+INDEX('Budget révisé'!$A$2:$AO$500,MATCH($A374,'Budget révisé'!$A$2:$A$500,0),MATCH(I$2,'Budget révisé'!$A$2:$AO$2,0))</f>
        <v>0</v>
      </c>
      <c r="J374" s="227"/>
      <c r="K374" s="233"/>
      <c r="L374" s="281">
        <f>-SUMIFS(BV_Data_An_Cour!$O:$O,BV_Data_An_Cour!$U:$U,$B374,BV_Data_An_Cour!$V:$V,$C374,BV_Data_An_Cour!$W:$W,$L$2)</f>
        <v>0</v>
      </c>
      <c r="M374" s="227"/>
      <c r="N374" s="232">
        <f t="shared" si="186"/>
        <v>0</v>
      </c>
      <c r="O374" s="227"/>
      <c r="P374" s="233"/>
      <c r="Q374" s="281">
        <f>-SUMIFS(BV_Data_An_Prec!$O:$O,BV_Data_An_Prec!$U:$U,$B374,BV_Data_An_Prec!$V:$V,$C374,BV_Data_An_Prec!$W:$W,$L$2)</f>
        <v>0</v>
      </c>
      <c r="R374" s="227"/>
      <c r="S374" s="284">
        <f t="shared" si="187"/>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
        <v>3525</v>
      </c>
      <c r="B375" s="24" t="s">
        <v>191</v>
      </c>
      <c r="C375" s="291" t="s">
        <v>42</v>
      </c>
      <c r="D375" s="292"/>
      <c r="E375" s="293"/>
      <c r="F375" s="231">
        <f>+INDEX('Budget original'!$A$2:$AO$500,MATCH($A375,'Budget original'!$A$2:$A$500,0),MATCH(F$2,'Budget original'!$A$2:$AO$2,0))</f>
        <v>0</v>
      </c>
      <c r="G375" s="294"/>
      <c r="H375" s="293"/>
      <c r="I375" s="231">
        <f>+INDEX('Budget révisé'!$A$2:$AO$500,MATCH($A375,'Budget révisé'!$A$2:$A$500,0),MATCH(I$2,'Budget révisé'!$A$2:$AO$2,0))</f>
        <v>0</v>
      </c>
      <c r="J375" s="295"/>
      <c r="K375" s="293"/>
      <c r="L375" s="281">
        <f>-SUMIFS(BV_Data_An_Cour!$O:$O,BV_Data_An_Cour!$U:$U,$B375,BV_Data_An_Cour!$V:$V,$C375,BV_Data_An_Cour!$W:$W,$L$2)</f>
        <v>0</v>
      </c>
      <c r="M375" s="295"/>
      <c r="N375" s="296">
        <f t="shared" si="186"/>
        <v>0</v>
      </c>
      <c r="O375" s="295"/>
      <c r="P375" s="293"/>
      <c r="Q375" s="281">
        <f>-SUMIFS(BV_Data_An_Prec!$O:$O,BV_Data_An_Prec!$U:$U,$B375,BV_Data_An_Prec!$V:$V,$C375,BV_Data_An_Prec!$W:$W,$L$2)</f>
        <v>0</v>
      </c>
      <c r="R375" s="295"/>
      <c r="S375" s="297">
        <f t="shared" si="187"/>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
        <v>3530</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86"/>
        <v>0</v>
      </c>
      <c r="O376" s="42" t="s">
        <v>111</v>
      </c>
      <c r="P376" s="40">
        <f>IFERROR(Q376/Q$359,0)</f>
        <v>0</v>
      </c>
      <c r="Q376" s="41">
        <f>+SUM(Q364:Q375)</f>
        <v>0</v>
      </c>
      <c r="R376" s="43"/>
      <c r="S376" s="299">
        <f t="shared" si="187"/>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
        <v>3531</v>
      </c>
      <c r="B377" s="24" t="s">
        <v>191</v>
      </c>
      <c r="C377" s="300" t="s">
        <v>121</v>
      </c>
      <c r="D377" s="301"/>
      <c r="E377" s="178"/>
      <c r="F377" s="179">
        <f>+INDEX('Budget original'!$A$2:$AO$500,MATCH($A377,'Budget original'!$A$2:$A$500,0),MATCH(F$2,'Budget original'!$A$2:$AO$2,0))</f>
        <v>0</v>
      </c>
      <c r="G377" s="302"/>
      <c r="H377" s="178"/>
      <c r="I377" s="179">
        <f>+INDEX('Budget révisé'!$A$2:$AO$500,MATCH($A377,'Budget révisé'!$A$2:$A$500,0),MATCH(I$2,'Budget révisé'!$A$2:$AO$2,0))</f>
        <v>0</v>
      </c>
      <c r="J377" s="303"/>
      <c r="K377" s="178"/>
      <c r="L377" s="180">
        <f>-SUMIFS(BV_Data_An_Cour!$O:$O,BV_Data_An_Cour!$U:$U,$B377,BV_Data_An_Cour!$V:$V,$C377,BV_Data_An_Cour!$W:$W,$L$2)</f>
        <v>0</v>
      </c>
      <c r="M377" s="303"/>
      <c r="N377" s="304">
        <f t="shared" si="186"/>
        <v>0</v>
      </c>
      <c r="O377" s="303"/>
      <c r="P377" s="178"/>
      <c r="Q377" s="180">
        <f>-SUMIFS(BV_Data_An_Prec!$O:$O,BV_Data_An_Prec!$U:$U,$B377,BV_Data_An_Prec!$V:$V,$C377,BV_Data_An_Prec!$W:$W,$L$2)</f>
        <v>0</v>
      </c>
      <c r="R377" s="303"/>
      <c r="S377" s="199">
        <f t="shared" si="187"/>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
        <v>3532</v>
      </c>
      <c r="B378" s="24" t="s">
        <v>191</v>
      </c>
      <c r="C378" s="305" t="s">
        <v>122</v>
      </c>
      <c r="D378" s="301"/>
      <c r="E378" s="178"/>
      <c r="F378" s="179">
        <f>+INDEX('Budget original'!$A$2:$AO$500,MATCH($A378,'Budget original'!$A$2:$A$500,0),MATCH(F$2,'Budget original'!$A$2:$AO$2,0))</f>
        <v>0</v>
      </c>
      <c r="G378" s="302"/>
      <c r="H378" s="178"/>
      <c r="I378" s="179">
        <f>+INDEX('Budget révisé'!$A$2:$AO$500,MATCH($A378,'Budget révisé'!$A$2:$A$500,0),MATCH(I$2,'Budget révisé'!$A$2:$AO$2,0))</f>
        <v>0</v>
      </c>
      <c r="J378" s="303"/>
      <c r="K378" s="178"/>
      <c r="L378" s="180">
        <f>-SUMIFS(BV_Data_An_Cour!$O:$O,BV_Data_An_Cour!$U:$U,$B378,BV_Data_An_Cour!$V:$V,$C378,BV_Data_An_Cour!$W:$W,$L$2)</f>
        <v>0</v>
      </c>
      <c r="M378" s="303"/>
      <c r="N378" s="304">
        <f t="shared" si="186"/>
        <v>0</v>
      </c>
      <c r="O378" s="303"/>
      <c r="P378" s="178"/>
      <c r="Q378" s="180">
        <f>-SUMIFS(BV_Data_An_Prec!$O:$O,BV_Data_An_Prec!$U:$U,$B378,BV_Data_An_Prec!$V:$V,$C378,BV_Data_An_Prec!$W:$W,$L$2)</f>
        <v>0</v>
      </c>
      <c r="R378" s="303"/>
      <c r="S378" s="199">
        <f t="shared" si="187"/>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
        <v>3533</v>
      </c>
      <c r="B379" s="24" t="s">
        <v>191</v>
      </c>
      <c r="C379" s="306" t="s">
        <v>123</v>
      </c>
      <c r="D379" s="307"/>
      <c r="E379" s="308"/>
      <c r="F379" s="177">
        <f>+INDEX('Budget original'!$A$2:$AO$500,MATCH($A379,'Budget original'!$A$2:$A$500,0),MATCH(F$2,'Budget original'!$A$2:$AO$2,0))</f>
        <v>0</v>
      </c>
      <c r="G379" s="309"/>
      <c r="H379" s="308"/>
      <c r="I379" s="177">
        <f>+INDEX('Budget révisé'!$A$2:$AO$500,MATCH($A379,'Budget révisé'!$A$2:$A$500,0),MATCH(I$2,'Budget révisé'!$A$2:$AO$2,0))</f>
        <v>0</v>
      </c>
      <c r="J379" s="310"/>
      <c r="K379" s="308"/>
      <c r="L379" s="177">
        <f>-SUMIFS(BV_Data_An_Cour!$O:$O,BV_Data_An_Cour!$U:$U,$B379,BV_Data_An_Cour!$V:$V,$C379,BV_Data_An_Cour!$W:$W,$L$2)</f>
        <v>0</v>
      </c>
      <c r="M379" s="310"/>
      <c r="N379" s="311">
        <f t="shared" si="186"/>
        <v>0</v>
      </c>
      <c r="O379" s="310"/>
      <c r="P379" s="308"/>
      <c r="Q379" s="177">
        <f>-SUMIFS(BV_Data_An_Prec!$O:$O,BV_Data_An_Prec!$U:$U,$B379,BV_Data_An_Prec!$V:$V,$C379,BV_Data_An_Prec!$W:$W,$L$2)</f>
        <v>0</v>
      </c>
      <c r="R379" s="310"/>
      <c r="S379" s="202">
        <f t="shared" si="187"/>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
        <v>3534</v>
      </c>
      <c r="B380" s="24" t="s">
        <v>191</v>
      </c>
      <c r="C380" s="305" t="s">
        <v>124</v>
      </c>
      <c r="D380" s="301"/>
      <c r="E380" s="178"/>
      <c r="F380" s="179">
        <f>+INDEX('Budget original'!$A$2:$AO$500,MATCH($A380,'Budget original'!$A$2:$A$500,0),MATCH(F$2,'Budget original'!$A$2:$AO$2,0))</f>
        <v>0</v>
      </c>
      <c r="G380" s="302"/>
      <c r="H380" s="178"/>
      <c r="I380" s="179">
        <f>+INDEX('Budget révisé'!$A$2:$AO$500,MATCH($A380,'Budget révisé'!$A$2:$A$500,0),MATCH(I$2,'Budget révisé'!$A$2:$AO$2,0))</f>
        <v>0</v>
      </c>
      <c r="J380" s="303"/>
      <c r="K380" s="178"/>
      <c r="L380" s="180">
        <f>-SUMIFS(BV_Data_An_Cour!$O:$O,BV_Data_An_Cour!$U:$U,$B380,BV_Data_An_Cour!$V:$V,$C380,BV_Data_An_Cour!$W:$W,$L$2)</f>
        <v>0</v>
      </c>
      <c r="M380" s="303"/>
      <c r="N380" s="304">
        <f t="shared" si="186"/>
        <v>0</v>
      </c>
      <c r="O380" s="303"/>
      <c r="P380" s="178"/>
      <c r="Q380" s="180">
        <f>-SUMIFS(BV_Data_An_Prec!$O:$O,BV_Data_An_Prec!$U:$U,$B380,BV_Data_An_Prec!$V:$V,$C380,BV_Data_An_Prec!$W:$W,$L$2)</f>
        <v>0</v>
      </c>
      <c r="R380" s="303"/>
      <c r="S380" s="199">
        <f t="shared" si="187"/>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
        <v>3535</v>
      </c>
      <c r="B381" s="24" t="s">
        <v>191</v>
      </c>
      <c r="C381" s="305" t="s">
        <v>125</v>
      </c>
      <c r="D381" s="301"/>
      <c r="E381" s="178"/>
      <c r="F381" s="179">
        <f>+INDEX('Budget original'!$A$2:$AO$500,MATCH($A381,'Budget original'!$A$2:$A$500,0),MATCH(F$2,'Budget original'!$A$2:$AO$2,0))</f>
        <v>0</v>
      </c>
      <c r="G381" s="302"/>
      <c r="H381" s="178"/>
      <c r="I381" s="179">
        <f>+INDEX('Budget révisé'!$A$2:$AO$500,MATCH($A381,'Budget révisé'!$A$2:$A$500,0),MATCH(I$2,'Budget révisé'!$A$2:$AO$2,0))</f>
        <v>0</v>
      </c>
      <c r="J381" s="303"/>
      <c r="K381" s="178"/>
      <c r="L381" s="180">
        <f>-SUMIFS(BV_Data_An_Cour!$O:$O,BV_Data_An_Cour!$U:$U,$B381,BV_Data_An_Cour!$V:$V,$C381,BV_Data_An_Cour!$W:$W,$L$2)</f>
        <v>0</v>
      </c>
      <c r="M381" s="303"/>
      <c r="N381" s="304">
        <f t="shared" si="186"/>
        <v>0</v>
      </c>
      <c r="O381" s="303"/>
      <c r="P381" s="178"/>
      <c r="Q381" s="180">
        <f>-SUMIFS(BV_Data_An_Prec!$O:$O,BV_Data_An_Prec!$U:$U,$B381,BV_Data_An_Prec!$V:$V,$C381,BV_Data_An_Prec!$W:$W,$L$2)</f>
        <v>0</v>
      </c>
      <c r="R381" s="303"/>
      <c r="S381" s="199">
        <f t="shared" si="187"/>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
        <v>3536</v>
      </c>
      <c r="B382" s="24" t="s">
        <v>191</v>
      </c>
      <c r="C382" s="305" t="s">
        <v>126</v>
      </c>
      <c r="D382" s="307"/>
      <c r="E382" s="308"/>
      <c r="F382" s="177">
        <f>+INDEX('Budget original'!$A$2:$AO$500,MATCH($A382,'Budget original'!$A$2:$A$500,0),MATCH(F$2,'Budget original'!$A$2:$AO$2,0))</f>
        <v>0</v>
      </c>
      <c r="G382" s="309"/>
      <c r="H382" s="308"/>
      <c r="I382" s="177">
        <f>+INDEX('Budget révisé'!$A$2:$AO$500,MATCH($A382,'Budget révisé'!$A$2:$A$500,0),MATCH(I$2,'Budget révisé'!$A$2:$AO$2,0))</f>
        <v>0</v>
      </c>
      <c r="J382" s="310"/>
      <c r="K382" s="308"/>
      <c r="L382" s="177">
        <f>-SUMIFS(BV_Data_An_Cour!$O:$O,BV_Data_An_Cour!$U:$U,$B382,BV_Data_An_Cour!$V:$V,$C382,BV_Data_An_Cour!$W:$W,$L$2)</f>
        <v>0</v>
      </c>
      <c r="M382" s="310"/>
      <c r="N382" s="311">
        <f t="shared" si="186"/>
        <v>0</v>
      </c>
      <c r="O382" s="310"/>
      <c r="P382" s="308"/>
      <c r="Q382" s="177">
        <f>-SUMIFS(BV_Data_An_Prec!$O:$O,BV_Data_An_Prec!$U:$U,$B382,BV_Data_An_Prec!$V:$V,$C382,BV_Data_An_Prec!$W:$W,$L$2)</f>
        <v>0</v>
      </c>
      <c r="R382" s="310"/>
      <c r="S382" s="202">
        <f t="shared" si="187"/>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
        <v>3537</v>
      </c>
      <c r="B383" s="24" t="s">
        <v>191</v>
      </c>
      <c r="C383" s="300" t="s">
        <v>127</v>
      </c>
      <c r="D383" s="301"/>
      <c r="E383" s="178"/>
      <c r="F383" s="179">
        <f>+INDEX('Budget original'!$A$2:$AO$500,MATCH($A383,'Budget original'!$A$2:$A$500,0),MATCH(F$2,'Budget original'!$A$2:$AO$2,0))</f>
        <v>0</v>
      </c>
      <c r="G383" s="302"/>
      <c r="H383" s="178"/>
      <c r="I383" s="179">
        <f>+INDEX('Budget révisé'!$A$2:$AO$500,MATCH($A383,'Budget révisé'!$A$2:$A$500,0),MATCH(I$2,'Budget révisé'!$A$2:$AO$2,0))</f>
        <v>0</v>
      </c>
      <c r="J383" s="303"/>
      <c r="K383" s="178"/>
      <c r="L383" s="180">
        <f>-SUMIFS(BV_Data_An_Cour!$O:$O,BV_Data_An_Cour!$U:$U,$B383,BV_Data_An_Cour!$V:$V,$C383,BV_Data_An_Cour!$W:$W,$L$2)</f>
        <v>0</v>
      </c>
      <c r="M383" s="303"/>
      <c r="N383" s="304">
        <f t="shared" si="186"/>
        <v>0</v>
      </c>
      <c r="O383" s="303"/>
      <c r="P383" s="178"/>
      <c r="Q383" s="180">
        <f>-SUMIFS(BV_Data_An_Prec!$O:$O,BV_Data_An_Prec!$U:$U,$B383,BV_Data_An_Prec!$V:$V,$C383,BV_Data_An_Prec!$W:$W,$L$2)</f>
        <v>0</v>
      </c>
      <c r="R383" s="303"/>
      <c r="S383" s="199">
        <f t="shared" si="187"/>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
        <v>3538</v>
      </c>
      <c r="B384" s="24" t="s">
        <v>191</v>
      </c>
      <c r="C384" s="305" t="s">
        <v>128</v>
      </c>
      <c r="D384" s="301"/>
      <c r="E384" s="178"/>
      <c r="F384" s="179">
        <f>+INDEX('Budget original'!$A$2:$AO$500,MATCH($A384,'Budget original'!$A$2:$A$500,0),MATCH(F$2,'Budget original'!$A$2:$AO$2,0))</f>
        <v>0</v>
      </c>
      <c r="G384" s="302"/>
      <c r="H384" s="178"/>
      <c r="I384" s="179">
        <f>+INDEX('Budget révisé'!$A$2:$AO$500,MATCH($A384,'Budget révisé'!$A$2:$A$500,0),MATCH(I$2,'Budget révisé'!$A$2:$AO$2,0))</f>
        <v>0</v>
      </c>
      <c r="J384" s="303"/>
      <c r="K384" s="178"/>
      <c r="L384" s="180">
        <f>-SUMIFS(BV_Data_An_Cour!$O:$O,BV_Data_An_Cour!$U:$U,$B384,BV_Data_An_Cour!$V:$V,$C384,BV_Data_An_Cour!$W:$W,$L$2)</f>
        <v>0</v>
      </c>
      <c r="M384" s="303"/>
      <c r="N384" s="304">
        <f t="shared" si="186"/>
        <v>0</v>
      </c>
      <c r="O384" s="303"/>
      <c r="P384" s="178"/>
      <c r="Q384" s="180">
        <f>-SUMIFS(BV_Data_An_Prec!$O:$O,BV_Data_An_Prec!$U:$U,$B384,BV_Data_An_Prec!$V:$V,$C384,BV_Data_An_Prec!$W:$W,$L$2)</f>
        <v>0</v>
      </c>
      <c r="R384" s="303"/>
      <c r="S384" s="199">
        <f t="shared" si="187"/>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
        <v>3539</v>
      </c>
      <c r="B385" s="24" t="s">
        <v>191</v>
      </c>
      <c r="C385" s="305" t="s">
        <v>129</v>
      </c>
      <c r="D385" s="301"/>
      <c r="E385" s="178"/>
      <c r="F385" s="179">
        <f>+INDEX('Budget original'!$A$2:$AO$500,MATCH($A385,'Budget original'!$A$2:$A$500,0),MATCH(F$2,'Budget original'!$A$2:$AO$2,0))</f>
        <v>0</v>
      </c>
      <c r="G385" s="302"/>
      <c r="H385" s="178"/>
      <c r="I385" s="179">
        <f>+INDEX('Budget révisé'!$A$2:$AO$500,MATCH($A385,'Budget révisé'!$A$2:$A$500,0),MATCH(I$2,'Budget révisé'!$A$2:$AO$2,0))</f>
        <v>0</v>
      </c>
      <c r="J385" s="303"/>
      <c r="K385" s="178"/>
      <c r="L385" s="180">
        <f>-SUMIFS(BV_Data_An_Cour!$O:$O,BV_Data_An_Cour!$U:$U,$B385,BV_Data_An_Cour!$V:$V,$C385,BV_Data_An_Cour!$W:$W,$L$2)</f>
        <v>0</v>
      </c>
      <c r="M385" s="303"/>
      <c r="N385" s="304">
        <f t="shared" si="186"/>
        <v>0</v>
      </c>
      <c r="O385" s="303"/>
      <c r="P385" s="178"/>
      <c r="Q385" s="180">
        <f>-SUMIFS(BV_Data_An_Prec!$O:$O,BV_Data_An_Prec!$U:$U,$B385,BV_Data_An_Prec!$V:$V,$C385,BV_Data_An_Prec!$W:$W,$L$2)</f>
        <v>0</v>
      </c>
      <c r="R385" s="303"/>
      <c r="S385" s="199">
        <f t="shared" si="187"/>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
        <v>3540</v>
      </c>
      <c r="B386" s="24" t="s">
        <v>191</v>
      </c>
      <c r="C386" s="305" t="s">
        <v>130</v>
      </c>
      <c r="D386" s="301"/>
      <c r="E386" s="178"/>
      <c r="F386" s="179">
        <f>+INDEX('Budget original'!$A$2:$AO$500,MATCH($A386,'Budget original'!$A$2:$A$500,0),MATCH(F$2,'Budget original'!$A$2:$AO$2,0))</f>
        <v>0</v>
      </c>
      <c r="G386" s="302"/>
      <c r="H386" s="178"/>
      <c r="I386" s="179">
        <f>+INDEX('Budget révisé'!$A$2:$AO$500,MATCH($A386,'Budget révisé'!$A$2:$A$500,0),MATCH(I$2,'Budget révisé'!$A$2:$AO$2,0))</f>
        <v>0</v>
      </c>
      <c r="J386" s="303"/>
      <c r="K386" s="178"/>
      <c r="L386" s="180">
        <f>-SUMIFS(BV_Data_An_Cour!$O:$O,BV_Data_An_Cour!$U:$U,$B386,BV_Data_An_Cour!$V:$V,$C386,BV_Data_An_Cour!$W:$W,$L$2)</f>
        <v>0</v>
      </c>
      <c r="M386" s="303"/>
      <c r="N386" s="304">
        <f t="shared" si="186"/>
        <v>0</v>
      </c>
      <c r="O386" s="303"/>
      <c r="P386" s="178"/>
      <c r="Q386" s="180">
        <f>-SUMIFS(BV_Data_An_Prec!$O:$O,BV_Data_An_Prec!$U:$U,$B386,BV_Data_An_Prec!$V:$V,$C386,BV_Data_An_Prec!$W:$W,$L$2)</f>
        <v>0</v>
      </c>
      <c r="R386" s="303"/>
      <c r="S386" s="199">
        <f t="shared" si="187"/>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
        <v>3541</v>
      </c>
      <c r="B387" s="24" t="s">
        <v>191</v>
      </c>
      <c r="C387" s="305" t="s">
        <v>131</v>
      </c>
      <c r="D387" s="301"/>
      <c r="E387" s="178"/>
      <c r="F387" s="179">
        <f>+INDEX('Budget original'!$A$2:$AO$500,MATCH($A387,'Budget original'!$A$2:$A$500,0),MATCH(F$2,'Budget original'!$A$2:$AO$2,0))</f>
        <v>0</v>
      </c>
      <c r="G387" s="302"/>
      <c r="H387" s="178"/>
      <c r="I387" s="179">
        <f>+INDEX('Budget révisé'!$A$2:$AO$500,MATCH($A387,'Budget révisé'!$A$2:$A$500,0),MATCH(I$2,'Budget révisé'!$A$2:$AO$2,0))</f>
        <v>0</v>
      </c>
      <c r="J387" s="303"/>
      <c r="K387" s="178"/>
      <c r="L387" s="180">
        <f>-SUMIFS(BV_Data_An_Cour!$O:$O,BV_Data_An_Cour!$U:$U,$B387,BV_Data_An_Cour!$V:$V,$C387,BV_Data_An_Cour!$W:$W,$L$2)</f>
        <v>0</v>
      </c>
      <c r="M387" s="303"/>
      <c r="N387" s="304">
        <f t="shared" si="186"/>
        <v>0</v>
      </c>
      <c r="O387" s="303"/>
      <c r="P387" s="178"/>
      <c r="Q387" s="180">
        <f>-SUMIFS(BV_Data_An_Prec!$O:$O,BV_Data_An_Prec!$U:$U,$B387,BV_Data_An_Prec!$V:$V,$C387,BV_Data_An_Prec!$W:$W,$L$2)</f>
        <v>0</v>
      </c>
      <c r="R387" s="303"/>
      <c r="S387" s="199">
        <f t="shared" si="187"/>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
        <v>3542</v>
      </c>
      <c r="B388" s="24" t="s">
        <v>191</v>
      </c>
      <c r="C388" s="305" t="s">
        <v>132</v>
      </c>
      <c r="D388" s="301"/>
      <c r="E388" s="178"/>
      <c r="F388" s="179">
        <f>+INDEX('Budget original'!$A$2:$AO$500,MATCH($A388,'Budget original'!$A$2:$A$500,0),MATCH(F$2,'Budget original'!$A$2:$AO$2,0))</f>
        <v>0</v>
      </c>
      <c r="G388" s="302"/>
      <c r="H388" s="178"/>
      <c r="I388" s="179">
        <f>+INDEX('Budget révisé'!$A$2:$AO$500,MATCH($A388,'Budget révisé'!$A$2:$A$500,0),MATCH(I$2,'Budget révisé'!$A$2:$AO$2,0))</f>
        <v>0</v>
      </c>
      <c r="J388" s="303"/>
      <c r="K388" s="178"/>
      <c r="L388" s="180">
        <f>-SUMIFS(BV_Data_An_Cour!$O:$O,BV_Data_An_Cour!$U:$U,$B388,BV_Data_An_Cour!$V:$V,$C388,BV_Data_An_Cour!$W:$W,$L$2)</f>
        <v>0</v>
      </c>
      <c r="M388" s="303"/>
      <c r="N388" s="304">
        <f t="shared" si="186"/>
        <v>0</v>
      </c>
      <c r="O388" s="303"/>
      <c r="P388" s="178"/>
      <c r="Q388" s="180">
        <f>-SUMIFS(BV_Data_An_Prec!$O:$O,BV_Data_An_Prec!$U:$U,$B388,BV_Data_An_Prec!$V:$V,$C388,BV_Data_An_Prec!$W:$W,$L$2)</f>
        <v>0</v>
      </c>
      <c r="R388" s="303"/>
      <c r="S388" s="199">
        <f t="shared" si="187"/>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
        <v>3543</v>
      </c>
      <c r="B389" s="24" t="s">
        <v>191</v>
      </c>
      <c r="C389" s="305" t="s">
        <v>133</v>
      </c>
      <c r="D389" s="301"/>
      <c r="E389" s="178"/>
      <c r="F389" s="179">
        <f>+INDEX('Budget original'!$A$2:$AO$500,MATCH($A389,'Budget original'!$A$2:$A$500,0),MATCH(F$2,'Budget original'!$A$2:$AO$2,0))</f>
        <v>0</v>
      </c>
      <c r="G389" s="302"/>
      <c r="H389" s="178"/>
      <c r="I389" s="179">
        <f>+INDEX('Budget révisé'!$A$2:$AO$500,MATCH($A389,'Budget révisé'!$A$2:$A$500,0),MATCH(I$2,'Budget révisé'!$A$2:$AO$2,0))</f>
        <v>0</v>
      </c>
      <c r="J389" s="303"/>
      <c r="K389" s="178"/>
      <c r="L389" s="180">
        <f>-SUMIFS(BV_Data_An_Cour!$O:$O,BV_Data_An_Cour!$U:$U,$B389,BV_Data_An_Cour!$V:$V,$C389,BV_Data_An_Cour!$W:$W,$L$2)</f>
        <v>0</v>
      </c>
      <c r="M389" s="303"/>
      <c r="N389" s="304">
        <f t="shared" si="186"/>
        <v>0</v>
      </c>
      <c r="O389" s="303"/>
      <c r="P389" s="178"/>
      <c r="Q389" s="180">
        <f>-SUMIFS(BV_Data_An_Prec!$O:$O,BV_Data_An_Prec!$U:$U,$B389,BV_Data_An_Prec!$V:$V,$C389,BV_Data_An_Prec!$W:$W,$L$2)</f>
        <v>0</v>
      </c>
      <c r="R389" s="303"/>
      <c r="S389" s="199">
        <f t="shared" si="187"/>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
        <v>3544</v>
      </c>
      <c r="B390" s="24" t="s">
        <v>191</v>
      </c>
      <c r="C390" s="305" t="s">
        <v>134</v>
      </c>
      <c r="D390" s="301"/>
      <c r="E390" s="178"/>
      <c r="F390" s="179">
        <f>+INDEX('Budget original'!$A$2:$AO$500,MATCH($A390,'Budget original'!$A$2:$A$500,0),MATCH(F$2,'Budget original'!$A$2:$AO$2,0))</f>
        <v>0</v>
      </c>
      <c r="G390" s="302"/>
      <c r="H390" s="178"/>
      <c r="I390" s="179">
        <f>+INDEX('Budget révisé'!$A$2:$AO$500,MATCH($A390,'Budget révisé'!$A$2:$A$500,0),MATCH(I$2,'Budget révisé'!$A$2:$AO$2,0))</f>
        <v>0</v>
      </c>
      <c r="J390" s="303"/>
      <c r="K390" s="178"/>
      <c r="L390" s="180">
        <f>-SUMIFS(BV_Data_An_Cour!$O:$O,BV_Data_An_Cour!$U:$U,$B390,BV_Data_An_Cour!$V:$V,$C390,BV_Data_An_Cour!$W:$W,$L$2)</f>
        <v>0</v>
      </c>
      <c r="M390" s="303"/>
      <c r="N390" s="304">
        <f t="shared" si="186"/>
        <v>0</v>
      </c>
      <c r="O390" s="303"/>
      <c r="P390" s="178"/>
      <c r="Q390" s="180">
        <f>-SUMIFS(BV_Data_An_Prec!$O:$O,BV_Data_An_Prec!$U:$U,$B390,BV_Data_An_Prec!$V:$V,$C390,BV_Data_An_Prec!$W:$W,$L$2)</f>
        <v>0</v>
      </c>
      <c r="R390" s="303"/>
      <c r="S390" s="199">
        <f t="shared" si="187"/>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
        <v>3525</v>
      </c>
      <c r="B391" s="24" t="s">
        <v>191</v>
      </c>
      <c r="C391" s="305" t="s">
        <v>42</v>
      </c>
      <c r="D391" s="301"/>
      <c r="E391" s="178"/>
      <c r="F391" s="179">
        <f>+INDEX('Budget original'!$A$2:$AO$500,MATCH($A391,'Budget original'!$A$2:$A$500,0),MATCH(F$2,'Budget original'!$A$2:$AO$2,0))</f>
        <v>0</v>
      </c>
      <c r="G391" s="302"/>
      <c r="H391" s="178"/>
      <c r="I391" s="179">
        <f>+INDEX('Budget révisé'!$A$2:$AO$500,MATCH($A391,'Budget révisé'!$A$2:$A$500,0),MATCH(I$2,'Budget révisé'!$A$2:$AO$2,0))</f>
        <v>0</v>
      </c>
      <c r="J391" s="303"/>
      <c r="K391" s="178"/>
      <c r="L391" s="180">
        <f>-SUMIFS(BV_Data_An_Cour!$O:$O,BV_Data_An_Cour!$U:$U,$B391,BV_Data_An_Cour!$V:$V,$C391,BV_Data_An_Cour!$W:$W,$L$2)</f>
        <v>0</v>
      </c>
      <c r="M391" s="303"/>
      <c r="N391" s="304">
        <f t="shared" si="186"/>
        <v>0</v>
      </c>
      <c r="O391" s="303"/>
      <c r="P391" s="178"/>
      <c r="Q391" s="180">
        <f>-SUMIFS(BV_Data_An_Prec!$O:$O,BV_Data_An_Prec!$U:$U,$B391,BV_Data_An_Prec!$V:$V,$C391,BV_Data_An_Prec!$W:$W,$L$2)</f>
        <v>0</v>
      </c>
      <c r="R391" s="303"/>
      <c r="S391" s="199">
        <f t="shared" si="187"/>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
        <v>3525</v>
      </c>
      <c r="B392" s="24" t="s">
        <v>191</v>
      </c>
      <c r="C392" s="305" t="s">
        <v>42</v>
      </c>
      <c r="D392" s="301"/>
      <c r="E392" s="178"/>
      <c r="F392" s="179">
        <f>+INDEX('Budget original'!$A$2:$AO$500,MATCH($A392,'Budget original'!$A$2:$A$500,0),MATCH(F$2,'Budget original'!$A$2:$AO$2,0))</f>
        <v>0</v>
      </c>
      <c r="G392" s="302"/>
      <c r="H392" s="178"/>
      <c r="I392" s="179">
        <f>+INDEX('Budget révisé'!$A$2:$AO$500,MATCH($A392,'Budget révisé'!$A$2:$A$500,0),MATCH(I$2,'Budget révisé'!$A$2:$AO$2,0))</f>
        <v>0</v>
      </c>
      <c r="J392" s="303"/>
      <c r="K392" s="178"/>
      <c r="L392" s="180">
        <f>-SUMIFS(BV_Data_An_Cour!$O:$O,BV_Data_An_Cour!$U:$U,$B392,BV_Data_An_Cour!$V:$V,$C392,BV_Data_An_Cour!$W:$W,$L$2)</f>
        <v>0</v>
      </c>
      <c r="M392" s="303"/>
      <c r="N392" s="304">
        <f t="shared" si="186"/>
        <v>0</v>
      </c>
      <c r="O392" s="303"/>
      <c r="P392" s="178"/>
      <c r="Q392" s="180">
        <f>-SUMIFS(BV_Data_An_Prec!$O:$O,BV_Data_An_Prec!$U:$U,$B392,BV_Data_An_Prec!$V:$V,$C392,BV_Data_An_Prec!$W:$W,$L$2)</f>
        <v>0</v>
      </c>
      <c r="R392" s="303"/>
      <c r="S392" s="199">
        <f t="shared" si="187"/>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
        <v>3525</v>
      </c>
      <c r="B393" s="24" t="s">
        <v>191</v>
      </c>
      <c r="C393" s="305" t="s">
        <v>42</v>
      </c>
      <c r="D393" s="307"/>
      <c r="E393" s="308"/>
      <c r="F393" s="179">
        <f>+INDEX('Budget original'!$A$2:$AO$500,MATCH($A393,'Budget original'!$A$2:$A$500,0),MATCH(F$2,'Budget original'!$A$2:$AO$2,0))</f>
        <v>0</v>
      </c>
      <c r="G393" s="309"/>
      <c r="H393" s="308"/>
      <c r="I393" s="179">
        <f>+INDEX('Budget révisé'!$A$2:$AO$500,MATCH($A393,'Budget révisé'!$A$2:$A$500,0),MATCH(I$2,'Budget révisé'!$A$2:$AO$2,0))</f>
        <v>0</v>
      </c>
      <c r="J393" s="310"/>
      <c r="K393" s="308"/>
      <c r="L393" s="180">
        <f>-SUMIFS(BV_Data_An_Cour!$O:$O,BV_Data_An_Cour!$U:$U,$B393,BV_Data_An_Cour!$V:$V,$C393,BV_Data_An_Cour!$W:$W,$L$2)</f>
        <v>0</v>
      </c>
      <c r="M393" s="310"/>
      <c r="N393" s="311">
        <f t="shared" si="186"/>
        <v>0</v>
      </c>
      <c r="O393" s="310"/>
      <c r="P393" s="308"/>
      <c r="Q393" s="180">
        <f>-SUMIFS(BV_Data_An_Prec!$O:$O,BV_Data_An_Prec!$U:$U,$B393,BV_Data_An_Prec!$V:$V,$C393,BV_Data_An_Prec!$W:$W,$L$2)</f>
        <v>0</v>
      </c>
      <c r="R393" s="310"/>
      <c r="S393" s="202">
        <f t="shared" si="187"/>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37"/>
      <c r="I400" s="25"/>
      <c r="J400" s="23" t="s">
        <v>2895</v>
      </c>
      <c r="K400" s="25" t="s">
        <v>3056</v>
      </c>
      <c r="L400" s="25"/>
      <c r="M400" s="25" t="s">
        <v>3057</v>
      </c>
      <c r="N400" s="25" t="s">
        <v>3004</v>
      </c>
      <c r="P400" s="23" t="s">
        <v>2896</v>
      </c>
      <c r="Q400" s="1087"/>
      <c r="R400" s="23" t="s">
        <v>3004</v>
      </c>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t="s">
        <v>2897</v>
      </c>
      <c r="K401" s="1089">
        <f>L50</f>
        <v>11443.72</v>
      </c>
      <c r="L401" s="1089"/>
      <c r="M401" s="1089">
        <f>K435*$F$405</f>
        <v>10504.979461977286</v>
      </c>
      <c r="N401" s="1088">
        <f>M401-K401</f>
        <v>-938.74053802271374</v>
      </c>
      <c r="P401" s="23">
        <v>6132</v>
      </c>
      <c r="Q401" s="1269">
        <f>N401</f>
        <v>-938.74053802271374</v>
      </c>
      <c r="R401" s="57">
        <f>N50</f>
        <v>3550.2414172628087</v>
      </c>
      <c r="S401" s="1265">
        <f>Q401+R401</f>
        <v>2611.5008792400949</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Janvier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t="s">
        <v>2898</v>
      </c>
      <c r="K402" s="1089">
        <f>L51</f>
        <v>6110.59</v>
      </c>
      <c r="L402" s="1089"/>
      <c r="M402" s="1089">
        <f>K436*$F$405</f>
        <v>6110.6363363176497</v>
      </c>
      <c r="N402" s="1088">
        <f>M402-K402</f>
        <v>4.6336317649547709E-2</v>
      </c>
      <c r="P402" s="23">
        <v>6139</v>
      </c>
      <c r="Q402" s="1269">
        <f>N402</f>
        <v>4.6336317649547709E-2</v>
      </c>
      <c r="R402" s="57">
        <f>N51</f>
        <v>-157.76063923247511</v>
      </c>
      <c r="S402" s="1265">
        <f t="shared" ref="S402:S403" si="188">Q402+R402</f>
        <v>-157.71430291482557</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
        <v>3545</v>
      </c>
      <c r="B403" s="2"/>
      <c r="C403" s="23"/>
      <c r="D403" s="23"/>
      <c r="E403" s="23"/>
      <c r="F403" s="23"/>
      <c r="G403" s="23"/>
      <c r="H403" s="23"/>
      <c r="I403" s="23"/>
      <c r="J403" s="23" t="s">
        <v>1252</v>
      </c>
      <c r="K403" s="1089">
        <f>L52</f>
        <v>3312.72</v>
      </c>
      <c r="L403" s="1089"/>
      <c r="M403" s="1089">
        <f>K437*$F$405</f>
        <v>4251.4794344084366</v>
      </c>
      <c r="N403" s="1088">
        <f>M403-K403</f>
        <v>938.75943440843685</v>
      </c>
      <c r="P403" s="23">
        <v>6131</v>
      </c>
      <c r="Q403" s="1269">
        <f>N403</f>
        <v>938.75943440843685</v>
      </c>
      <c r="R403" s="57">
        <f>N52</f>
        <v>758.9475173497317</v>
      </c>
      <c r="S403" s="1265">
        <f t="shared" si="188"/>
        <v>1697.7069517581685</v>
      </c>
      <c r="V403" s="440"/>
      <c r="W403" s="441"/>
      <c r="X403" s="1295" t="s">
        <v>194</v>
      </c>
      <c r="Y403" s="1293"/>
      <c r="Z403" s="1296"/>
      <c r="AA403" s="1292" t="s">
        <v>145</v>
      </c>
      <c r="AB403" s="1293"/>
      <c r="AC403" s="1296"/>
      <c r="AD403" s="1292" t="s">
        <v>79</v>
      </c>
      <c r="AE403" s="1293"/>
      <c r="AF403" s="1296"/>
      <c r="AG403" s="1292" t="s">
        <v>195</v>
      </c>
      <c r="AH403" s="1293"/>
      <c r="AI403" s="1296"/>
      <c r="AJ403" s="1292" t="s">
        <v>196</v>
      </c>
      <c r="AK403" s="1293"/>
      <c r="AL403" s="1293"/>
      <c r="AM403" s="1292" t="s">
        <v>197</v>
      </c>
      <c r="AN403" s="1293"/>
      <c r="AO403" s="129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
        <v>3545</v>
      </c>
      <c r="B404" s="2"/>
      <c r="C404" s="23" t="s">
        <v>2899</v>
      </c>
      <c r="D404" s="23" t="s">
        <v>6</v>
      </c>
      <c r="E404" s="23" t="s">
        <v>1951</v>
      </c>
      <c r="F404" s="23"/>
      <c r="G404" s="1266" t="s">
        <v>3301</v>
      </c>
      <c r="H404" s="1266" t="s">
        <v>3300</v>
      </c>
      <c r="I404" s="1266" t="s">
        <v>3302</v>
      </c>
      <c r="J404" s="958"/>
      <c r="K404" s="1089">
        <f>SUM(K401:K403)</f>
        <v>20867.03</v>
      </c>
      <c r="L404" s="1089"/>
      <c r="M404" s="1089">
        <f>SUM(M401:M403)</f>
        <v>20867.095232703374</v>
      </c>
      <c r="N404" s="1092">
        <f>SUM(N401:N403)</f>
        <v>6.5232703372657852E-2</v>
      </c>
      <c r="P404" s="23"/>
      <c r="Q404" s="1269"/>
      <c r="R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
        <v>88</v>
      </c>
      <c r="B405" s="2"/>
      <c r="C405" s="23" t="s">
        <v>2895</v>
      </c>
      <c r="D405" s="1088">
        <f>I31+I32+I42+I43+I44+I45</f>
        <v>70617.372812796006</v>
      </c>
      <c r="E405" s="1088">
        <f>L31+L32+L42+L43+L44+L45+G405</f>
        <v>88283.180000000008</v>
      </c>
      <c r="F405" s="1114">
        <f t="shared" ref="F405:F410" si="189">E405/$E$410</f>
        <v>0.31777852448161725</v>
      </c>
      <c r="G405" s="1267"/>
      <c r="H405" s="1267">
        <f>E405-D405</f>
        <v>17665.807187204002</v>
      </c>
      <c r="I405" s="1268">
        <f>H405/D405</f>
        <v>0.25016233942935528</v>
      </c>
      <c r="J405" s="23" t="s">
        <v>1948</v>
      </c>
      <c r="K405" s="1098"/>
      <c r="L405" s="1089"/>
      <c r="M405" s="1089"/>
      <c r="N405" s="95"/>
      <c r="P405" s="79"/>
      <c r="Q405" s="1269"/>
      <c r="R405" s="79"/>
      <c r="V405" s="306" t="s">
        <v>88</v>
      </c>
      <c r="W405" s="445"/>
      <c r="X405" s="445"/>
      <c r="Y405" s="445"/>
      <c r="Z405" s="446">
        <f>F5+F93+E193+E249+D313+D361</f>
        <v>3013237.8887348701</v>
      </c>
      <c r="AA405" s="445"/>
      <c r="AB405" s="445"/>
      <c r="AC405" s="446">
        <f>I5+I93+H193+H249+G313+G361</f>
        <v>3013237.8887348701</v>
      </c>
      <c r="AD405" s="447"/>
      <c r="AE405" s="448"/>
      <c r="AF405" s="448">
        <f>L5+L93+K193+K249+J313+J361</f>
        <v>3614889.41</v>
      </c>
      <c r="AG405" s="447"/>
      <c r="AH405" s="448"/>
      <c r="AI405" s="449"/>
      <c r="AJ405" s="447"/>
      <c r="AK405" s="448"/>
      <c r="AL405" s="448">
        <f>Q5+Q93+P193+P249+O313+O361</f>
        <v>2096081.42</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
        <v>205</v>
      </c>
      <c r="B406" s="2"/>
      <c r="C406" s="23" t="s">
        <v>1948</v>
      </c>
      <c r="D406" s="1088">
        <f>+I111+I112+I122+I123+I124+I125</f>
        <v>48616.157423794299</v>
      </c>
      <c r="E406" s="1088">
        <f>L111+L112+L122+L123+L124+L125+G406</f>
        <v>46607.900000000009</v>
      </c>
      <c r="F406" s="1114">
        <f t="shared" si="189"/>
        <v>0.16776683498699038</v>
      </c>
      <c r="H406" s="1267">
        <f t="shared" ref="H406:H409" si="190">E406-D406</f>
        <v>-2008.2574237942899</v>
      </c>
      <c r="I406" s="1268">
        <f t="shared" ref="I406:I409" si="191">H406/D406</f>
        <v>-4.1308435923637699E-2</v>
      </c>
      <c r="J406" s="23" t="s">
        <v>2897</v>
      </c>
      <c r="K406" s="1089">
        <f>L130</f>
        <v>6041.59</v>
      </c>
      <c r="L406" s="1089"/>
      <c r="M406" s="1089">
        <f>K435*$F$406</f>
        <v>5545.9605359241832</v>
      </c>
      <c r="N406" s="1088">
        <f>M406-K406</f>
        <v>-495.62946407581694</v>
      </c>
      <c r="P406" s="79">
        <v>6232</v>
      </c>
      <c r="Q406" s="1269">
        <f>N406</f>
        <v>-495.62946407581694</v>
      </c>
      <c r="R406" s="101">
        <f>N130</f>
        <v>929.29604147698137</v>
      </c>
      <c r="S406" s="1265">
        <f t="shared" ref="S406:S408" si="192">Q406+R406</f>
        <v>433.66657740116443</v>
      </c>
      <c r="V406" s="452" t="s">
        <v>205</v>
      </c>
      <c r="W406" s="81"/>
      <c r="X406" s="81"/>
      <c r="Y406" s="81"/>
      <c r="Z406" s="82">
        <f>F27+F107+F193+F249+F313+F361</f>
        <v>443419.94122287974</v>
      </c>
      <c r="AA406" s="81"/>
      <c r="AB406" s="81"/>
      <c r="AC406" s="82">
        <f>I27+I107+I193+I249+I313+I361</f>
        <v>443419.94122287974</v>
      </c>
      <c r="AD406" s="83"/>
      <c r="AE406" s="84"/>
      <c r="AF406" s="84">
        <f>L27+L107+L193+L249+L313+L361</f>
        <v>539448.35999999987</v>
      </c>
      <c r="AG406" s="83"/>
      <c r="AH406" s="84">
        <f>AF406-AC406</f>
        <v>96028.418777120125</v>
      </c>
      <c r="AI406" s="85">
        <f>AH406/AC406</f>
        <v>0.21656314894699918</v>
      </c>
      <c r="AJ406" s="83"/>
      <c r="AK406" s="84"/>
      <c r="AL406" s="84">
        <f>Q27+Q107+Q193+Q249+Q313+Q361</f>
        <v>297419.32000000007</v>
      </c>
      <c r="AM406" s="86"/>
      <c r="AN406" s="84">
        <f>AF406-AL406</f>
        <v>242029.0399999998</v>
      </c>
      <c r="AO406" s="453">
        <f>IF(AL406=0,0,AN406/AL406)</f>
        <v>0.81376367883565781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
        <v>206</v>
      </c>
      <c r="B407" s="2"/>
      <c r="C407" s="23" t="s">
        <v>155</v>
      </c>
      <c r="D407" s="57">
        <f>(H184-I184)+I197+I198+I199+I200</f>
        <v>107770.08422032098</v>
      </c>
      <c r="E407" s="57">
        <f>(K193-L193)+L197+L198+L199+L200+G407</f>
        <v>114564.99000000002</v>
      </c>
      <c r="F407" s="1114">
        <f t="shared" si="189"/>
        <v>0.41238085759315918</v>
      </c>
      <c r="H407" s="1267">
        <f t="shared" si="190"/>
        <v>6794.9057796790439</v>
      </c>
      <c r="I407" s="1268">
        <f t="shared" si="191"/>
        <v>6.3050018275830635E-2</v>
      </c>
      <c r="J407" s="23" t="s">
        <v>2898</v>
      </c>
      <c r="K407" s="1089">
        <f>L131</f>
        <v>3226.35</v>
      </c>
      <c r="L407" s="1089"/>
      <c r="M407" s="1089">
        <f>K436*$F$406</f>
        <v>3226.0270563368854</v>
      </c>
      <c r="N407" s="1088">
        <f>M407-K407</f>
        <v>-0.32294366311452904</v>
      </c>
      <c r="P407" s="79">
        <v>6239</v>
      </c>
      <c r="Q407" s="1269">
        <f>N407</f>
        <v>-0.32294366311452904</v>
      </c>
      <c r="R407" s="101">
        <f>N131</f>
        <v>-833.41284941533877</v>
      </c>
      <c r="S407" s="1265">
        <f t="shared" si="192"/>
        <v>-833.7357930784533</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
        <v>103</v>
      </c>
      <c r="B408" s="2"/>
      <c r="C408" s="23" t="s">
        <v>2900</v>
      </c>
      <c r="D408" s="1088">
        <f>+I253+I254+I255+I256</f>
        <v>5401.6937264080461</v>
      </c>
      <c r="E408" s="1088">
        <f>L253+L254+L255+L256+G408</f>
        <v>5266.82</v>
      </c>
      <c r="F408" s="1114">
        <f t="shared" si="189"/>
        <v>1.8958110574520209E-2</v>
      </c>
      <c r="H408" s="1267">
        <f t="shared" si="190"/>
        <v>-134.87372640804642</v>
      </c>
      <c r="I408" s="1268">
        <f t="shared" si="191"/>
        <v>-2.4968784466373874E-2</v>
      </c>
      <c r="J408" s="23" t="s">
        <v>1252</v>
      </c>
      <c r="K408" s="1089">
        <f>L132</f>
        <v>1748.62</v>
      </c>
      <c r="L408" s="1089"/>
      <c r="M408" s="1089">
        <f>K437*$F$406</f>
        <v>2244.5105435821974</v>
      </c>
      <c r="N408" s="1088">
        <f>M408-K408</f>
        <v>495.89054358219755</v>
      </c>
      <c r="P408" s="79">
        <v>6231</v>
      </c>
      <c r="Q408" s="1269">
        <f>N408</f>
        <v>495.89054358219755</v>
      </c>
      <c r="R408" s="101">
        <f>N132</f>
        <v>94.642542830787761</v>
      </c>
      <c r="S408" s="1265">
        <f t="shared" si="192"/>
        <v>590.53308641298531</v>
      </c>
      <c r="V408" s="305" t="s">
        <v>103</v>
      </c>
      <c r="W408" s="460" t="s">
        <v>207</v>
      </c>
      <c r="X408" s="455"/>
      <c r="Y408" s="461">
        <f t="shared" ref="Y408:Y414" si="193">Z408/(D$13+D$96)</f>
        <v>690.03518112585482</v>
      </c>
      <c r="Z408" s="87">
        <f t="shared" ref="Z408:Z414" si="194">+SUMIF($C:$C,$V408,F:F)</f>
        <v>43144.883544682772</v>
      </c>
      <c r="AA408" s="455"/>
      <c r="AB408" s="461">
        <f t="shared" ref="AB408:AB414" si="195">IF(AC408=0,0,AC408/(G$13+G$96))</f>
        <v>690.03518112585482</v>
      </c>
      <c r="AC408" s="87">
        <f t="shared" ref="AC408:AC414" si="196">+SUMIF($C:$C,$V408,I:I)</f>
        <v>43144.883544682772</v>
      </c>
      <c r="AD408" s="462"/>
      <c r="AE408" s="461">
        <f t="shared" ref="AE408:AE413" si="197">IF(AF408=0,0,AF408/(J$13+J$96))</f>
        <v>1163.4161403508772</v>
      </c>
      <c r="AF408" s="87">
        <f t="shared" ref="AF408:AF414" si="198">+SUMIF($C:$C,$V408,L:L)</f>
        <v>66314.720000000001</v>
      </c>
      <c r="AG408" s="456">
        <f t="shared" ref="AG408:AH408" si="199">AE408-AB408</f>
        <v>473.38095922502237</v>
      </c>
      <c r="AH408" s="457">
        <f t="shared" si="199"/>
        <v>23169.836455317229</v>
      </c>
      <c r="AI408" s="458">
        <f>IF(AC408=0,0,AH408/AC408)</f>
        <v>0.53702396557222154</v>
      </c>
      <c r="AJ408" s="462"/>
      <c r="AK408" s="457">
        <f t="shared" ref="AK408:AK414" si="200">AL408/(O$13+O$96)</f>
        <v>780.37657142857142</v>
      </c>
      <c r="AL408" s="87">
        <f t="shared" ref="AL408:AL414" si="201">+SUMIF($C:$C,$V408,Q:Q)</f>
        <v>27313.18</v>
      </c>
      <c r="AM408" s="459">
        <f t="shared" ref="AM408:AM413" si="202">AE408-Y408</f>
        <v>473.38095922502237</v>
      </c>
      <c r="AN408" s="457">
        <f t="shared" ref="AN408:AN413" si="203">AF408-AL408</f>
        <v>39001.54</v>
      </c>
      <c r="AO408" s="214">
        <f>IF(AL408=0,0,AN408/AL408)</f>
        <v>1.4279384531570474</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
        <v>104</v>
      </c>
      <c r="B409" s="2"/>
      <c r="C409" s="23" t="s">
        <v>2901</v>
      </c>
      <c r="D409" s="1088">
        <f>+I317+I318+I319+I320</f>
        <v>30160.442822758621</v>
      </c>
      <c r="E409" s="1088">
        <f>L317+L318+L319+L320+G409</f>
        <v>23090.660000000003</v>
      </c>
      <c r="F409" s="1114">
        <f t="shared" si="189"/>
        <v>8.3115672363713006E-2</v>
      </c>
      <c r="H409" s="1267">
        <f t="shared" si="190"/>
        <v>-7069.7828227586178</v>
      </c>
      <c r="I409" s="1268">
        <f t="shared" si="191"/>
        <v>-0.2344058031344243</v>
      </c>
      <c r="J409" s="958"/>
      <c r="K409" s="1192">
        <f>SUM(K406:K408)</f>
        <v>11016.560000000001</v>
      </c>
      <c r="L409" s="1089"/>
      <c r="M409" s="1089">
        <f>SUM(M406:M408)</f>
        <v>11016.498135843265</v>
      </c>
      <c r="N409" s="1092">
        <f>SUM(N406:N408)</f>
        <v>-6.1864156733918207E-2</v>
      </c>
      <c r="P409" s="79"/>
      <c r="Q409" s="1269"/>
      <c r="R409" s="79"/>
      <c r="V409" s="306" t="s">
        <v>104</v>
      </c>
      <c r="W409" s="463" t="s">
        <v>208</v>
      </c>
      <c r="X409" s="445"/>
      <c r="Y409" s="464">
        <f t="shared" si="193"/>
        <v>400.27163667692997</v>
      </c>
      <c r="Z409" s="446">
        <f t="shared" si="194"/>
        <v>25027.235745413273</v>
      </c>
      <c r="AA409" s="445"/>
      <c r="AB409" s="464">
        <f t="shared" si="195"/>
        <v>400.27163667692997</v>
      </c>
      <c r="AC409" s="446">
        <f t="shared" si="196"/>
        <v>25027.235745413273</v>
      </c>
      <c r="AD409" s="465"/>
      <c r="AE409" s="464">
        <f t="shared" si="197"/>
        <v>524.19385964912283</v>
      </c>
      <c r="AF409" s="446">
        <f t="shared" si="198"/>
        <v>29879.050000000003</v>
      </c>
      <c r="AG409" s="447">
        <f t="shared" ref="AG409:AH409" si="204">AE409-AB409</f>
        <v>123.92222297219286</v>
      </c>
      <c r="AH409" s="448">
        <f t="shared" si="204"/>
        <v>4851.8142545867304</v>
      </c>
      <c r="AI409" s="466">
        <f t="shared" ref="AI409:AI413" si="205">IF(AC409=0,0,AH409/AC409)</f>
        <v>0.19386137182472976</v>
      </c>
      <c r="AJ409" s="465"/>
      <c r="AK409" s="448">
        <f t="shared" si="200"/>
        <v>351.04771428571428</v>
      </c>
      <c r="AL409" s="446">
        <f t="shared" si="201"/>
        <v>12286.67</v>
      </c>
      <c r="AM409" s="450">
        <f t="shared" si="202"/>
        <v>123.92222297219286</v>
      </c>
      <c r="AN409" s="448">
        <f t="shared" si="203"/>
        <v>17592.380000000005</v>
      </c>
      <c r="AO409" s="215">
        <f t="shared" ref="AO409:AO413" si="206">IF(AL409=0,0,AN409/AL409)</f>
        <v>1.4318265241924788</v>
      </c>
      <c r="AP409" s="79"/>
      <c r="AQ409" s="537"/>
      <c r="AR409" s="222"/>
      <c r="AS409" s="537"/>
      <c r="AT409" s="537"/>
      <c r="AU409" s="537"/>
      <c r="AV409" s="79"/>
      <c r="AW409" s="79"/>
      <c r="AX409" s="79"/>
      <c r="AY409" s="79"/>
      <c r="AZ409" s="79"/>
      <c r="BA409" s="79"/>
      <c r="BB409" s="79"/>
      <c r="BC409" s="79"/>
      <c r="BD409" s="79"/>
      <c r="BE409" s="79"/>
      <c r="BF409" s="79"/>
      <c r="BG409" s="79"/>
      <c r="BH409" s="79"/>
      <c r="BI409" s="79"/>
    </row>
    <row r="410" spans="1:61" ht="15.75" customHeight="1">
      <c r="A410" s="570" t="s">
        <v>105</v>
      </c>
      <c r="B410" s="2"/>
      <c r="C410" s="23"/>
      <c r="D410" s="1088">
        <f>SUM(D405:D409)</f>
        <v>262565.75100607792</v>
      </c>
      <c r="E410" s="1088">
        <f>SUM(E405:E409)</f>
        <v>277813.55000000005</v>
      </c>
      <c r="F410" s="23">
        <f t="shared" si="189"/>
        <v>1</v>
      </c>
      <c r="H410" s="1267">
        <f t="shared" ref="H410" si="207">E410-D410</f>
        <v>15247.79899392213</v>
      </c>
      <c r="I410" s="1268">
        <f t="shared" ref="I410" si="208">H410/D410</f>
        <v>5.8072307357288085E-2</v>
      </c>
      <c r="J410" s="23" t="s">
        <v>155</v>
      </c>
      <c r="K410" s="1192">
        <f>SUM(K406:K408)</f>
        <v>11016.560000000001</v>
      </c>
      <c r="L410" s="1089"/>
      <c r="M410" s="1089"/>
      <c r="N410" s="95"/>
      <c r="P410" s="79"/>
      <c r="Q410" s="1269"/>
      <c r="R410" s="79"/>
      <c r="V410" s="305" t="s">
        <v>105</v>
      </c>
      <c r="W410" s="460" t="s">
        <v>209</v>
      </c>
      <c r="X410" s="455"/>
      <c r="Y410" s="461">
        <f t="shared" si="193"/>
        <v>133.74939886524507</v>
      </c>
      <c r="Z410" s="87">
        <f t="shared" si="194"/>
        <v>8362.7652561092109</v>
      </c>
      <c r="AA410" s="455"/>
      <c r="AB410" s="461">
        <f t="shared" si="195"/>
        <v>133.74939886524507</v>
      </c>
      <c r="AC410" s="87">
        <f t="shared" si="196"/>
        <v>8362.7652561092109</v>
      </c>
      <c r="AD410" s="462"/>
      <c r="AE410" s="461">
        <f t="shared" si="197"/>
        <v>129.35736842105263</v>
      </c>
      <c r="AF410" s="254">
        <f t="shared" si="198"/>
        <v>7373.37</v>
      </c>
      <c r="AG410" s="456">
        <f t="shared" ref="AG410:AH410" si="209">AE410-AB410</f>
        <v>-4.3920304441924429</v>
      </c>
      <c r="AH410" s="457">
        <f t="shared" si="209"/>
        <v>-989.395256109211</v>
      </c>
      <c r="AI410" s="458">
        <f t="shared" si="205"/>
        <v>-0.11830958131778634</v>
      </c>
      <c r="AJ410" s="462"/>
      <c r="AK410" s="457">
        <f t="shared" si="200"/>
        <v>152.93514285714286</v>
      </c>
      <c r="AL410" s="87">
        <f t="shared" si="201"/>
        <v>5352.7300000000005</v>
      </c>
      <c r="AM410" s="459">
        <f t="shared" si="202"/>
        <v>-4.3920304441924429</v>
      </c>
      <c r="AN410" s="457">
        <f t="shared" si="203"/>
        <v>2020.6399999999994</v>
      </c>
      <c r="AO410" s="214">
        <f t="shared" si="206"/>
        <v>0.37749709026982481</v>
      </c>
      <c r="AP410" s="79"/>
      <c r="AQ410" s="537"/>
      <c r="AR410" s="222"/>
      <c r="AS410" s="537"/>
      <c r="AT410" s="537"/>
      <c r="AU410" s="537"/>
      <c r="AV410" s="79"/>
      <c r="AW410" s="79"/>
      <c r="AX410" s="79"/>
      <c r="AY410" s="79"/>
      <c r="AZ410" s="79"/>
      <c r="BA410" s="79"/>
      <c r="BB410" s="79"/>
      <c r="BC410" s="79"/>
      <c r="BD410" s="79"/>
      <c r="BE410" s="79"/>
      <c r="BF410" s="79"/>
      <c r="BG410" s="79"/>
      <c r="BH410" s="79"/>
      <c r="BI410" s="79"/>
    </row>
    <row r="411" spans="1:61" ht="15.75" customHeight="1">
      <c r="A411" s="570" t="s">
        <v>106</v>
      </c>
      <c r="B411" s="2"/>
      <c r="C411" s="23"/>
      <c r="D411" s="23"/>
      <c r="E411" s="23"/>
      <c r="F411" s="23"/>
      <c r="J411" s="23" t="s">
        <v>2897</v>
      </c>
      <c r="K411" s="1089">
        <f>L205</f>
        <v>14850.73</v>
      </c>
      <c r="L411" s="1089"/>
      <c r="M411" s="1089">
        <f>K435*$F$407</f>
        <v>13632.300818928737</v>
      </c>
      <c r="N411" s="1088">
        <f t="shared" ref="N411:N416" si="210">M411-K411</f>
        <v>-1218.4291810712621</v>
      </c>
      <c r="P411" s="79">
        <v>6432</v>
      </c>
      <c r="Q411" s="1269">
        <f>N411</f>
        <v>-1218.4291810712621</v>
      </c>
      <c r="R411" s="101">
        <f>N205</f>
        <v>852.66901814534867</v>
      </c>
      <c r="S411" s="1265">
        <f t="shared" ref="S411:S413" si="211">Q411+R411</f>
        <v>-365.76016292591339</v>
      </c>
      <c r="V411" s="305" t="s">
        <v>106</v>
      </c>
      <c r="W411" s="460" t="s">
        <v>210</v>
      </c>
      <c r="X411" s="455"/>
      <c r="Y411" s="461">
        <f t="shared" si="193"/>
        <v>19.194952770972929</v>
      </c>
      <c r="Z411" s="87">
        <f t="shared" si="194"/>
        <v>1200.1764904190659</v>
      </c>
      <c r="AA411" s="455"/>
      <c r="AB411" s="461">
        <f t="shared" si="195"/>
        <v>19.194952770972929</v>
      </c>
      <c r="AC411" s="87">
        <f t="shared" si="196"/>
        <v>1200.1764904190659</v>
      </c>
      <c r="AD411" s="462"/>
      <c r="AE411" s="461">
        <f t="shared" si="197"/>
        <v>13.000350877192982</v>
      </c>
      <c r="AF411" s="254">
        <f t="shared" si="198"/>
        <v>741.02</v>
      </c>
      <c r="AG411" s="456">
        <f t="shared" ref="AG411:AH411" si="212">AE411-AB411</f>
        <v>-6.1946018937799465</v>
      </c>
      <c r="AH411" s="457">
        <f t="shared" si="212"/>
        <v>-459.1564904190659</v>
      </c>
      <c r="AI411" s="458">
        <f t="shared" si="205"/>
        <v>-0.38257414145709695</v>
      </c>
      <c r="AJ411" s="462"/>
      <c r="AK411" s="457">
        <f t="shared" si="200"/>
        <v>69.995428571428576</v>
      </c>
      <c r="AL411" s="87">
        <f t="shared" si="201"/>
        <v>2449.84</v>
      </c>
      <c r="AM411" s="459">
        <f t="shared" si="202"/>
        <v>-6.1946018937799465</v>
      </c>
      <c r="AN411" s="457">
        <f t="shared" si="203"/>
        <v>-1708.8200000000002</v>
      </c>
      <c r="AO411" s="216">
        <f t="shared" si="206"/>
        <v>-0.69752310354961955</v>
      </c>
      <c r="AP411" s="79"/>
      <c r="AQ411" s="537"/>
      <c r="AR411" s="222"/>
      <c r="AS411" s="537"/>
      <c r="AT411" s="537"/>
      <c r="AU411" s="537"/>
      <c r="AV411" s="79"/>
      <c r="AW411" s="79"/>
      <c r="AX411" s="79"/>
      <c r="AY411" s="79"/>
      <c r="AZ411" s="79"/>
      <c r="BA411" s="79"/>
      <c r="BB411" s="79"/>
      <c r="BC411" s="79"/>
      <c r="BD411" s="79"/>
      <c r="BE411" s="79"/>
      <c r="BF411" s="79"/>
      <c r="BG411" s="79"/>
      <c r="BH411" s="79"/>
      <c r="BI411" s="79"/>
    </row>
    <row r="412" spans="1:61" ht="15.75" customHeight="1">
      <c r="A412" s="570" t="s">
        <v>107</v>
      </c>
      <c r="B412" s="2"/>
      <c r="C412" s="23"/>
      <c r="D412" s="23"/>
      <c r="E412" s="23"/>
      <c r="F412" s="23"/>
      <c r="J412" s="23" t="s">
        <v>2898</v>
      </c>
      <c r="K412" s="1089">
        <f>L206</f>
        <v>7929.69</v>
      </c>
      <c r="L412" s="1089"/>
      <c r="M412" s="1089">
        <f>K436*$F$407</f>
        <v>7929.7663582561054</v>
      </c>
      <c r="N412" s="1088">
        <f t="shared" si="210"/>
        <v>7.63582561057774E-2</v>
      </c>
      <c r="P412" s="79">
        <v>6439</v>
      </c>
      <c r="Q412" s="1269">
        <f>N412</f>
        <v>7.63582561057774E-2</v>
      </c>
      <c r="R412" s="101">
        <f>N206</f>
        <v>-3186.417250296342</v>
      </c>
      <c r="S412" s="1265">
        <f t="shared" si="211"/>
        <v>-3186.3408920402362</v>
      </c>
      <c r="V412" s="306" t="s">
        <v>107</v>
      </c>
      <c r="W412" s="463"/>
      <c r="X412" s="445"/>
      <c r="Y412" s="464">
        <f t="shared" si="193"/>
        <v>49.675150941015531</v>
      </c>
      <c r="Z412" s="446">
        <f t="shared" si="194"/>
        <v>3105.9700447704454</v>
      </c>
      <c r="AA412" s="445"/>
      <c r="AB412" s="464">
        <f t="shared" si="195"/>
        <v>49.675150941015531</v>
      </c>
      <c r="AC412" s="446">
        <f t="shared" si="196"/>
        <v>3105.9700447704454</v>
      </c>
      <c r="AD412" s="465"/>
      <c r="AE412" s="464">
        <f t="shared" si="197"/>
        <v>81.905263157894737</v>
      </c>
      <c r="AF412" s="1022">
        <f t="shared" si="198"/>
        <v>4668.6000000000004</v>
      </c>
      <c r="AG412" s="447">
        <f t="shared" ref="AG412:AH412" si="213">AE412-AB412</f>
        <v>32.230112216879206</v>
      </c>
      <c r="AH412" s="448">
        <f t="shared" si="213"/>
        <v>1562.629955229555</v>
      </c>
      <c r="AI412" s="466">
        <f t="shared" si="205"/>
        <v>0.50310528843012237</v>
      </c>
      <c r="AJ412" s="465"/>
      <c r="AK412" s="448">
        <f t="shared" si="200"/>
        <v>59.569999999999993</v>
      </c>
      <c r="AL412" s="446">
        <f t="shared" si="201"/>
        <v>2084.9499999999998</v>
      </c>
      <c r="AM412" s="450">
        <f t="shared" si="202"/>
        <v>32.230112216879206</v>
      </c>
      <c r="AN412" s="448">
        <f t="shared" si="203"/>
        <v>2583.6500000000005</v>
      </c>
      <c r="AO412" s="215">
        <f t="shared" si="206"/>
        <v>1.2391903882587116</v>
      </c>
      <c r="AP412" s="79"/>
      <c r="AQ412" s="537"/>
      <c r="AR412" s="222"/>
      <c r="AS412" s="537"/>
      <c r="AT412" s="537"/>
      <c r="AU412" s="537"/>
      <c r="AV412" s="79"/>
      <c r="AW412" s="79"/>
      <c r="AX412" s="79"/>
      <c r="AY412" s="79"/>
      <c r="AZ412" s="79"/>
      <c r="BA412" s="79"/>
      <c r="BB412" s="79"/>
      <c r="BC412" s="79"/>
      <c r="BD412" s="79"/>
      <c r="BE412" s="79"/>
      <c r="BF412" s="79"/>
      <c r="BG412" s="79"/>
      <c r="BH412" s="79"/>
      <c r="BI412" s="79"/>
    </row>
    <row r="413" spans="1:61" ht="15.75" customHeight="1">
      <c r="A413" s="570" t="s">
        <v>108</v>
      </c>
      <c r="B413" s="2"/>
      <c r="C413" s="23"/>
      <c r="D413" s="23"/>
      <c r="E413" s="23"/>
      <c r="F413" s="23"/>
      <c r="J413" s="23" t="s">
        <v>1252</v>
      </c>
      <c r="K413" s="1089">
        <f>L207</f>
        <v>4298.3</v>
      </c>
      <c r="L413" s="1089"/>
      <c r="M413" s="1089">
        <f>K437*$F$407</f>
        <v>5517.1403985244788</v>
      </c>
      <c r="N413" s="1088">
        <f t="shared" si="210"/>
        <v>1218.8403985244786</v>
      </c>
      <c r="P413" s="79">
        <v>6431</v>
      </c>
      <c r="Q413" s="1269">
        <f>N413</f>
        <v>1218.8403985244786</v>
      </c>
      <c r="R413" s="101">
        <f>N207</f>
        <v>-230.48443530591703</v>
      </c>
      <c r="S413" s="1265">
        <f t="shared" si="211"/>
        <v>988.35596321856156</v>
      </c>
      <c r="V413" s="305" t="s">
        <v>108</v>
      </c>
      <c r="W413" s="460" t="s">
        <v>211</v>
      </c>
      <c r="X413" s="458"/>
      <c r="Y413" s="461">
        <f t="shared" si="193"/>
        <v>139.16965975444671</v>
      </c>
      <c r="Z413" s="87">
        <f t="shared" si="194"/>
        <v>8701.6704760790744</v>
      </c>
      <c r="AA413" s="458"/>
      <c r="AB413" s="461">
        <f t="shared" si="195"/>
        <v>139.16965975444671</v>
      </c>
      <c r="AC413" s="87">
        <f t="shared" si="196"/>
        <v>8701.6704760790744</v>
      </c>
      <c r="AD413" s="462"/>
      <c r="AE413" s="461">
        <f t="shared" si="197"/>
        <v>188.26964912280704</v>
      </c>
      <c r="AF413" s="254">
        <f t="shared" si="198"/>
        <v>10731.37</v>
      </c>
      <c r="AG413" s="456">
        <f t="shared" ref="AG413:AH414" si="214">AE413-AB413</f>
        <v>49.099989368360326</v>
      </c>
      <c r="AH413" s="457">
        <f t="shared" si="214"/>
        <v>2029.6995239209264</v>
      </c>
      <c r="AI413" s="458">
        <f t="shared" si="205"/>
        <v>0.23325400904350241</v>
      </c>
      <c r="AJ413" s="462"/>
      <c r="AK413" s="457">
        <f t="shared" si="200"/>
        <v>291.41771428571428</v>
      </c>
      <c r="AL413" s="87">
        <f t="shared" si="201"/>
        <v>10199.620000000001</v>
      </c>
      <c r="AM413" s="459">
        <f t="shared" si="202"/>
        <v>49.099989368360326</v>
      </c>
      <c r="AN413" s="457">
        <f t="shared" si="203"/>
        <v>531.75</v>
      </c>
      <c r="AO413" s="214">
        <f t="shared" si="206"/>
        <v>5.2134295199232905E-2</v>
      </c>
      <c r="AP413" s="79"/>
      <c r="AQ413" s="537"/>
      <c r="AR413" s="222"/>
      <c r="AS413" s="537"/>
      <c r="AT413" s="537"/>
      <c r="AU413" s="537"/>
      <c r="AV413" s="79"/>
      <c r="AW413" s="79"/>
      <c r="AX413" s="79"/>
      <c r="AY413" s="79"/>
      <c r="AZ413" s="79"/>
      <c r="BA413" s="79"/>
      <c r="BB413" s="79"/>
      <c r="BC413" s="79"/>
      <c r="BD413" s="79"/>
      <c r="BE413" s="79"/>
      <c r="BF413" s="79"/>
      <c r="BG413" s="79"/>
      <c r="BH413" s="79"/>
      <c r="BI413" s="79"/>
    </row>
    <row r="414" spans="1:61" s="570" customFormat="1" ht="15.75" customHeight="1">
      <c r="A414" s="570" t="s">
        <v>109</v>
      </c>
      <c r="B414" s="165"/>
      <c r="C414" s="23" t="s">
        <v>2897</v>
      </c>
      <c r="D414" s="23"/>
      <c r="E414" s="23"/>
      <c r="F414" s="23"/>
      <c r="J414" s="23"/>
      <c r="K414" s="1089">
        <f>SUM(K411:K413)</f>
        <v>27078.719999999998</v>
      </c>
      <c r="L414" s="1089"/>
      <c r="M414" s="1089">
        <f>SUM(M411:M413)</f>
        <v>27079.207575709323</v>
      </c>
      <c r="N414" s="1088">
        <f t="shared" si="210"/>
        <v>0.48757570932502858</v>
      </c>
      <c r="P414" s="79"/>
      <c r="Q414" s="1269"/>
      <c r="R414" s="79"/>
      <c r="V414" s="305" t="s">
        <v>109</v>
      </c>
      <c r="W414" s="460" t="s">
        <v>212</v>
      </c>
      <c r="X414" s="455"/>
      <c r="Y414" s="461">
        <f t="shared" si="193"/>
        <v>100.98923703843231</v>
      </c>
      <c r="Z414" s="87">
        <f t="shared" si="194"/>
        <v>6314.4155406401314</v>
      </c>
      <c r="AA414" s="455"/>
      <c r="AB414" s="461">
        <f t="shared" si="195"/>
        <v>100.98923703843231</v>
      </c>
      <c r="AC414" s="87">
        <f t="shared" si="196"/>
        <v>6314.4155406401314</v>
      </c>
      <c r="AD414" s="462"/>
      <c r="AE414" s="461">
        <f>IF(AF414=0,0,AF414/(J$13+J$13))</f>
        <v>42.169102564102566</v>
      </c>
      <c r="AF414" s="87">
        <f t="shared" si="198"/>
        <v>3289.19</v>
      </c>
      <c r="AG414" s="456">
        <f t="shared" si="214"/>
        <v>-58.820134474329741</v>
      </c>
      <c r="AH414" s="457">
        <f t="shared" si="214"/>
        <v>-3025.2255406401314</v>
      </c>
      <c r="AI414" s="458">
        <f t="shared" ref="AI414" si="215">IF(AC414=0,0,AH414/AC414)</f>
        <v>-0.47909826668351407</v>
      </c>
      <c r="AJ414" s="462"/>
      <c r="AK414" s="457">
        <f t="shared" si="200"/>
        <v>344.702</v>
      </c>
      <c r="AL414" s="87">
        <f t="shared" si="201"/>
        <v>12064.57</v>
      </c>
      <c r="AM414" s="459">
        <f t="shared" ref="AM414" si="216">AE414-Y414</f>
        <v>-58.820134474329741</v>
      </c>
      <c r="AN414" s="457">
        <f t="shared" ref="AN414" si="217">AF414-AL414</f>
        <v>-8775.3799999999992</v>
      </c>
      <c r="AO414" s="214">
        <f t="shared" ref="AO414" si="218">IF(AL414=0,0,AN414/AL414)</f>
        <v>-0.72736782164635783</v>
      </c>
      <c r="AP414" s="79"/>
      <c r="AQ414" s="537"/>
      <c r="AR414" s="222"/>
      <c r="AS414" s="537"/>
      <c r="AT414" s="537"/>
      <c r="AU414" s="537"/>
      <c r="AV414" s="79"/>
      <c r="AW414" s="79"/>
      <c r="AX414" s="79"/>
      <c r="AY414" s="79"/>
      <c r="AZ414" s="79"/>
      <c r="BA414" s="79"/>
      <c r="BB414" s="79"/>
      <c r="BC414" s="79"/>
      <c r="BD414" s="79"/>
      <c r="BE414" s="79"/>
      <c r="BF414" s="79"/>
      <c r="BG414" s="79"/>
      <c r="BH414" s="79"/>
      <c r="BI414" s="79"/>
    </row>
    <row r="415" spans="1:61" s="570" customFormat="1" ht="15.75" hidden="1" customHeight="1">
      <c r="A415" s="570" t="s">
        <v>42</v>
      </c>
      <c r="B415" s="165"/>
      <c r="C415" s="23"/>
      <c r="D415" s="23"/>
      <c r="E415" s="23"/>
      <c r="F415" s="23"/>
      <c r="J415" s="23" t="s">
        <v>1252</v>
      </c>
      <c r="K415" s="1089"/>
      <c r="L415" s="1089"/>
      <c r="M415" s="1089"/>
      <c r="N415" s="1088">
        <f t="shared" si="210"/>
        <v>0</v>
      </c>
      <c r="P415" s="79"/>
      <c r="Q415" s="1269"/>
      <c r="R415" s="79"/>
      <c r="V415" s="305" t="s">
        <v>42</v>
      </c>
      <c r="W415" s="460"/>
      <c r="X415" s="458"/>
      <c r="Y415" s="461">
        <f t="shared" ref="Y415:Y417" si="219">Z415/(D$13+D$96)</f>
        <v>0</v>
      </c>
      <c r="Z415" s="87">
        <f>IFERROR(SUMIF($C:$C,$V415,F:F),0)</f>
        <v>0</v>
      </c>
      <c r="AA415" s="455"/>
      <c r="AB415" s="461">
        <f t="shared" ref="AB415:AB417" si="220">IF(AC415=0,0,AC415/(G$13+G$96))</f>
        <v>0</v>
      </c>
      <c r="AC415" s="87">
        <f>IFERROR(SUMIF($C:$C,$V415,I:I),0)</f>
        <v>0</v>
      </c>
      <c r="AD415" s="462"/>
      <c r="AE415" s="461">
        <f t="shared" ref="AE415:AE417" si="221">IF(AF415=0,0,AF415/(J$13+J$13))</f>
        <v>0</v>
      </c>
      <c r="AF415" s="87">
        <f>IFERROR(SUMIF($C:$C,$V415,L:L),0)</f>
        <v>0</v>
      </c>
      <c r="AG415" s="456">
        <f t="shared" ref="AG415:AG417" si="222">AE415-AB415</f>
        <v>0</v>
      </c>
      <c r="AH415" s="457">
        <f t="shared" ref="AH415:AH417" si="223">AF415-AC415</f>
        <v>0</v>
      </c>
      <c r="AI415" s="458">
        <f t="shared" ref="AI415:AI417" si="224">IF(AC415=0,0,AH415/AC415)</f>
        <v>0</v>
      </c>
      <c r="AJ415" s="462"/>
      <c r="AK415" s="457">
        <f t="shared" ref="AK415:AK417" si="225">AL415/(O$13+O$96)</f>
        <v>0</v>
      </c>
      <c r="AL415" s="87">
        <f>IFERROR(SUMIF($C:$C,$V415,Q:Q),0)</f>
        <v>0</v>
      </c>
      <c r="AM415" s="459">
        <f t="shared" ref="AM415:AM417" si="226">AE415-Y415</f>
        <v>0</v>
      </c>
      <c r="AN415" s="457">
        <f t="shared" ref="AN415:AN417" si="227">AF415-AL415</f>
        <v>0</v>
      </c>
      <c r="AO415" s="214">
        <f t="shared" ref="AO415:AO417" si="228">IF(AL415=0,0,AN415/AL415)</f>
        <v>0</v>
      </c>
      <c r="AP415" s="79"/>
      <c r="AQ415" s="537"/>
      <c r="AR415" s="222"/>
      <c r="AS415" s="537"/>
      <c r="AT415" s="537"/>
      <c r="AU415" s="537"/>
      <c r="AV415" s="79"/>
      <c r="AW415" s="79"/>
      <c r="AX415" s="79"/>
      <c r="AY415" s="79"/>
      <c r="AZ415" s="79"/>
      <c r="BA415" s="79"/>
      <c r="BB415" s="79"/>
      <c r="BC415" s="79"/>
      <c r="BD415" s="79"/>
      <c r="BE415" s="79"/>
      <c r="BF415" s="79"/>
      <c r="BG415" s="79"/>
      <c r="BH415" s="79"/>
      <c r="BI415" s="79"/>
    </row>
    <row r="416" spans="1:61" s="570" customFormat="1" ht="15.75" hidden="1" customHeight="1">
      <c r="A416" s="570" t="s">
        <v>42</v>
      </c>
      <c r="B416" s="165"/>
      <c r="C416" s="23"/>
      <c r="D416" s="23"/>
      <c r="E416" s="23"/>
      <c r="F416" s="23"/>
      <c r="J416" s="23"/>
      <c r="K416" s="1089"/>
      <c r="L416" s="1089"/>
      <c r="M416" s="1089"/>
      <c r="N416" s="1088">
        <f t="shared" si="210"/>
        <v>0</v>
      </c>
      <c r="P416" s="79"/>
      <c r="Q416" s="1269"/>
      <c r="R416" s="79"/>
      <c r="V416" s="305" t="s">
        <v>42</v>
      </c>
      <c r="W416" s="460"/>
      <c r="X416" s="458"/>
      <c r="Y416" s="461">
        <f t="shared" si="219"/>
        <v>0</v>
      </c>
      <c r="Z416" s="87">
        <f>IFERROR(SUMIF($C:$C,$V416,F:F),0)</f>
        <v>0</v>
      </c>
      <c r="AA416" s="455"/>
      <c r="AB416" s="461">
        <f t="shared" si="220"/>
        <v>0</v>
      </c>
      <c r="AC416" s="87">
        <f>IFERROR(SUMIF($C:$C,$V416,I:I),0)</f>
        <v>0</v>
      </c>
      <c r="AD416" s="462"/>
      <c r="AE416" s="461">
        <f t="shared" si="221"/>
        <v>0</v>
      </c>
      <c r="AF416" s="87">
        <f>IFERROR(SUMIF($C:$C,$V416,L:L),0)</f>
        <v>0</v>
      </c>
      <c r="AG416" s="456">
        <f t="shared" si="222"/>
        <v>0</v>
      </c>
      <c r="AH416" s="457">
        <f t="shared" si="223"/>
        <v>0</v>
      </c>
      <c r="AI416" s="458">
        <f t="shared" si="224"/>
        <v>0</v>
      </c>
      <c r="AJ416" s="462"/>
      <c r="AK416" s="457">
        <f t="shared" si="225"/>
        <v>0</v>
      </c>
      <c r="AL416" s="87">
        <f t="shared" ref="AL416:AL417" si="229">IFERROR(SUMIF($C:$C,$V416,Q:Q),0)</f>
        <v>0</v>
      </c>
      <c r="AM416" s="459">
        <f t="shared" si="226"/>
        <v>0</v>
      </c>
      <c r="AN416" s="457">
        <f t="shared" si="227"/>
        <v>0</v>
      </c>
      <c r="AO416" s="214">
        <f t="shared" si="228"/>
        <v>0</v>
      </c>
      <c r="AP416" s="79"/>
      <c r="AQ416" s="537"/>
      <c r="AR416" s="222"/>
      <c r="AS416" s="537"/>
      <c r="AT416" s="537"/>
      <c r="AU416" s="537"/>
      <c r="AV416" s="79"/>
      <c r="AW416" s="79"/>
      <c r="AX416" s="79"/>
      <c r="AY416" s="79"/>
      <c r="AZ416" s="79"/>
      <c r="BA416" s="79"/>
      <c r="BB416" s="79"/>
      <c r="BC416" s="79"/>
      <c r="BD416" s="79"/>
      <c r="BE416" s="79"/>
      <c r="BF416" s="79"/>
      <c r="BG416" s="79"/>
      <c r="BH416" s="79"/>
      <c r="BI416" s="79"/>
    </row>
    <row r="417" spans="1:61" ht="15.75" hidden="1" customHeight="1">
      <c r="A417" s="570" t="s">
        <v>42</v>
      </c>
      <c r="B417" s="2"/>
      <c r="C417" s="23"/>
      <c r="D417" s="23"/>
      <c r="E417" s="23"/>
      <c r="F417" s="23"/>
      <c r="J417" s="23"/>
      <c r="K417" s="1089"/>
      <c r="L417" s="1089"/>
      <c r="M417" s="1089"/>
      <c r="N417" s="23"/>
      <c r="P417" s="79"/>
      <c r="Q417" s="1269"/>
      <c r="R417" s="79"/>
      <c r="V417" s="305" t="s">
        <v>42</v>
      </c>
      <c r="W417" s="460" t="s">
        <v>212</v>
      </c>
      <c r="X417" s="455"/>
      <c r="Y417" s="461">
        <f t="shared" si="219"/>
        <v>0</v>
      </c>
      <c r="Z417" s="87">
        <f>IFERROR(SUMIF($C:$C,$V417,F:F),0)</f>
        <v>0</v>
      </c>
      <c r="AA417" s="455"/>
      <c r="AB417" s="461">
        <f t="shared" si="220"/>
        <v>0</v>
      </c>
      <c r="AC417" s="87">
        <f>IFERROR(SUMIF($C:$C,$V417,I:I),0)</f>
        <v>0</v>
      </c>
      <c r="AD417" s="462"/>
      <c r="AE417" s="461">
        <f t="shared" si="221"/>
        <v>0</v>
      </c>
      <c r="AF417" s="87">
        <f>IFERROR(SUMIF($C:$C,$V417,L:L),0)</f>
        <v>0</v>
      </c>
      <c r="AG417" s="456">
        <f t="shared" si="222"/>
        <v>0</v>
      </c>
      <c r="AH417" s="457">
        <f t="shared" si="223"/>
        <v>0</v>
      </c>
      <c r="AI417" s="458">
        <f t="shared" si="224"/>
        <v>0</v>
      </c>
      <c r="AJ417" s="462"/>
      <c r="AK417" s="457">
        <f t="shared" si="225"/>
        <v>0</v>
      </c>
      <c r="AL417" s="87">
        <f t="shared" si="229"/>
        <v>0</v>
      </c>
      <c r="AM417" s="459">
        <f t="shared" si="226"/>
        <v>0</v>
      </c>
      <c r="AN417" s="457">
        <f t="shared" si="227"/>
        <v>0</v>
      </c>
      <c r="AO417" s="214">
        <f t="shared" si="228"/>
        <v>0</v>
      </c>
      <c r="AP417" s="79"/>
      <c r="AQ417" s="537"/>
      <c r="AR417" s="222"/>
      <c r="AS417" s="537"/>
      <c r="AT417" s="537"/>
      <c r="AU417" s="537"/>
      <c r="AV417" s="79"/>
      <c r="AW417" s="79"/>
      <c r="AX417" s="79"/>
      <c r="AY417" s="79"/>
      <c r="AZ417" s="79"/>
      <c r="BA417" s="79"/>
      <c r="BB417" s="79"/>
      <c r="BC417" s="79"/>
      <c r="BD417" s="79"/>
      <c r="BE417" s="79"/>
      <c r="BF417" s="79"/>
      <c r="BG417" s="79"/>
      <c r="BH417" s="79"/>
      <c r="BI417" s="79"/>
    </row>
    <row r="418" spans="1:61" ht="15.75" customHeight="1">
      <c r="A418" s="570" t="s">
        <v>110</v>
      </c>
      <c r="B418" s="2"/>
      <c r="C418" s="23" t="s">
        <v>2902</v>
      </c>
      <c r="D418" s="23"/>
      <c r="E418" s="23"/>
      <c r="F418" s="23"/>
      <c r="J418" s="23" t="s">
        <v>2900</v>
      </c>
      <c r="K418" s="1089">
        <f>SUM(K411:K413)</f>
        <v>27078.719999999998</v>
      </c>
      <c r="L418" s="1089"/>
      <c r="M418" s="1089"/>
      <c r="N418" s="95"/>
      <c r="P418" s="79"/>
      <c r="Q418" s="1269"/>
      <c r="R418" s="79"/>
      <c r="V418" s="467" t="s">
        <v>110</v>
      </c>
      <c r="W418" s="88"/>
      <c r="X418" s="89">
        <f>Z418/Z406</f>
        <v>0.21617682965217055</v>
      </c>
      <c r="Y418" s="88"/>
      <c r="Z418" s="90">
        <f>SUM(Z408:Z417)</f>
        <v>95857.117098113958</v>
      </c>
      <c r="AA418" s="89">
        <f>AC418/AC406</f>
        <v>0.21617682965217055</v>
      </c>
      <c r="AB418" s="88"/>
      <c r="AC418" s="90">
        <f>SUM(AC408:AC417)</f>
        <v>95857.117098113958</v>
      </c>
      <c r="AD418" s="91">
        <f>AF418/AF406</f>
        <v>0.22800573534045046</v>
      </c>
      <c r="AE418" s="88"/>
      <c r="AF418" s="90">
        <f>SUM(AF408:AF417)</f>
        <v>122997.32</v>
      </c>
      <c r="AG418" s="92"/>
      <c r="AH418" s="93">
        <f>AF418-AC418</f>
        <v>27140.202901886048</v>
      </c>
      <c r="AI418" s="89">
        <f>AH418/AC418</f>
        <v>0.28313185002326807</v>
      </c>
      <c r="AJ418" s="91">
        <f>IF($AL$406=0,0,AL418/$AL$406)</f>
        <v>0.24124713888795113</v>
      </c>
      <c r="AK418" s="88"/>
      <c r="AL418" s="90">
        <f>SUM(AL408:AL417)</f>
        <v>71751.56</v>
      </c>
      <c r="AM418" s="94"/>
      <c r="AN418" s="93">
        <f t="shared" ref="AN418:AN423" si="230">AF418-AL418</f>
        <v>51245.760000000009</v>
      </c>
      <c r="AO418" s="453">
        <f>IF(AL418=0,0,AN418/AL418)</f>
        <v>0.71421109171703046</v>
      </c>
      <c r="AP418" s="79"/>
      <c r="AQ418" s="537"/>
      <c r="AR418" s="222"/>
      <c r="AS418" s="537"/>
      <c r="AT418" s="537"/>
      <c r="AU418" s="537"/>
      <c r="AV418" s="79"/>
      <c r="AW418" s="79"/>
      <c r="AX418" s="79"/>
      <c r="AY418" s="79"/>
      <c r="AZ418" s="79"/>
      <c r="BA418" s="79"/>
      <c r="BB418" s="79"/>
      <c r="BC418" s="79"/>
      <c r="BD418" s="79"/>
      <c r="BE418" s="79"/>
      <c r="BF418" s="79"/>
      <c r="BG418" s="79"/>
      <c r="BH418" s="79"/>
      <c r="BI418" s="79"/>
    </row>
    <row r="419" spans="1:61" ht="15.75" customHeight="1">
      <c r="A419" s="570" t="s">
        <v>213</v>
      </c>
      <c r="B419" s="2"/>
      <c r="C419" s="23" t="s">
        <v>3303</v>
      </c>
      <c r="D419" s="23"/>
      <c r="E419" s="23"/>
      <c r="F419" s="23"/>
      <c r="J419" s="23" t="s">
        <v>2897</v>
      </c>
      <c r="K419" s="1089">
        <f>L261</f>
        <v>683.05</v>
      </c>
      <c r="L419" s="1089"/>
      <c r="M419" s="1089">
        <f>K435*$F$408</f>
        <v>626.70868822273042</v>
      </c>
      <c r="N419" s="1088">
        <f>M419-K419</f>
        <v>-56.341311777269539</v>
      </c>
      <c r="P419" s="79">
        <v>6532</v>
      </c>
      <c r="Q419" s="1269">
        <f>N419</f>
        <v>-56.341311777269539</v>
      </c>
      <c r="R419" s="101">
        <f>N261</f>
        <v>93.715764582379279</v>
      </c>
      <c r="S419" s="1265">
        <f t="shared" ref="S419:S421" si="231">Q419+R419</f>
        <v>37.37445280510974</v>
      </c>
      <c r="V419" s="305" t="s">
        <v>213</v>
      </c>
      <c r="W419" s="460" t="s">
        <v>214</v>
      </c>
      <c r="X419" s="455"/>
      <c r="Y419" s="455"/>
      <c r="Z419" s="87">
        <f>+INDEX('Budget original'!$A$2:$AO$500,MATCH($A419,'Budget original'!$A$2:$A$500,0),MATCH(F$2,'Budget original'!$A$2:$AO$2,0))</f>
        <v>15043.715813333336</v>
      </c>
      <c r="AA419" s="455"/>
      <c r="AB419" s="455"/>
      <c r="AC419" s="87">
        <f>+INDEX('Budget révisé'!$A$2:$AO$500,MATCH($A419,'Budget révisé'!$A$2:$A$500,0),MATCH(I$2,'Budget révisé'!$A$2:$AO$2,0))</f>
        <v>15043.715813333336</v>
      </c>
      <c r="AD419" s="462"/>
      <c r="AE419" s="461"/>
      <c r="AF419" s="87">
        <f>SUMIFS(BV_Data_An_Cour!$O:$O,BV_Data_An_Cour!$V:$V,$V419)</f>
        <v>15043.720000000001</v>
      </c>
      <c r="AG419" s="456"/>
      <c r="AH419" s="457">
        <f t="shared" ref="AH419:AH426" si="232">AF419-AC419</f>
        <v>4.1866666651912965E-3</v>
      </c>
      <c r="AI419" s="458">
        <f>IF(AC419=0,0,AH419/AC419)</f>
        <v>2.783000368486507E-7</v>
      </c>
      <c r="AJ419" s="462"/>
      <c r="AK419" s="455"/>
      <c r="AL419" s="87">
        <f>SUMIFS(BV_Data_An_Prec!$O:$O,BV_Data_An_Prec!$V:$V,$V419)</f>
        <v>2916.67</v>
      </c>
      <c r="AM419" s="459"/>
      <c r="AN419" s="457">
        <f t="shared" si="230"/>
        <v>12127.050000000001</v>
      </c>
      <c r="AO419" s="214">
        <f t="shared" ref="AO419:AO423" si="233">IF(AL419=0,0,AN419/AL419)</f>
        <v>4.1578409624674721</v>
      </c>
      <c r="AP419" s="79"/>
      <c r="AQ419" s="537"/>
      <c r="AR419" s="537"/>
      <c r="AS419" s="537"/>
      <c r="AT419" s="537"/>
      <c r="AU419" s="537"/>
      <c r="AV419" s="79"/>
      <c r="AW419" s="79"/>
      <c r="AX419" s="79"/>
      <c r="AY419" s="79"/>
      <c r="AZ419" s="79"/>
      <c r="BA419" s="79"/>
      <c r="BB419" s="79"/>
      <c r="BC419" s="79"/>
      <c r="BD419" s="79"/>
      <c r="BE419" s="79"/>
      <c r="BF419" s="79"/>
      <c r="BG419" s="79"/>
      <c r="BH419" s="79"/>
      <c r="BI419" s="79"/>
    </row>
    <row r="420" spans="1:61" ht="15.75" customHeight="1">
      <c r="A420" s="570" t="s">
        <v>112</v>
      </c>
      <c r="B420" s="2"/>
      <c r="C420" s="23"/>
      <c r="D420" s="23"/>
      <c r="E420" s="23"/>
      <c r="F420" s="23"/>
      <c r="G420" s="23"/>
      <c r="H420" s="23"/>
      <c r="J420" s="23" t="s">
        <v>2898</v>
      </c>
      <c r="K420" s="1089">
        <f>L262</f>
        <v>364.79</v>
      </c>
      <c r="L420" s="1089"/>
      <c r="M420" s="1089">
        <f>K436*$F$408</f>
        <v>364.5498686028813</v>
      </c>
      <c r="N420" s="1088">
        <f>M420-K420</f>
        <v>-0.24013139711871645</v>
      </c>
      <c r="P420" s="79">
        <v>6539</v>
      </c>
      <c r="Q420" s="1269">
        <f>N420</f>
        <v>-0.24013139711871645</v>
      </c>
      <c r="R420" s="101">
        <f>N262</f>
        <v>-103.21071636105171</v>
      </c>
      <c r="S420" s="1265">
        <f t="shared" si="231"/>
        <v>-103.45084775817043</v>
      </c>
      <c r="V420" s="305" t="s">
        <v>112</v>
      </c>
      <c r="W420" s="460" t="s">
        <v>215</v>
      </c>
      <c r="X420" s="455"/>
      <c r="Y420" s="455"/>
      <c r="Z420" s="87">
        <f t="shared" ref="Z420:Z430" si="234">+SUMIF($C:$C,$V420,F:F)</f>
        <v>37259.747126436778</v>
      </c>
      <c r="AA420" s="455"/>
      <c r="AB420" s="455"/>
      <c r="AC420" s="87">
        <f t="shared" ref="AC420:AC430" si="235">+SUMIF($C:$C,$V420,I:I)</f>
        <v>37259.747126436778</v>
      </c>
      <c r="AD420" s="462"/>
      <c r="AE420" s="461"/>
      <c r="AF420" s="87">
        <f t="shared" ref="AF420:AF430" si="236">+SUMIF($C:$C,$V420,L:L)</f>
        <v>36945.19</v>
      </c>
      <c r="AG420" s="456"/>
      <c r="AH420" s="457">
        <f t="shared" si="232"/>
        <v>-314.55712643677543</v>
      </c>
      <c r="AI420" s="458">
        <f t="shared" ref="AI420:AI431" si="237">IF(AC420=0,0,AH420/AC420)</f>
        <v>-8.4422775433596227E-3</v>
      </c>
      <c r="AJ420" s="462"/>
      <c r="AK420" s="455"/>
      <c r="AL420" s="87">
        <f t="shared" ref="AL420:AL430" si="238">+SUMIF($C:$C,$V420,Q:Q)</f>
        <v>34687.1</v>
      </c>
      <c r="AM420" s="459"/>
      <c r="AN420" s="457">
        <f t="shared" si="230"/>
        <v>2258.0900000000038</v>
      </c>
      <c r="AO420" s="214">
        <f t="shared" si="233"/>
        <v>6.5098840779425321E-2</v>
      </c>
      <c r="AP420" s="79"/>
      <c r="AQ420" s="537"/>
      <c r="AR420" s="537"/>
      <c r="AS420" s="537"/>
      <c r="AT420" s="537"/>
      <c r="AU420" s="537"/>
      <c r="AV420" s="79"/>
      <c r="AW420" s="79"/>
      <c r="AX420" s="79"/>
      <c r="AY420" s="79"/>
      <c r="AZ420" s="79"/>
      <c r="BA420" s="79"/>
      <c r="BB420" s="79"/>
      <c r="BC420" s="79"/>
      <c r="BD420" s="79"/>
      <c r="BE420" s="79"/>
      <c r="BF420" s="79"/>
      <c r="BG420" s="79"/>
      <c r="BH420" s="79"/>
      <c r="BI420" s="79"/>
    </row>
    <row r="421" spans="1:61" ht="15.75" customHeight="1">
      <c r="A421" s="570" t="s">
        <v>113</v>
      </c>
      <c r="B421" s="2"/>
      <c r="C421" s="79"/>
      <c r="D421" s="79"/>
      <c r="E421" s="79"/>
      <c r="F421" s="79"/>
      <c r="G421" s="79"/>
      <c r="H421" s="79"/>
      <c r="J421" s="23" t="s">
        <v>1252</v>
      </c>
      <c r="K421" s="1089">
        <f>L263</f>
        <v>198</v>
      </c>
      <c r="L421" s="1089"/>
      <c r="M421" s="1089">
        <f>K437*$F$408</f>
        <v>253.63582184886226</v>
      </c>
      <c r="N421" s="1088">
        <f>M421-K421</f>
        <v>55.635821848862264</v>
      </c>
      <c r="P421" s="79">
        <v>6531</v>
      </c>
      <c r="Q421" s="1269">
        <f>N421</f>
        <v>55.635821848862264</v>
      </c>
      <c r="R421" s="101">
        <f>N263</f>
        <v>7.333041482534469</v>
      </c>
      <c r="S421" s="1265">
        <f t="shared" si="231"/>
        <v>62.968863331396733</v>
      </c>
      <c r="V421" s="306" t="s">
        <v>113</v>
      </c>
      <c r="W421" s="463" t="s">
        <v>216</v>
      </c>
      <c r="X421" s="445"/>
      <c r="Y421" s="445"/>
      <c r="Z421" s="446">
        <f t="shared" si="234"/>
        <v>25568.902342298854</v>
      </c>
      <c r="AA421" s="445"/>
      <c r="AB421" s="445"/>
      <c r="AC421" s="446">
        <f t="shared" si="235"/>
        <v>25568.902342298854</v>
      </c>
      <c r="AD421" s="465"/>
      <c r="AE421" s="464"/>
      <c r="AF421" s="446">
        <f t="shared" si="236"/>
        <v>21619.4</v>
      </c>
      <c r="AG421" s="447"/>
      <c r="AH421" s="448">
        <f t="shared" si="232"/>
        <v>-3949.5023422988525</v>
      </c>
      <c r="AI421" s="466">
        <f t="shared" si="237"/>
        <v>-0.15446507204046678</v>
      </c>
      <c r="AJ421" s="465"/>
      <c r="AK421" s="445"/>
      <c r="AL421" s="446">
        <f t="shared" si="238"/>
        <v>21015.16</v>
      </c>
      <c r="AM421" s="450"/>
      <c r="AN421" s="448">
        <f t="shared" si="230"/>
        <v>604.2400000000016</v>
      </c>
      <c r="AO421" s="451">
        <f t="shared" si="233"/>
        <v>2.8752576711288499E-2</v>
      </c>
      <c r="AP421" s="79"/>
      <c r="AQ421" s="537"/>
      <c r="AR421" s="537"/>
      <c r="AS421" s="537"/>
      <c r="AT421" s="537"/>
      <c r="AU421" s="537"/>
      <c r="AV421" s="79"/>
      <c r="AW421" s="79"/>
      <c r="AX421" s="79"/>
      <c r="AY421" s="79"/>
      <c r="AZ421" s="79"/>
      <c r="BA421" s="79"/>
      <c r="BB421" s="79"/>
      <c r="BC421" s="79"/>
      <c r="BD421" s="79"/>
      <c r="BE421" s="79"/>
      <c r="BF421" s="79"/>
      <c r="BG421" s="79"/>
      <c r="BH421" s="79"/>
      <c r="BI421" s="79"/>
    </row>
    <row r="422" spans="1:61" ht="15.75" customHeight="1">
      <c r="A422" s="570" t="s">
        <v>114</v>
      </c>
      <c r="B422" s="2"/>
      <c r="C422" s="79"/>
      <c r="D422" s="79"/>
      <c r="E422" s="79"/>
      <c r="F422" s="79"/>
      <c r="G422" s="79"/>
      <c r="H422" s="79"/>
      <c r="I422" s="79"/>
      <c r="J422" s="79"/>
      <c r="K422" s="1094">
        <f>SUM(K419:K421)</f>
        <v>1245.8399999999999</v>
      </c>
      <c r="L422" s="1094"/>
      <c r="M422" s="1089">
        <f>SUM(M419:M421)</f>
        <v>1244.894378674474</v>
      </c>
      <c r="N422" s="1092">
        <f>SUM(N419:N421)</f>
        <v>-0.9456213255259911</v>
      </c>
      <c r="P422" s="79"/>
      <c r="Q422" s="1269"/>
      <c r="R422" s="79"/>
      <c r="S422" s="79"/>
      <c r="V422" s="280" t="s">
        <v>114</v>
      </c>
      <c r="W422" s="460" t="s">
        <v>217</v>
      </c>
      <c r="X422" s="455"/>
      <c r="Y422" s="455"/>
      <c r="Z422" s="87">
        <f t="shared" si="234"/>
        <v>54420.077005977015</v>
      </c>
      <c r="AA422" s="455"/>
      <c r="AB422" s="455"/>
      <c r="AC422" s="87">
        <f t="shared" si="235"/>
        <v>54420.077005977015</v>
      </c>
      <c r="AD422" s="462"/>
      <c r="AE422" s="461"/>
      <c r="AF422" s="254">
        <f t="shared" si="236"/>
        <v>43265.14</v>
      </c>
      <c r="AG422" s="456"/>
      <c r="AH422" s="457">
        <f t="shared" si="232"/>
        <v>-11154.937005977015</v>
      </c>
      <c r="AI422" s="458">
        <f t="shared" si="237"/>
        <v>-0.20497833923961292</v>
      </c>
      <c r="AJ422" s="462"/>
      <c r="AK422" s="455"/>
      <c r="AL422" s="87">
        <f t="shared" si="238"/>
        <v>50200.78</v>
      </c>
      <c r="AM422" s="459"/>
      <c r="AN422" s="457">
        <f t="shared" si="230"/>
        <v>-6935.6399999999994</v>
      </c>
      <c r="AO422" s="214">
        <f t="shared" si="233"/>
        <v>-0.13815801268426506</v>
      </c>
      <c r="AP422" s="79"/>
      <c r="AQ422" s="537"/>
      <c r="AR422" s="537"/>
      <c r="AS422" s="537"/>
      <c r="AT422" s="537"/>
      <c r="AU422" s="537"/>
      <c r="AV422" s="79"/>
      <c r="AW422" s="79"/>
      <c r="AX422" s="79"/>
      <c r="AY422" s="79"/>
      <c r="AZ422" s="79"/>
      <c r="BA422" s="79"/>
      <c r="BB422" s="79"/>
      <c r="BC422" s="79"/>
      <c r="BD422" s="79"/>
      <c r="BE422" s="79"/>
      <c r="BF422" s="79"/>
      <c r="BG422" s="79"/>
      <c r="BH422" s="79"/>
      <c r="BI422" s="79"/>
    </row>
    <row r="423" spans="1:61" ht="15.75" customHeight="1">
      <c r="A423" s="570" t="s">
        <v>115</v>
      </c>
      <c r="B423" s="2"/>
      <c r="C423" s="79"/>
      <c r="D423" s="79"/>
      <c r="E423" s="79"/>
      <c r="F423" s="79"/>
      <c r="G423" s="79"/>
      <c r="H423" s="79"/>
      <c r="I423" s="79"/>
      <c r="J423" s="79"/>
      <c r="K423" s="1094">
        <f>SUM(K419:K421)</f>
        <v>1245.8399999999999</v>
      </c>
      <c r="L423" s="1089"/>
      <c r="M423" s="1094"/>
      <c r="N423" s="95"/>
      <c r="P423" s="79"/>
      <c r="Q423" s="1269"/>
      <c r="R423" s="79"/>
      <c r="S423" s="79"/>
      <c r="V423" s="280" t="s">
        <v>115</v>
      </c>
      <c r="W423" s="460" t="s">
        <v>218</v>
      </c>
      <c r="X423" s="455"/>
      <c r="Y423" s="455"/>
      <c r="Z423" s="87">
        <f t="shared" si="234"/>
        <v>28269.988941915435</v>
      </c>
      <c r="AA423" s="455"/>
      <c r="AB423" s="455"/>
      <c r="AC423" s="87">
        <f t="shared" si="235"/>
        <v>28269.988941915435</v>
      </c>
      <c r="AD423" s="462"/>
      <c r="AE423" s="461"/>
      <c r="AF423" s="254">
        <f t="shared" si="236"/>
        <v>19158.14</v>
      </c>
      <c r="AG423" s="456"/>
      <c r="AH423" s="457">
        <f t="shared" si="232"/>
        <v>-9111.8489419154357</v>
      </c>
      <c r="AI423" s="458">
        <f t="shared" si="237"/>
        <v>-0.32231526374619307</v>
      </c>
      <c r="AJ423" s="462"/>
      <c r="AK423" s="455"/>
      <c r="AL423" s="87">
        <f t="shared" si="238"/>
        <v>24615.4</v>
      </c>
      <c r="AM423" s="459"/>
      <c r="AN423" s="457">
        <f t="shared" si="230"/>
        <v>-5457.260000000002</v>
      </c>
      <c r="AO423" s="214">
        <f t="shared" si="233"/>
        <v>-0.22170104893684447</v>
      </c>
      <c r="AP423" s="79"/>
      <c r="AQ423" s="537"/>
      <c r="AR423" s="537"/>
      <c r="AS423" s="537"/>
      <c r="AT423" s="537"/>
      <c r="AU423" s="537"/>
      <c r="AV423" s="79"/>
      <c r="AW423" s="79"/>
      <c r="AX423" s="79"/>
      <c r="AY423" s="79"/>
      <c r="AZ423" s="79"/>
      <c r="BA423" s="79"/>
      <c r="BB423" s="79"/>
      <c r="BC423" s="79"/>
      <c r="BD423" s="79"/>
      <c r="BE423" s="79"/>
      <c r="BF423" s="79"/>
      <c r="BG423" s="79"/>
      <c r="BH423" s="79"/>
      <c r="BI423" s="79"/>
    </row>
    <row r="424" spans="1:61" s="570" customFormat="1" ht="15.75" hidden="1" customHeight="1">
      <c r="A424" s="570" t="s">
        <v>42</v>
      </c>
      <c r="B424" s="165"/>
      <c r="C424" s="79"/>
      <c r="D424" s="79"/>
      <c r="E424" s="79"/>
      <c r="F424" s="79"/>
      <c r="G424" s="79"/>
      <c r="H424" s="79"/>
      <c r="I424" s="79"/>
      <c r="J424" s="79"/>
      <c r="K424" s="1094"/>
      <c r="L424" s="1089"/>
      <c r="M424" s="1094"/>
      <c r="N424" s="79"/>
      <c r="P424" s="79"/>
      <c r="Q424" s="1269"/>
      <c r="R424" s="79"/>
      <c r="S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32"/>
        <v>0</v>
      </c>
      <c r="AI424" s="458">
        <f t="shared" ref="AI424:AI426" si="239">IF(AC424=0,0,AH424/AC424)</f>
        <v>0</v>
      </c>
      <c r="AJ424" s="462"/>
      <c r="AK424" s="455"/>
      <c r="AL424" s="87">
        <f>IFERROR(SUMIF($C:$C,$V424,Q:Q),0)</f>
        <v>0</v>
      </c>
      <c r="AM424" s="459"/>
      <c r="AN424" s="457">
        <f t="shared" ref="AN424:AN426" si="240">AF424-AL424</f>
        <v>0</v>
      </c>
      <c r="AO424" s="214">
        <f t="shared" ref="AO424:AO426" si="241">IF(AL424=0,0,AN424/AL424)</f>
        <v>0</v>
      </c>
      <c r="AP424" s="79"/>
      <c r="AQ424" s="537"/>
      <c r="AR424" s="537"/>
      <c r="AS424" s="537"/>
      <c r="AT424" s="537"/>
      <c r="AU424" s="537"/>
      <c r="AV424" s="79"/>
      <c r="AW424" s="79"/>
      <c r="AX424" s="79"/>
      <c r="AY424" s="79"/>
      <c r="AZ424" s="79"/>
      <c r="BA424" s="79"/>
      <c r="BB424" s="79"/>
      <c r="BC424" s="79"/>
      <c r="BD424" s="79"/>
      <c r="BE424" s="79"/>
      <c r="BF424" s="79"/>
      <c r="BG424" s="79"/>
      <c r="BH424" s="79"/>
      <c r="BI424" s="79"/>
    </row>
    <row r="425" spans="1:61" s="570" customFormat="1" ht="15.75" hidden="1" customHeight="1">
      <c r="A425" s="570" t="s">
        <v>42</v>
      </c>
      <c r="B425" s="165"/>
      <c r="C425" s="79"/>
      <c r="D425" s="79"/>
      <c r="E425" s="79"/>
      <c r="F425" s="79"/>
      <c r="G425" s="79"/>
      <c r="H425" s="79"/>
      <c r="I425" s="79"/>
      <c r="J425" s="79"/>
      <c r="K425" s="1094"/>
      <c r="L425" s="1089"/>
      <c r="M425" s="1094"/>
      <c r="N425" s="79"/>
      <c r="P425" s="79"/>
      <c r="Q425" s="1269"/>
      <c r="R425" s="79"/>
      <c r="S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32"/>
        <v>0</v>
      </c>
      <c r="AI425" s="458">
        <f t="shared" si="239"/>
        <v>0</v>
      </c>
      <c r="AJ425" s="462"/>
      <c r="AK425" s="455"/>
      <c r="AL425" s="87">
        <f t="shared" ref="AL425:AL426" si="242">IFERROR(SUMIF($C:$C,$V425,Q:Q),0)</f>
        <v>0</v>
      </c>
      <c r="AM425" s="459"/>
      <c r="AN425" s="457">
        <f t="shared" si="240"/>
        <v>0</v>
      </c>
      <c r="AO425" s="214">
        <f t="shared" si="241"/>
        <v>0</v>
      </c>
      <c r="AP425" s="79"/>
      <c r="AQ425" s="537"/>
      <c r="AR425" s="537"/>
      <c r="AS425" s="537"/>
      <c r="AT425" s="537"/>
      <c r="AU425" s="537"/>
      <c r="AV425" s="79"/>
      <c r="AW425" s="79"/>
      <c r="AX425" s="79"/>
      <c r="AY425" s="79"/>
      <c r="AZ425" s="79"/>
      <c r="BA425" s="79"/>
      <c r="BB425" s="79"/>
      <c r="BC425" s="79"/>
      <c r="BD425" s="79"/>
      <c r="BE425" s="79"/>
      <c r="BF425" s="79"/>
      <c r="BG425" s="79"/>
      <c r="BH425" s="79"/>
      <c r="BI425" s="79"/>
    </row>
    <row r="426" spans="1:61" s="570" customFormat="1" ht="15.75" hidden="1" customHeight="1">
      <c r="A426" s="570" t="s">
        <v>42</v>
      </c>
      <c r="B426" s="165"/>
      <c r="C426" s="79"/>
      <c r="D426" s="79"/>
      <c r="E426" s="79"/>
      <c r="F426" s="79"/>
      <c r="G426" s="79"/>
      <c r="H426" s="79"/>
      <c r="I426" s="79"/>
      <c r="J426" s="79"/>
      <c r="K426" s="1094"/>
      <c r="L426" s="1089"/>
      <c r="M426" s="1094"/>
      <c r="N426" s="79"/>
      <c r="P426" s="79"/>
      <c r="Q426" s="1269"/>
      <c r="R426" s="79"/>
      <c r="S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32"/>
        <v>0</v>
      </c>
      <c r="AI426" s="458">
        <f t="shared" si="239"/>
        <v>0</v>
      </c>
      <c r="AJ426" s="462"/>
      <c r="AK426" s="455"/>
      <c r="AL426" s="87">
        <f t="shared" si="242"/>
        <v>0</v>
      </c>
      <c r="AM426" s="459"/>
      <c r="AN426" s="457">
        <f t="shared" si="240"/>
        <v>0</v>
      </c>
      <c r="AO426" s="214">
        <f t="shared" si="241"/>
        <v>0</v>
      </c>
      <c r="AP426" s="79"/>
      <c r="AQ426" s="537"/>
      <c r="AR426" s="537"/>
      <c r="AS426" s="537"/>
      <c r="AT426" s="537"/>
      <c r="AU426" s="537"/>
      <c r="AV426" s="79"/>
      <c r="AW426" s="79"/>
      <c r="AX426" s="79"/>
      <c r="AY426" s="79"/>
      <c r="AZ426" s="79"/>
      <c r="BA426" s="79"/>
      <c r="BB426" s="79"/>
      <c r="BC426" s="79"/>
      <c r="BD426" s="79"/>
      <c r="BE426" s="79"/>
      <c r="BF426" s="79"/>
      <c r="BG426" s="79"/>
      <c r="BH426" s="79"/>
      <c r="BI426" s="79"/>
    </row>
    <row r="427" spans="1:61" ht="15.75" customHeight="1">
      <c r="A427" s="570" t="s">
        <v>116</v>
      </c>
      <c r="B427" s="2"/>
      <c r="C427" s="79"/>
      <c r="D427" s="79"/>
      <c r="E427" s="79"/>
      <c r="F427" s="79"/>
      <c r="G427" s="79"/>
      <c r="H427" s="79"/>
      <c r="I427" s="79"/>
      <c r="J427" s="23" t="s">
        <v>2901</v>
      </c>
      <c r="K427" s="1094"/>
      <c r="L427" s="1089"/>
      <c r="M427" s="1094"/>
      <c r="N427" s="79"/>
      <c r="P427" s="79"/>
      <c r="Q427" s="1269"/>
      <c r="R427" s="79"/>
      <c r="S427" s="79"/>
      <c r="V427" s="282" t="s">
        <v>116</v>
      </c>
      <c r="W427" s="463" t="s">
        <v>219</v>
      </c>
      <c r="X427" s="445"/>
      <c r="Y427" s="445"/>
      <c r="Z427" s="446">
        <f t="shared" si="234"/>
        <v>34587.24660872305</v>
      </c>
      <c r="AA427" s="445"/>
      <c r="AB427" s="445"/>
      <c r="AC427" s="446">
        <f t="shared" si="235"/>
        <v>34587.24660872305</v>
      </c>
      <c r="AD427" s="465"/>
      <c r="AE427" s="464"/>
      <c r="AF427" s="1022">
        <f t="shared" si="236"/>
        <v>34586.53</v>
      </c>
      <c r="AG427" s="447"/>
      <c r="AH427" s="448">
        <f t="shared" ref="AH427:AH431" si="243">AF427-AC427</f>
        <v>-0.71660872305074008</v>
      </c>
      <c r="AI427" s="466">
        <f t="shared" si="237"/>
        <v>-2.0718871645307792E-5</v>
      </c>
      <c r="AJ427" s="465"/>
      <c r="AK427" s="445"/>
      <c r="AL427" s="446">
        <f t="shared" si="238"/>
        <v>22034.920000000002</v>
      </c>
      <c r="AM427" s="450"/>
      <c r="AN427" s="448">
        <f t="shared" ref="AN427:AN430" si="244">AF427-AL427</f>
        <v>12551.609999999997</v>
      </c>
      <c r="AO427" s="215">
        <f t="shared" ref="AO427:AO430" si="245">IF(AL427=0,0,AN427/AL427)</f>
        <v>0.5696235793004919</v>
      </c>
      <c r="AP427" s="79"/>
      <c r="AQ427" s="537"/>
      <c r="AR427" s="537"/>
      <c r="AS427" s="537"/>
      <c r="AT427" s="537"/>
      <c r="AU427" s="537"/>
      <c r="AV427" s="79"/>
      <c r="AW427" s="79"/>
      <c r="AX427" s="79"/>
      <c r="AY427" s="79"/>
      <c r="AZ427" s="79"/>
      <c r="BA427" s="79"/>
      <c r="BB427" s="79"/>
      <c r="BC427" s="79"/>
      <c r="BD427" s="79"/>
      <c r="BE427" s="79"/>
      <c r="BF427" s="79"/>
      <c r="BG427" s="79"/>
      <c r="BH427" s="79"/>
      <c r="BI427" s="79"/>
    </row>
    <row r="428" spans="1:61" ht="15.75" customHeight="1">
      <c r="A428" s="570" t="s">
        <v>117</v>
      </c>
      <c r="B428" s="2"/>
      <c r="C428" s="79"/>
      <c r="D428" s="79"/>
      <c r="E428" s="79"/>
      <c r="F428" s="79"/>
      <c r="G428" s="79"/>
      <c r="H428" s="79"/>
      <c r="I428" s="79"/>
      <c r="J428" s="23" t="s">
        <v>2897</v>
      </c>
      <c r="K428" s="1094">
        <f>L325</f>
        <v>38.46</v>
      </c>
      <c r="L428" s="1089"/>
      <c r="M428" s="1094">
        <f>K435*$F$409</f>
        <v>2747.6004949470607</v>
      </c>
      <c r="N428" s="1088">
        <f>M428-K428</f>
        <v>2709.1404949470607</v>
      </c>
      <c r="P428" s="79">
        <v>6732</v>
      </c>
      <c r="Q428" s="1269">
        <f>N428</f>
        <v>2709.1404949470607</v>
      </c>
      <c r="R428" s="101">
        <f>N325</f>
        <v>-3344.7969705133796</v>
      </c>
      <c r="S428" s="1265">
        <f t="shared" ref="S428:S430" si="246">Q428+R428</f>
        <v>-635.65647556631893</v>
      </c>
      <c r="V428" s="280" t="s">
        <v>117</v>
      </c>
      <c r="W428" s="460" t="s">
        <v>220</v>
      </c>
      <c r="X428" s="455"/>
      <c r="Y428" s="455"/>
      <c r="Z428" s="87">
        <f t="shared" si="234"/>
        <v>30976.424729045859</v>
      </c>
      <c r="AA428" s="455"/>
      <c r="AB428" s="455"/>
      <c r="AC428" s="87">
        <f t="shared" si="235"/>
        <v>30976.424729045859</v>
      </c>
      <c r="AD428" s="462"/>
      <c r="AE428" s="461"/>
      <c r="AF428" s="254">
        <f t="shared" si="236"/>
        <v>33057.549999999996</v>
      </c>
      <c r="AG428" s="456"/>
      <c r="AH428" s="457">
        <f t="shared" si="243"/>
        <v>2081.1252709541368</v>
      </c>
      <c r="AI428" s="458">
        <f t="shared" si="237"/>
        <v>6.718416631867509E-2</v>
      </c>
      <c r="AJ428" s="462"/>
      <c r="AK428" s="455"/>
      <c r="AL428" s="87">
        <f t="shared" si="238"/>
        <v>31766.530000000002</v>
      </c>
      <c r="AM428" s="459"/>
      <c r="AN428" s="457">
        <f t="shared" si="244"/>
        <v>1291.0199999999932</v>
      </c>
      <c r="AO428" s="214">
        <f t="shared" si="245"/>
        <v>4.0640888381576243E-2</v>
      </c>
      <c r="AP428" s="79"/>
      <c r="AQ428" s="537"/>
      <c r="AR428" s="537"/>
      <c r="AS428" s="537"/>
      <c r="AT428" s="537"/>
      <c r="AU428" s="537"/>
      <c r="AV428" s="79"/>
      <c r="AW428" s="79"/>
      <c r="AX428" s="79"/>
      <c r="AY428" s="79"/>
      <c r="AZ428" s="79"/>
      <c r="BA428" s="79"/>
      <c r="BB428" s="79"/>
      <c r="BC428" s="79"/>
      <c r="BD428" s="79"/>
      <c r="BE428" s="79"/>
      <c r="BF428" s="79"/>
      <c r="BG428" s="79"/>
      <c r="BH428" s="79"/>
      <c r="BI428" s="79"/>
    </row>
    <row r="429" spans="1:61" ht="15.75" customHeight="1">
      <c r="A429" s="570" t="s">
        <v>118</v>
      </c>
      <c r="B429" s="2"/>
      <c r="C429" s="79"/>
      <c r="D429" s="79"/>
      <c r="E429" s="79"/>
      <c r="F429" s="79"/>
      <c r="G429" s="79"/>
      <c r="H429" s="79"/>
      <c r="I429" s="79"/>
      <c r="J429" s="23" t="s">
        <v>2898</v>
      </c>
      <c r="K429" s="1094">
        <f>L326</f>
        <v>1597.81</v>
      </c>
      <c r="L429" s="1089"/>
      <c r="M429" s="1094">
        <f>K436*$F$409</f>
        <v>1598.2503804864814</v>
      </c>
      <c r="N429" s="1088">
        <f>M429-K429</f>
        <v>0.44038048648144468</v>
      </c>
      <c r="P429" s="79">
        <v>6739</v>
      </c>
      <c r="Q429" s="1269">
        <f>N429</f>
        <v>0.44038048648144468</v>
      </c>
      <c r="R429" s="101">
        <f>N326</f>
        <v>-1088.8940648194489</v>
      </c>
      <c r="S429" s="1265">
        <f t="shared" si="246"/>
        <v>-1088.4536843329674</v>
      </c>
      <c r="V429" s="280" t="s">
        <v>118</v>
      </c>
      <c r="W429" s="460" t="s">
        <v>221</v>
      </c>
      <c r="X429" s="455"/>
      <c r="Y429" s="455"/>
      <c r="Z429" s="87">
        <f t="shared" si="234"/>
        <v>24598.925520124656</v>
      </c>
      <c r="AA429" s="455"/>
      <c r="AB429" s="455"/>
      <c r="AC429" s="87">
        <f t="shared" si="235"/>
        <v>24598.925520124656</v>
      </c>
      <c r="AD429" s="462"/>
      <c r="AE429" s="461"/>
      <c r="AF429" s="87">
        <f t="shared" si="236"/>
        <v>19229.230000000003</v>
      </c>
      <c r="AG429" s="456"/>
      <c r="AH429" s="457">
        <f t="shared" si="243"/>
        <v>-5369.6955201246528</v>
      </c>
      <c r="AI429" s="458">
        <f t="shared" si="237"/>
        <v>-0.21828984016930517</v>
      </c>
      <c r="AJ429" s="462"/>
      <c r="AK429" s="455"/>
      <c r="AL429" s="87">
        <f t="shared" si="238"/>
        <v>18505.86</v>
      </c>
      <c r="AM429" s="459"/>
      <c r="AN429" s="457">
        <f t="shared" si="244"/>
        <v>723.37000000000262</v>
      </c>
      <c r="AO429" s="214">
        <f t="shared" si="245"/>
        <v>3.9088699471410818E-2</v>
      </c>
      <c r="AP429" s="79"/>
      <c r="AQ429" s="537"/>
      <c r="AR429" s="537"/>
      <c r="AS429" s="537"/>
      <c r="AT429" s="537"/>
      <c r="AU429" s="537"/>
      <c r="AV429" s="79"/>
      <c r="AW429" s="79"/>
      <c r="AX429" s="79"/>
      <c r="AY429" s="79"/>
      <c r="AZ429" s="79"/>
      <c r="BA429" s="79"/>
      <c r="BB429" s="79"/>
      <c r="BC429" s="79"/>
      <c r="BD429" s="79"/>
      <c r="BE429" s="79"/>
      <c r="BF429" s="79"/>
      <c r="BG429" s="79"/>
      <c r="BH429" s="79"/>
      <c r="BI429" s="79"/>
    </row>
    <row r="430" spans="1:61" ht="15.75" customHeight="1">
      <c r="A430" s="570" t="s">
        <v>119</v>
      </c>
      <c r="B430" s="2"/>
      <c r="C430" s="79"/>
      <c r="D430" s="79"/>
      <c r="E430" s="79"/>
      <c r="F430" s="79"/>
      <c r="G430" s="79"/>
      <c r="H430" s="79"/>
      <c r="I430" s="79"/>
      <c r="J430" s="23" t="s">
        <v>1252</v>
      </c>
      <c r="K430" s="1094">
        <f>L327</f>
        <v>3821.1100000000006</v>
      </c>
      <c r="L430" s="1089"/>
      <c r="M430" s="1094">
        <f>K437*$F$409</f>
        <v>1111.9838016360254</v>
      </c>
      <c r="N430" s="1088">
        <f>M430-K430</f>
        <v>-2709.1261983639752</v>
      </c>
      <c r="P430" s="79">
        <v>6731</v>
      </c>
      <c r="Q430" s="1269">
        <f>N430</f>
        <v>-2709.1261983639752</v>
      </c>
      <c r="R430" s="101">
        <f>N327</f>
        <v>2726.526862480966</v>
      </c>
      <c r="S430" s="1265">
        <f t="shared" si="246"/>
        <v>17.400664116990811</v>
      </c>
      <c r="V430" s="280" t="s">
        <v>119</v>
      </c>
      <c r="W430" s="460"/>
      <c r="X430" s="455"/>
      <c r="Y430" s="455"/>
      <c r="Z430" s="87">
        <f t="shared" si="234"/>
        <v>10021.784471161896</v>
      </c>
      <c r="AA430" s="455"/>
      <c r="AB430" s="455"/>
      <c r="AC430" s="87">
        <f t="shared" si="235"/>
        <v>10021.784471161896</v>
      </c>
      <c r="AD430" s="462"/>
      <c r="AE430" s="461"/>
      <c r="AF430" s="254">
        <f t="shared" si="236"/>
        <v>13378.75</v>
      </c>
      <c r="AG430" s="456"/>
      <c r="AH430" s="457">
        <f t="shared" si="243"/>
        <v>3356.9655288381036</v>
      </c>
      <c r="AI430" s="97">
        <f t="shared" si="237"/>
        <v>0.33496684532559168</v>
      </c>
      <c r="AJ430" s="462"/>
      <c r="AK430" s="455"/>
      <c r="AL430" s="87">
        <f t="shared" si="238"/>
        <v>5020.3100000000004</v>
      </c>
      <c r="AM430" s="459"/>
      <c r="AN430" s="457">
        <f t="shared" si="244"/>
        <v>8358.4399999999987</v>
      </c>
      <c r="AO430" s="214">
        <f t="shared" si="245"/>
        <v>1.664925074347998</v>
      </c>
      <c r="AP430" s="79"/>
      <c r="AQ430" s="537"/>
      <c r="AR430" s="537"/>
      <c r="AS430" s="537"/>
      <c r="AT430" s="537"/>
      <c r="AU430" s="537"/>
      <c r="AV430" s="79"/>
      <c r="AW430" s="79"/>
      <c r="AX430" s="79"/>
      <c r="AY430" s="79"/>
      <c r="AZ430" s="79"/>
      <c r="BA430" s="79"/>
      <c r="BB430" s="79"/>
      <c r="BC430" s="79"/>
      <c r="BD430" s="79"/>
      <c r="BE430" s="79"/>
      <c r="BF430" s="79"/>
      <c r="BG430" s="79"/>
      <c r="BH430" s="79"/>
      <c r="BI430" s="79"/>
    </row>
    <row r="431" spans="1:61" ht="15.75" hidden="1" customHeight="1">
      <c r="A431" s="570" t="s">
        <v>42</v>
      </c>
      <c r="B431" s="2"/>
      <c r="C431" s="23"/>
      <c r="D431" s="23"/>
      <c r="E431" s="23"/>
      <c r="F431" s="23"/>
      <c r="G431" s="23"/>
      <c r="H431" s="23"/>
      <c r="I431" s="23"/>
      <c r="J431" s="23"/>
      <c r="K431" s="1089"/>
      <c r="L431" s="1089"/>
      <c r="M431" s="1089"/>
      <c r="N431" s="1092">
        <f>SUM(N428:N430)</f>
        <v>0.45467706956696929</v>
      </c>
      <c r="P431" s="79"/>
      <c r="Q431" s="958"/>
      <c r="R431" s="79"/>
      <c r="S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43"/>
        <v>0</v>
      </c>
      <c r="AI431" s="458">
        <f t="shared" si="237"/>
        <v>0</v>
      </c>
      <c r="AJ431" s="462"/>
      <c r="AK431" s="455"/>
      <c r="AL431" s="87">
        <f>IFERROR(SUMIF($C:$C,$V431,Q:Q),0)</f>
        <v>0</v>
      </c>
      <c r="AM431" s="459"/>
      <c r="AN431" s="457"/>
      <c r="AO431" s="215"/>
      <c r="AP431" s="79"/>
      <c r="AQ431" s="537"/>
      <c r="AR431" s="537"/>
      <c r="AS431" s="537"/>
      <c r="AT431" s="537"/>
      <c r="AU431" s="537"/>
      <c r="AV431" s="79"/>
      <c r="AW431" s="79"/>
      <c r="AX431" s="79"/>
      <c r="AY431" s="79"/>
      <c r="AZ431" s="79"/>
      <c r="BA431" s="79"/>
      <c r="BB431" s="79"/>
      <c r="BC431" s="79"/>
      <c r="BD431" s="79"/>
      <c r="BE431" s="79"/>
      <c r="BF431" s="79"/>
      <c r="BG431" s="79"/>
      <c r="BH431" s="79"/>
      <c r="BI431" s="79"/>
    </row>
    <row r="432" spans="1:61" ht="15.75" customHeight="1">
      <c r="A432" s="570" t="s">
        <v>120</v>
      </c>
      <c r="B432" s="2"/>
      <c r="C432" s="79"/>
      <c r="D432" s="79"/>
      <c r="E432" s="79"/>
      <c r="F432" s="79"/>
      <c r="G432" s="79"/>
      <c r="H432" s="79"/>
      <c r="I432" s="79"/>
      <c r="J432" s="958"/>
      <c r="K432" s="1192"/>
      <c r="L432" s="1192"/>
      <c r="M432" s="1089">
        <f>SUM(M429:M431)</f>
        <v>2710.2341821225068</v>
      </c>
      <c r="N432" s="1091">
        <f>SUM(N428:N430)</f>
        <v>0.45467706956696929</v>
      </c>
      <c r="P432" s="79"/>
      <c r="Q432" s="958"/>
      <c r="R432" s="79"/>
      <c r="S432" s="79"/>
      <c r="V432" s="467" t="s">
        <v>120</v>
      </c>
      <c r="W432" s="88"/>
      <c r="X432" s="89">
        <f>Z432/Z406</f>
        <v>0.58803582860960146</v>
      </c>
      <c r="Y432" s="88"/>
      <c r="Z432" s="90">
        <f>SUM(Z419:Z431)</f>
        <v>260746.81255901686</v>
      </c>
      <c r="AA432" s="89">
        <f>AC432/AC406</f>
        <v>0.58803582860960146</v>
      </c>
      <c r="AB432" s="88"/>
      <c r="AC432" s="90">
        <f>SUM(AC419:AC431)</f>
        <v>260746.81255901686</v>
      </c>
      <c r="AD432" s="91">
        <f>AF432/AF406</f>
        <v>0.43800976612478726</v>
      </c>
      <c r="AE432" s="98"/>
      <c r="AF432" s="90">
        <f>SUM(AF419:AF431)</f>
        <v>236283.65</v>
      </c>
      <c r="AG432" s="99"/>
      <c r="AH432" s="93">
        <f t="shared" ref="AH432:AH446" si="247">AF432-AC432</f>
        <v>-24463.16255901687</v>
      </c>
      <c r="AI432" s="89">
        <f>AH432/AC432</f>
        <v>-9.3819603464874307E-2</v>
      </c>
      <c r="AJ432" s="91">
        <f>IF($AL$406=0,0,AL432/$AL$406)</f>
        <v>0.708638329211431</v>
      </c>
      <c r="AK432" s="88"/>
      <c r="AL432" s="90">
        <f>SUM(AL419:AL431)</f>
        <v>210762.72999999998</v>
      </c>
      <c r="AM432" s="100"/>
      <c r="AN432" s="93">
        <f t="shared" ref="AN432:AN446" si="248">AF432-AL432</f>
        <v>25520.920000000013</v>
      </c>
      <c r="AO432" s="453">
        <f>IF(AL432=0,0,AN432/AL432)</f>
        <v>0.12108839167152567</v>
      </c>
      <c r="AP432" s="79"/>
      <c r="AQ432" s="537"/>
      <c r="AR432" s="537"/>
      <c r="AS432" s="537"/>
      <c r="AT432" s="537"/>
      <c r="AU432" s="537"/>
      <c r="AV432" s="79"/>
      <c r="AW432" s="79"/>
      <c r="AX432" s="79"/>
      <c r="AY432" s="79"/>
      <c r="AZ432" s="79"/>
      <c r="BA432" s="79"/>
      <c r="BB432" s="79"/>
      <c r="BC432" s="79"/>
      <c r="BD432" s="79"/>
      <c r="BE432" s="79"/>
      <c r="BF432" s="79"/>
      <c r="BG432" s="79"/>
      <c r="BH432" s="79"/>
      <c r="BI432" s="79"/>
    </row>
    <row r="433" spans="1:62" ht="15.75" customHeight="1">
      <c r="A433" s="570" t="s">
        <v>121</v>
      </c>
      <c r="B433" s="2"/>
      <c r="C433" s="79"/>
      <c r="D433" s="79"/>
      <c r="E433" s="79"/>
      <c r="F433" s="79"/>
      <c r="G433" s="79"/>
      <c r="H433" s="79"/>
      <c r="I433" s="79"/>
      <c r="J433" s="79"/>
      <c r="K433" s="1192">
        <f>SUM(K428:K431)</f>
        <v>5457.380000000001</v>
      </c>
      <c r="L433" s="1089"/>
      <c r="M433" s="1098"/>
      <c r="N433" s="95"/>
      <c r="P433" s="79"/>
      <c r="Q433" s="958"/>
      <c r="R433" s="79"/>
      <c r="S433" s="79"/>
      <c r="V433" s="300" t="s">
        <v>121</v>
      </c>
      <c r="W433" s="468" t="s">
        <v>211</v>
      </c>
      <c r="X433" s="469"/>
      <c r="Y433" s="469"/>
      <c r="Z433" s="470">
        <f t="shared" ref="Z433:Z447" si="249">+SUMIF($C:$C,$V433,F:F)</f>
        <v>10644.25</v>
      </c>
      <c r="AA433" s="469"/>
      <c r="AB433" s="469"/>
      <c r="AC433" s="470">
        <f t="shared" ref="AC433:AC447" si="250">+SUMIF($C:$C,$V433,I:I)</f>
        <v>10644.25</v>
      </c>
      <c r="AD433" s="471"/>
      <c r="AE433" s="472"/>
      <c r="AF433" s="248">
        <f t="shared" ref="AF433:AF446" si="251">+SUMIF($C:$C,$V433,L:L)</f>
        <v>10640.73</v>
      </c>
      <c r="AG433" s="471"/>
      <c r="AH433" s="1112">
        <f t="shared" si="247"/>
        <v>-3.5200000000004366</v>
      </c>
      <c r="AI433" s="474">
        <f>IF(AC433=0,0,AH433/AC433)</f>
        <v>-3.3069497616087905E-4</v>
      </c>
      <c r="AJ433" s="471"/>
      <c r="AK433" s="469"/>
      <c r="AL433" s="470">
        <f t="shared" ref="AL433:AL446" si="252">+SUMIF($C:$C,$V433,Q:Q)</f>
        <v>11345.369999999999</v>
      </c>
      <c r="AM433" s="475"/>
      <c r="AN433" s="473">
        <f t="shared" si="248"/>
        <v>-704.63999999999942</v>
      </c>
      <c r="AO433" s="213">
        <f t="shared" ref="AO433:AO446" si="253">IF(AL433=0,0,AN433/AL433)</f>
        <v>-6.2108155132886762E-2</v>
      </c>
      <c r="AP433" s="79"/>
      <c r="AQ433" s="537"/>
      <c r="AR433" s="537"/>
      <c r="AS433" s="537"/>
      <c r="AT433" s="537"/>
      <c r="AU433" s="537"/>
      <c r="AV433" s="79"/>
      <c r="AW433" s="79"/>
      <c r="AX433" s="79"/>
      <c r="AY433" s="79"/>
      <c r="AZ433" s="79"/>
      <c r="BA433" s="79"/>
      <c r="BB433" s="79"/>
      <c r="BC433" s="79"/>
      <c r="BD433" s="79"/>
      <c r="BE433" s="79"/>
      <c r="BF433" s="79"/>
      <c r="BG433" s="79"/>
      <c r="BH433" s="79"/>
      <c r="BI433" s="79"/>
    </row>
    <row r="434" spans="1:62" ht="15.75" customHeight="1">
      <c r="A434" s="570" t="s">
        <v>122</v>
      </c>
      <c r="B434" s="2"/>
      <c r="C434" s="79"/>
      <c r="D434" s="79"/>
      <c r="E434" s="79"/>
      <c r="F434" s="79"/>
      <c r="G434" s="79"/>
      <c r="H434" s="79"/>
      <c r="I434" s="79"/>
      <c r="J434" s="79" t="s">
        <v>1639</v>
      </c>
      <c r="K434" s="1094"/>
      <c r="L434" s="1192"/>
      <c r="M434" s="1094"/>
      <c r="N434" s="1098"/>
      <c r="O434" s="79"/>
      <c r="P434" s="79"/>
      <c r="Q434" s="958"/>
      <c r="R434" s="79"/>
      <c r="S434" s="79"/>
      <c r="V434" s="305" t="s">
        <v>122</v>
      </c>
      <c r="W434" s="460" t="s">
        <v>222</v>
      </c>
      <c r="X434" s="455"/>
      <c r="Y434" s="455"/>
      <c r="Z434" s="87">
        <f t="shared" si="249"/>
        <v>2506.5808325317239</v>
      </c>
      <c r="AA434" s="455"/>
      <c r="AB434" s="455"/>
      <c r="AC434" s="87">
        <f t="shared" si="250"/>
        <v>2506.5808325317239</v>
      </c>
      <c r="AD434" s="462"/>
      <c r="AE434" s="461"/>
      <c r="AF434" s="87">
        <f t="shared" si="251"/>
        <v>2532.54</v>
      </c>
      <c r="AG434" s="456"/>
      <c r="AH434" s="457">
        <f t="shared" si="247"/>
        <v>25.959167468276064</v>
      </c>
      <c r="AI434" s="458">
        <f t="shared" ref="AI434:AI446" si="254">IF(AC434=0,0,AH434/AC434)</f>
        <v>1.0356405479274532E-2</v>
      </c>
      <c r="AJ434" s="462"/>
      <c r="AK434" s="455"/>
      <c r="AL434" s="87">
        <f t="shared" si="252"/>
        <v>324.87</v>
      </c>
      <c r="AM434" s="459"/>
      <c r="AN434" s="457">
        <f t="shared" si="248"/>
        <v>2207.67</v>
      </c>
      <c r="AO434" s="214">
        <f t="shared" si="253"/>
        <v>6.7955489888263001</v>
      </c>
      <c r="AP434" s="79"/>
      <c r="AQ434" s="537"/>
      <c r="AR434" s="537"/>
      <c r="AS434" s="537"/>
      <c r="AT434" s="537"/>
      <c r="AU434" s="537"/>
      <c r="AV434" s="79"/>
      <c r="AW434" s="79"/>
      <c r="AX434" s="79"/>
      <c r="AY434" s="79"/>
      <c r="AZ434" s="79"/>
      <c r="BA434" s="79"/>
      <c r="BB434" s="79"/>
      <c r="BC434" s="79"/>
      <c r="BD434" s="79"/>
      <c r="BE434" s="79"/>
      <c r="BF434" s="79"/>
      <c r="BG434" s="79"/>
      <c r="BH434" s="79"/>
      <c r="BI434" s="79"/>
    </row>
    <row r="435" spans="1:62" ht="15.75" customHeight="1">
      <c r="A435" s="570" t="s">
        <v>123</v>
      </c>
      <c r="B435" s="2"/>
      <c r="C435" s="79"/>
      <c r="D435" s="79"/>
      <c r="E435" s="79"/>
      <c r="F435" s="79"/>
      <c r="G435" s="79"/>
      <c r="H435" s="79"/>
      <c r="I435" s="79"/>
      <c r="J435" s="23" t="s">
        <v>2897</v>
      </c>
      <c r="K435" s="1094">
        <f>K401+K406+K411+K419+K428</f>
        <v>33057.549999999996</v>
      </c>
      <c r="L435" s="1089">
        <f>AF428</f>
        <v>33057.549999999996</v>
      </c>
      <c r="M435" s="1094">
        <f t="shared" ref="M435:N437" si="255">M401+M406+M411+M419+M428</f>
        <v>33057.549999999996</v>
      </c>
      <c r="N435" s="1094">
        <f t="shared" si="255"/>
        <v>0</v>
      </c>
      <c r="O435" s="96"/>
      <c r="P435" s="23" t="s">
        <v>2897</v>
      </c>
      <c r="Q435" s="958"/>
      <c r="R435" s="1094">
        <f t="shared" ref="R435:S437" si="256">R401+R406+R411+R419+R428</f>
        <v>2081.1252709541382</v>
      </c>
      <c r="S435" s="1094">
        <f t="shared" si="256"/>
        <v>2081.1252709541368</v>
      </c>
      <c r="U435" s="1268">
        <f>S435/AC428</f>
        <v>6.718416631867509E-2</v>
      </c>
      <c r="V435" s="306" t="s">
        <v>123</v>
      </c>
      <c r="W435" s="463" t="s">
        <v>223</v>
      </c>
      <c r="X435" s="445"/>
      <c r="Y435" s="445"/>
      <c r="Z435" s="446">
        <f t="shared" si="249"/>
        <v>17680.484444444442</v>
      </c>
      <c r="AA435" s="445"/>
      <c r="AB435" s="445"/>
      <c r="AC435" s="446">
        <f t="shared" si="250"/>
        <v>17680.484444444442</v>
      </c>
      <c r="AD435" s="465"/>
      <c r="AE435" s="464"/>
      <c r="AF435" s="446">
        <f t="shared" si="251"/>
        <v>18185.55</v>
      </c>
      <c r="AG435" s="447"/>
      <c r="AH435" s="448">
        <f t="shared" si="247"/>
        <v>505.06555555555678</v>
      </c>
      <c r="AI435" s="466">
        <f t="shared" si="254"/>
        <v>2.8566273573700542E-2</v>
      </c>
      <c r="AJ435" s="465"/>
      <c r="AK435" s="445"/>
      <c r="AL435" s="446">
        <f t="shared" si="252"/>
        <v>18132.73</v>
      </c>
      <c r="AM435" s="450"/>
      <c r="AN435" s="448">
        <f t="shared" si="248"/>
        <v>52.819999999999709</v>
      </c>
      <c r="AO435" s="451">
        <f t="shared" si="253"/>
        <v>2.9129645673872445E-3</v>
      </c>
      <c r="AP435" s="79"/>
      <c r="AQ435" s="537"/>
      <c r="AR435" s="537"/>
      <c r="AS435" s="537"/>
      <c r="AT435" s="537"/>
      <c r="AU435" s="537"/>
      <c r="AV435" s="79"/>
      <c r="AW435" s="79"/>
      <c r="AX435" s="79"/>
      <c r="AY435" s="79"/>
      <c r="AZ435" s="79"/>
      <c r="BA435" s="79"/>
      <c r="BB435" s="79"/>
      <c r="BC435" s="79"/>
      <c r="BD435" s="79"/>
      <c r="BE435" s="79"/>
      <c r="BF435" s="79"/>
      <c r="BG435" s="79"/>
      <c r="BH435" s="79"/>
      <c r="BI435" s="79"/>
      <c r="BJ435" s="79"/>
    </row>
    <row r="436" spans="1:62" ht="15.75" customHeight="1">
      <c r="A436" s="570" t="s">
        <v>124</v>
      </c>
      <c r="B436" s="2"/>
      <c r="C436" s="79"/>
      <c r="D436" s="79"/>
      <c r="E436" s="79"/>
      <c r="F436" s="79"/>
      <c r="G436" s="79"/>
      <c r="H436" s="79"/>
      <c r="I436" s="79"/>
      <c r="J436" s="23" t="s">
        <v>2898</v>
      </c>
      <c r="K436" s="1094">
        <f>K402+K407+K412+K420+K429</f>
        <v>19229.230000000003</v>
      </c>
      <c r="L436" s="1089">
        <f>AF429</f>
        <v>19229.230000000003</v>
      </c>
      <c r="M436" s="1094">
        <f t="shared" si="255"/>
        <v>19229.230000000003</v>
      </c>
      <c r="N436" s="1094">
        <f t="shared" si="255"/>
        <v>3.5242919693700969E-12</v>
      </c>
      <c r="O436" s="96"/>
      <c r="P436" s="23" t="s">
        <v>2898</v>
      </c>
      <c r="Q436" s="958"/>
      <c r="R436" s="1094">
        <f t="shared" si="256"/>
        <v>-5369.6955201246565</v>
      </c>
      <c r="S436" s="1094">
        <f t="shared" si="256"/>
        <v>-5369.6955201246528</v>
      </c>
      <c r="U436" s="1268">
        <f>S436/AC429</f>
        <v>-0.21828984016930517</v>
      </c>
      <c r="V436" s="305" t="s">
        <v>124</v>
      </c>
      <c r="W436" s="460" t="s">
        <v>224</v>
      </c>
      <c r="X436" s="455"/>
      <c r="Y436" s="455"/>
      <c r="Z436" s="87">
        <f t="shared" si="249"/>
        <v>20034.202416666667</v>
      </c>
      <c r="AA436" s="455"/>
      <c r="AB436" s="455"/>
      <c r="AC436" s="87">
        <f t="shared" si="250"/>
        <v>20034.202416666667</v>
      </c>
      <c r="AD436" s="462"/>
      <c r="AE436" s="461"/>
      <c r="AF436" s="254">
        <f t="shared" si="251"/>
        <v>19984.36</v>
      </c>
      <c r="AG436" s="456"/>
      <c r="AH436" s="457">
        <f t="shared" si="247"/>
        <v>-49.842416666666395</v>
      </c>
      <c r="AI436" s="458">
        <f t="shared" si="254"/>
        <v>-2.4878662813749928E-3</v>
      </c>
      <c r="AJ436" s="462"/>
      <c r="AK436" s="455"/>
      <c r="AL436" s="87">
        <f t="shared" si="252"/>
        <v>17343.57</v>
      </c>
      <c r="AM436" s="459"/>
      <c r="AN436" s="457">
        <f t="shared" si="248"/>
        <v>2640.7900000000009</v>
      </c>
      <c r="AO436" s="214">
        <f t="shared" si="253"/>
        <v>0.15226334601238389</v>
      </c>
      <c r="AP436" s="79"/>
      <c r="AQ436" s="537"/>
      <c r="AR436" s="537"/>
      <c r="AS436" s="537"/>
      <c r="AT436" s="537"/>
      <c r="AU436" s="537"/>
      <c r="AV436" s="79"/>
      <c r="AW436" s="79"/>
      <c r="AX436" s="79"/>
      <c r="AY436" s="79"/>
      <c r="AZ436" s="79"/>
      <c r="BA436" s="79"/>
      <c r="BB436" s="79"/>
      <c r="BC436" s="79"/>
      <c r="BD436" s="79"/>
      <c r="BE436" s="79"/>
      <c r="BF436" s="79"/>
      <c r="BG436" s="79"/>
      <c r="BH436" s="79"/>
      <c r="BI436" s="79"/>
      <c r="BJ436" s="79"/>
    </row>
    <row r="437" spans="1:62" ht="15.75" customHeight="1">
      <c r="A437" s="570" t="s">
        <v>125</v>
      </c>
      <c r="B437" s="2"/>
      <c r="C437" s="79"/>
      <c r="D437" s="79"/>
      <c r="E437" s="79"/>
      <c r="F437" s="79"/>
      <c r="G437" s="79"/>
      <c r="H437" s="79"/>
      <c r="I437" s="79"/>
      <c r="J437" s="23" t="s">
        <v>1252</v>
      </c>
      <c r="K437" s="1094">
        <f>K403+K408+K413+K421+K430</f>
        <v>13378.75</v>
      </c>
      <c r="L437" s="1089">
        <f>AF430</f>
        <v>13378.75</v>
      </c>
      <c r="M437" s="1094">
        <f t="shared" si="255"/>
        <v>13378.75</v>
      </c>
      <c r="N437" s="1094">
        <f t="shared" si="255"/>
        <v>0</v>
      </c>
      <c r="O437" s="96"/>
      <c r="P437" s="23" t="s">
        <v>1252</v>
      </c>
      <c r="Q437" s="958"/>
      <c r="R437" s="1094">
        <f t="shared" si="256"/>
        <v>3356.9655288381027</v>
      </c>
      <c r="S437" s="1094">
        <f t="shared" si="256"/>
        <v>3356.9655288381032</v>
      </c>
      <c r="U437" s="1268">
        <f>S437/AC430</f>
        <v>0.33496684532559162</v>
      </c>
      <c r="V437" s="305" t="s">
        <v>125</v>
      </c>
      <c r="W437" s="460" t="s">
        <v>225</v>
      </c>
      <c r="X437" s="455"/>
      <c r="Y437" s="455"/>
      <c r="Z437" s="87">
        <f t="shared" si="249"/>
        <v>2475.4431250000002</v>
      </c>
      <c r="AA437" s="455"/>
      <c r="AB437" s="455"/>
      <c r="AC437" s="87">
        <f t="shared" si="250"/>
        <v>2475.4431250000002</v>
      </c>
      <c r="AD437" s="462"/>
      <c r="AE437" s="461"/>
      <c r="AF437" s="87">
        <f t="shared" si="251"/>
        <v>917.97</v>
      </c>
      <c r="AG437" s="456"/>
      <c r="AH437" s="457">
        <f t="shared" si="247"/>
        <v>-1557.4731250000002</v>
      </c>
      <c r="AI437" s="458">
        <f t="shared" si="254"/>
        <v>-0.62916942395919517</v>
      </c>
      <c r="AJ437" s="462"/>
      <c r="AK437" s="455"/>
      <c r="AL437" s="87">
        <f t="shared" si="252"/>
        <v>230.06</v>
      </c>
      <c r="AM437" s="459"/>
      <c r="AN437" s="457">
        <f t="shared" si="248"/>
        <v>687.91000000000008</v>
      </c>
      <c r="AO437" s="214">
        <f t="shared" si="253"/>
        <v>2.9901330087803184</v>
      </c>
      <c r="AP437" s="79"/>
      <c r="AQ437" s="537"/>
      <c r="AR437" s="537"/>
      <c r="AS437" s="537"/>
      <c r="AT437" s="537"/>
      <c r="AU437" s="537"/>
      <c r="AV437" s="79"/>
      <c r="AW437" s="79"/>
      <c r="AX437" s="79"/>
      <c r="AY437" s="79"/>
      <c r="AZ437" s="79"/>
      <c r="BA437" s="79"/>
      <c r="BB437" s="79"/>
      <c r="BC437" s="79"/>
      <c r="BD437" s="79"/>
      <c r="BE437" s="79"/>
      <c r="BF437" s="79"/>
      <c r="BG437" s="79"/>
      <c r="BH437" s="79"/>
      <c r="BI437" s="79"/>
      <c r="BJ437" s="79"/>
    </row>
    <row r="438" spans="1:62" ht="15.75" customHeight="1">
      <c r="A438" s="570" t="s">
        <v>126</v>
      </c>
      <c r="B438" s="2"/>
      <c r="C438" s="79"/>
      <c r="D438" s="79"/>
      <c r="E438" s="79"/>
      <c r="F438" s="79"/>
      <c r="G438" s="79"/>
      <c r="H438" s="79"/>
      <c r="I438" s="79"/>
      <c r="J438" s="23"/>
      <c r="K438" s="1089"/>
      <c r="L438" s="1089"/>
      <c r="M438" s="1089"/>
      <c r="N438" s="1098"/>
      <c r="O438" s="95"/>
      <c r="P438" s="79"/>
      <c r="Q438" s="958"/>
      <c r="R438" s="79"/>
      <c r="S438" s="79"/>
      <c r="V438" s="305" t="s">
        <v>126</v>
      </c>
      <c r="W438" s="460" t="s">
        <v>226</v>
      </c>
      <c r="X438" s="455"/>
      <c r="Y438" s="455"/>
      <c r="Z438" s="87">
        <f t="shared" si="249"/>
        <v>20117.604355555559</v>
      </c>
      <c r="AA438" s="455"/>
      <c r="AB438" s="455"/>
      <c r="AC438" s="87">
        <f t="shared" si="250"/>
        <v>20117.604355555559</v>
      </c>
      <c r="AD438" s="462"/>
      <c r="AE438" s="461"/>
      <c r="AF438" s="254">
        <f t="shared" si="251"/>
        <v>18824.919999999998</v>
      </c>
      <c r="AG438" s="456"/>
      <c r="AH438" s="457">
        <f t="shared" si="247"/>
        <v>-1292.6843555555606</v>
      </c>
      <c r="AI438" s="458">
        <f t="shared" si="254"/>
        <v>-6.4256376291572742E-2</v>
      </c>
      <c r="AJ438" s="462"/>
      <c r="AK438" s="455"/>
      <c r="AL438" s="87">
        <f t="shared" si="252"/>
        <v>13891.41</v>
      </c>
      <c r="AM438" s="459"/>
      <c r="AN438" s="457">
        <f t="shared" si="248"/>
        <v>4933.5099999999984</v>
      </c>
      <c r="AO438" s="214">
        <f t="shared" si="253"/>
        <v>0.35514825348902657</v>
      </c>
      <c r="AP438" s="79"/>
      <c r="AQ438" s="537"/>
      <c r="AR438" s="537"/>
      <c r="AS438" s="537"/>
      <c r="AT438" s="537"/>
      <c r="AU438" s="537"/>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958"/>
      <c r="K439" s="1192">
        <f>SUM(K435:K438)</f>
        <v>65665.53</v>
      </c>
      <c r="L439" s="1089"/>
      <c r="M439" s="1094"/>
      <c r="N439" s="1098"/>
      <c r="O439" s="79"/>
      <c r="P439" s="79"/>
      <c r="Q439" s="958"/>
      <c r="R439" s="79"/>
      <c r="S439" s="79"/>
      <c r="V439" s="688" t="s">
        <v>1993</v>
      </c>
      <c r="W439" s="689"/>
      <c r="X439" s="690"/>
      <c r="Y439" s="690"/>
      <c r="Z439" s="691">
        <f t="shared" si="249"/>
        <v>0</v>
      </c>
      <c r="AA439" s="690"/>
      <c r="AB439" s="690"/>
      <c r="AC439" s="691">
        <f t="shared" si="250"/>
        <v>0</v>
      </c>
      <c r="AD439" s="692"/>
      <c r="AE439" s="693"/>
      <c r="AF439" s="691">
        <f t="shared" si="251"/>
        <v>0</v>
      </c>
      <c r="AG439" s="694"/>
      <c r="AH439" s="695">
        <f t="shared" ref="AH439" si="257">AF439-AC439</f>
        <v>0</v>
      </c>
      <c r="AI439" s="696">
        <f t="shared" ref="AI439" si="258">IF(AC439=0,0,AH439/AC439)</f>
        <v>0</v>
      </c>
      <c r="AJ439" s="692"/>
      <c r="AK439" s="690"/>
      <c r="AL439" s="691">
        <f t="shared" si="252"/>
        <v>0</v>
      </c>
      <c r="AM439" s="697"/>
      <c r="AN439" s="695">
        <f t="shared" ref="AN439" si="259">AF439-AL439</f>
        <v>0</v>
      </c>
      <c r="AO439" s="698">
        <f t="shared" ref="AO439" si="260">IF(AL439=0,0,AN439/AL439)</f>
        <v>0</v>
      </c>
      <c r="AP439" s="79"/>
      <c r="AQ439" s="537"/>
      <c r="AR439" s="537"/>
      <c r="AS439" s="537"/>
      <c r="AT439" s="537"/>
      <c r="AU439" s="537"/>
      <c r="AV439" s="79"/>
      <c r="AW439" s="79"/>
      <c r="AX439" s="79"/>
      <c r="AY439" s="79"/>
      <c r="AZ439" s="79"/>
      <c r="BA439" s="79"/>
      <c r="BB439" s="79"/>
      <c r="BC439" s="79"/>
      <c r="BD439" s="79"/>
      <c r="BE439" s="79"/>
      <c r="BF439" s="79"/>
      <c r="BG439" s="79"/>
      <c r="BH439" s="79"/>
      <c r="BI439" s="79"/>
      <c r="BJ439" s="79"/>
    </row>
    <row r="440" spans="1:62" ht="15.75" customHeight="1">
      <c r="A440" s="570" t="s">
        <v>127</v>
      </c>
      <c r="B440" s="2"/>
      <c r="C440" s="79"/>
      <c r="D440" s="79"/>
      <c r="E440" s="79"/>
      <c r="F440" s="79"/>
      <c r="G440" s="79"/>
      <c r="H440" s="79"/>
      <c r="I440" s="79"/>
      <c r="J440" s="79"/>
      <c r="K440" s="1095">
        <f>K439/E410</f>
        <v>0.23636546885492082</v>
      </c>
      <c r="L440" s="79"/>
      <c r="M440" s="79"/>
      <c r="N440" s="102"/>
      <c r="O440" s="101"/>
      <c r="P440" s="79"/>
      <c r="Q440" s="79"/>
      <c r="R440" s="79"/>
      <c r="S440" s="79"/>
      <c r="V440" s="305" t="s">
        <v>127</v>
      </c>
      <c r="W440" s="460" t="s">
        <v>227</v>
      </c>
      <c r="X440" s="455"/>
      <c r="Y440" s="461"/>
      <c r="Z440" s="87">
        <f t="shared" si="249"/>
        <v>878.89702940367886</v>
      </c>
      <c r="AA440" s="455"/>
      <c r="AB440" s="461"/>
      <c r="AC440" s="87">
        <f t="shared" si="250"/>
        <v>878.89702940367886</v>
      </c>
      <c r="AD440" s="462"/>
      <c r="AE440" s="461"/>
      <c r="AF440" s="254">
        <f t="shared" si="251"/>
        <v>2453.5699999999997</v>
      </c>
      <c r="AG440" s="456"/>
      <c r="AH440" s="457">
        <f t="shared" si="247"/>
        <v>1574.6729705963207</v>
      </c>
      <c r="AI440" s="458">
        <f t="shared" si="254"/>
        <v>1.7916467093587944</v>
      </c>
      <c r="AJ440" s="462"/>
      <c r="AK440" s="455"/>
      <c r="AL440" s="87">
        <f t="shared" si="252"/>
        <v>2332.67</v>
      </c>
      <c r="AM440" s="459"/>
      <c r="AN440" s="457">
        <f t="shared" si="248"/>
        <v>120.89999999999964</v>
      </c>
      <c r="AO440" s="214">
        <f t="shared" si="253"/>
        <v>5.1829019964246818E-2</v>
      </c>
      <c r="AP440" s="79"/>
      <c r="AQ440" s="537"/>
      <c r="AR440" s="537"/>
      <c r="AS440" s="537"/>
      <c r="AT440" s="537"/>
      <c r="AU440" s="537"/>
      <c r="AV440" s="79"/>
      <c r="AW440" s="79"/>
      <c r="AX440" s="79"/>
      <c r="AY440" s="79"/>
      <c r="AZ440" s="79"/>
      <c r="BA440" s="79"/>
      <c r="BB440" s="79"/>
      <c r="BC440" s="79"/>
      <c r="BD440" s="79"/>
      <c r="BE440" s="79"/>
      <c r="BF440" s="79"/>
      <c r="BG440" s="79"/>
      <c r="BH440" s="79"/>
      <c r="BI440" s="79"/>
      <c r="BJ440" s="79"/>
    </row>
    <row r="441" spans="1:62" ht="15.75" customHeight="1">
      <c r="A441" s="570" t="s">
        <v>128</v>
      </c>
      <c r="B441" s="2"/>
      <c r="C441" s="79"/>
      <c r="D441" s="79"/>
      <c r="E441" s="79"/>
      <c r="F441" s="79"/>
      <c r="G441" s="79"/>
      <c r="H441" s="79"/>
      <c r="I441" s="79"/>
      <c r="J441" s="79"/>
      <c r="K441" s="79"/>
      <c r="L441" s="79"/>
      <c r="M441" s="79"/>
      <c r="N441" s="79"/>
      <c r="P441" s="101"/>
      <c r="R441" s="79"/>
      <c r="S441" s="79"/>
      <c r="U441" s="79"/>
      <c r="V441" s="305" t="s">
        <v>128</v>
      </c>
      <c r="W441" s="460" t="s">
        <v>228</v>
      </c>
      <c r="X441" s="455"/>
      <c r="Y441" s="455"/>
      <c r="Z441" s="87">
        <f t="shared" si="249"/>
        <v>467.02277717171074</v>
      </c>
      <c r="AA441" s="455"/>
      <c r="AB441" s="455"/>
      <c r="AC441" s="87">
        <f t="shared" si="250"/>
        <v>467.02277717171074</v>
      </c>
      <c r="AD441" s="462"/>
      <c r="AE441" s="461"/>
      <c r="AF441" s="87">
        <f t="shared" si="251"/>
        <v>635.27</v>
      </c>
      <c r="AG441" s="456"/>
      <c r="AH441" s="457">
        <f t="shared" si="247"/>
        <v>168.24722282828924</v>
      </c>
      <c r="AI441" s="97">
        <f t="shared" si="254"/>
        <v>0.3602548549070651</v>
      </c>
      <c r="AJ441" s="462"/>
      <c r="AK441" s="455"/>
      <c r="AL441" s="87">
        <f t="shared" si="252"/>
        <v>509.73</v>
      </c>
      <c r="AM441" s="459"/>
      <c r="AN441" s="457">
        <f t="shared" si="248"/>
        <v>125.53999999999996</v>
      </c>
      <c r="AO441" s="214">
        <f t="shared" si="253"/>
        <v>0.24628725011280475</v>
      </c>
      <c r="AP441" s="79"/>
      <c r="AQ441" s="537"/>
      <c r="AR441" s="537"/>
      <c r="AS441" s="537"/>
      <c r="AT441" s="537"/>
      <c r="AU441" s="537"/>
      <c r="AV441" s="79"/>
      <c r="AW441" s="79"/>
      <c r="AX441" s="79"/>
      <c r="AY441" s="79"/>
      <c r="AZ441" s="79"/>
      <c r="BA441" s="79"/>
      <c r="BB441" s="79"/>
      <c r="BC441" s="79"/>
      <c r="BD441" s="79"/>
      <c r="BE441" s="79"/>
      <c r="BF441" s="79"/>
      <c r="BG441" s="79"/>
      <c r="BH441" s="79"/>
      <c r="BI441" s="79"/>
      <c r="BJ441" s="79"/>
    </row>
    <row r="442" spans="1:62" ht="15.75" customHeight="1">
      <c r="A442" s="570" t="s">
        <v>129</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9"/>
        <v>2040.2009999999998</v>
      </c>
      <c r="AA442" s="455"/>
      <c r="AB442" s="455"/>
      <c r="AC442" s="87">
        <f t="shared" si="250"/>
        <v>2040.2009999999998</v>
      </c>
      <c r="AD442" s="462"/>
      <c r="AE442" s="461"/>
      <c r="AF442" s="254">
        <f t="shared" si="251"/>
        <v>2643.5</v>
      </c>
      <c r="AG442" s="456"/>
      <c r="AH442" s="457">
        <f t="shared" si="247"/>
        <v>603.29900000000021</v>
      </c>
      <c r="AI442" s="458">
        <f t="shared" si="254"/>
        <v>0.29570566821602395</v>
      </c>
      <c r="AJ442" s="462"/>
      <c r="AK442" s="455"/>
      <c r="AL442" s="87">
        <f t="shared" si="252"/>
        <v>1007.3100000000001</v>
      </c>
      <c r="AM442" s="459"/>
      <c r="AN442" s="457">
        <f t="shared" si="248"/>
        <v>1636.19</v>
      </c>
      <c r="AO442" s="214">
        <f t="shared" si="253"/>
        <v>1.6243162482254718</v>
      </c>
      <c r="AP442" s="79"/>
      <c r="AQ442" s="537"/>
      <c r="AR442" s="537"/>
      <c r="AS442" s="537"/>
      <c r="AT442" s="537"/>
      <c r="AU442" s="537"/>
      <c r="AV442" s="79"/>
      <c r="AW442" s="79"/>
      <c r="AX442" s="79"/>
      <c r="AY442" s="79"/>
      <c r="AZ442" s="79"/>
      <c r="BA442" s="79"/>
      <c r="BB442" s="79"/>
      <c r="BC442" s="79"/>
      <c r="BD442" s="79"/>
      <c r="BE442" s="79"/>
      <c r="BF442" s="79"/>
      <c r="BG442" s="79"/>
      <c r="BH442" s="79"/>
      <c r="BI442" s="79"/>
      <c r="BJ442" s="79"/>
    </row>
    <row r="443" spans="1:62" ht="15.75" customHeight="1">
      <c r="A443" s="570" t="s">
        <v>130</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9"/>
        <v>942.07664583333337</v>
      </c>
      <c r="AA443" s="455"/>
      <c r="AB443" s="455"/>
      <c r="AC443" s="87">
        <f t="shared" si="250"/>
        <v>942.07664583333337</v>
      </c>
      <c r="AD443" s="462"/>
      <c r="AE443" s="461"/>
      <c r="AF443" s="87">
        <f t="shared" si="251"/>
        <v>674.38</v>
      </c>
      <c r="AG443" s="456"/>
      <c r="AH443" s="457">
        <f t="shared" si="247"/>
        <v>-267.69664583333338</v>
      </c>
      <c r="AI443" s="97">
        <f t="shared" si="254"/>
        <v>-0.28415590920050543</v>
      </c>
      <c r="AJ443" s="462"/>
      <c r="AK443" s="455"/>
      <c r="AL443" s="87">
        <f t="shared" si="252"/>
        <v>1363.01</v>
      </c>
      <c r="AM443" s="459"/>
      <c r="AN443" s="457">
        <f t="shared" si="248"/>
        <v>-688.63</v>
      </c>
      <c r="AO443" s="214">
        <f t="shared" si="253"/>
        <v>-0.50522740111958098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
        <v>131</v>
      </c>
      <c r="B444" s="2"/>
      <c r="C444" s="79"/>
      <c r="D444" s="79"/>
      <c r="E444" s="79"/>
      <c r="F444" s="79"/>
      <c r="G444" s="79" t="s">
        <v>3299</v>
      </c>
      <c r="H444" s="79"/>
      <c r="I444" s="79"/>
      <c r="J444" s="79"/>
      <c r="K444" s="79"/>
      <c r="L444" s="79"/>
      <c r="M444" s="79"/>
      <c r="N444" s="79"/>
      <c r="O444" s="79"/>
      <c r="P444" s="79"/>
      <c r="Q444" s="101"/>
      <c r="S444" s="79"/>
      <c r="T444" s="79"/>
      <c r="U444" s="79"/>
      <c r="V444" s="305" t="s">
        <v>131</v>
      </c>
      <c r="W444" s="460" t="s">
        <v>231</v>
      </c>
      <c r="X444" s="455"/>
      <c r="Y444" s="455"/>
      <c r="Z444" s="87">
        <f t="shared" si="249"/>
        <v>502.86585416666657</v>
      </c>
      <c r="AA444" s="455"/>
      <c r="AB444" s="455"/>
      <c r="AC444" s="87">
        <f t="shared" si="250"/>
        <v>502.86585416666657</v>
      </c>
      <c r="AD444" s="462"/>
      <c r="AE444" s="461"/>
      <c r="AF444" s="87">
        <f t="shared" si="251"/>
        <v>85.190000000000012</v>
      </c>
      <c r="AG444" s="456"/>
      <c r="AH444" s="457">
        <f t="shared" si="247"/>
        <v>-417.67585416666657</v>
      </c>
      <c r="AI444" s="458">
        <f t="shared" si="254"/>
        <v>-0.83059100296007538</v>
      </c>
      <c r="AJ444" s="462"/>
      <c r="AK444" s="455"/>
      <c r="AL444" s="87">
        <f t="shared" si="252"/>
        <v>183.03</v>
      </c>
      <c r="AM444" s="459"/>
      <c r="AN444" s="457">
        <f t="shared" si="248"/>
        <v>-97.839999999999989</v>
      </c>
      <c r="AO444" s="214">
        <f t="shared" si="253"/>
        <v>-0.53455717641916622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
        <v>132</v>
      </c>
      <c r="B445" s="2"/>
      <c r="C445" s="79"/>
      <c r="D445" s="79"/>
      <c r="E445" s="79"/>
      <c r="F445" s="79"/>
      <c r="G445" s="79">
        <v>1</v>
      </c>
      <c r="H445" s="79"/>
      <c r="I445" s="101">
        <f>I232+I288+I352</f>
        <v>34277.011734259984</v>
      </c>
      <c r="J445" s="101"/>
      <c r="K445" s="79"/>
      <c r="L445" s="101">
        <f>L232+L288+L352</f>
        <v>53572.290000000008</v>
      </c>
      <c r="M445" s="79">
        <f>L445/I445</f>
        <v>1.5629218327236598</v>
      </c>
      <c r="N445" s="79"/>
      <c r="O445" s="79"/>
      <c r="P445" s="79"/>
      <c r="Q445" s="101"/>
      <c r="R445" s="79"/>
      <c r="S445" s="79"/>
      <c r="T445" s="79"/>
      <c r="U445" s="79"/>
      <c r="V445" s="305" t="s">
        <v>132</v>
      </c>
      <c r="W445" s="460" t="s">
        <v>232</v>
      </c>
      <c r="X445" s="455"/>
      <c r="Y445" s="461"/>
      <c r="Z445" s="87">
        <f t="shared" si="249"/>
        <v>2425.729979166666</v>
      </c>
      <c r="AA445" s="455"/>
      <c r="AB445" s="461"/>
      <c r="AC445" s="87">
        <f t="shared" si="250"/>
        <v>2425.729979166666</v>
      </c>
      <c r="AD445" s="462"/>
      <c r="AE445" s="461"/>
      <c r="AF445" s="254">
        <f t="shared" si="251"/>
        <v>1035.6199999999999</v>
      </c>
      <c r="AG445" s="456"/>
      <c r="AH445" s="457">
        <f t="shared" si="247"/>
        <v>-1390.1099791666661</v>
      </c>
      <c r="AI445" s="97">
        <f t="shared" si="254"/>
        <v>-0.57306872203649961</v>
      </c>
      <c r="AJ445" s="462"/>
      <c r="AK445" s="455"/>
      <c r="AL445" s="87">
        <f t="shared" si="252"/>
        <v>788.43</v>
      </c>
      <c r="AM445" s="459"/>
      <c r="AN445" s="457">
        <f t="shared" si="248"/>
        <v>247.18999999999994</v>
      </c>
      <c r="AO445" s="214">
        <f t="shared" si="253"/>
        <v>0.31352180916504946</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
        <v>133</v>
      </c>
      <c r="B446" s="2"/>
      <c r="C446" s="79"/>
      <c r="D446" s="79"/>
      <c r="E446" s="79"/>
      <c r="F446" s="79"/>
      <c r="G446" s="79">
        <v>2</v>
      </c>
      <c r="H446" s="79"/>
      <c r="I446" s="1264">
        <f>I171+I174+I177</f>
        <v>125590.3842782304</v>
      </c>
      <c r="J446" s="79"/>
      <c r="K446" s="79"/>
      <c r="L446" s="1264">
        <f>L171+L174+L177</f>
        <v>124845.45000000001</v>
      </c>
      <c r="M446" s="79">
        <f>L446/I446</f>
        <v>0.99406854049765403</v>
      </c>
      <c r="N446" s="79"/>
      <c r="O446" s="79"/>
      <c r="P446" s="79"/>
      <c r="Q446" s="101"/>
      <c r="R446" s="79"/>
      <c r="S446" s="79"/>
      <c r="T446" s="79"/>
      <c r="U446" s="79"/>
      <c r="V446" s="305" t="s">
        <v>133</v>
      </c>
      <c r="W446" s="460" t="s">
        <v>233</v>
      </c>
      <c r="X446" s="455"/>
      <c r="Y446" s="461"/>
      <c r="Z446" s="87">
        <f t="shared" si="249"/>
        <v>3603.9258333333332</v>
      </c>
      <c r="AA446" s="455"/>
      <c r="AB446" s="461"/>
      <c r="AC446" s="87">
        <f t="shared" si="250"/>
        <v>3603.9258333333332</v>
      </c>
      <c r="AD446" s="462"/>
      <c r="AE446" s="461"/>
      <c r="AF446" s="87">
        <f t="shared" si="251"/>
        <v>825.45999999999992</v>
      </c>
      <c r="AG446" s="456"/>
      <c r="AH446" s="457">
        <f t="shared" si="247"/>
        <v>-2778.4658333333332</v>
      </c>
      <c r="AI446" s="458">
        <f t="shared" si="254"/>
        <v>-0.77095533088800616</v>
      </c>
      <c r="AJ446" s="462"/>
      <c r="AK446" s="455"/>
      <c r="AL446" s="87">
        <f t="shared" si="252"/>
        <v>1271.0400000000002</v>
      </c>
      <c r="AM446" s="459"/>
      <c r="AN446" s="457">
        <f t="shared" si="248"/>
        <v>-445.58000000000027</v>
      </c>
      <c r="AO446" s="214">
        <f t="shared" si="253"/>
        <v>-0.35056331822759329</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
        <v>134</v>
      </c>
      <c r="B447" s="165"/>
      <c r="C447" s="79"/>
      <c r="D447" s="79"/>
      <c r="E447" s="79"/>
      <c r="F447" s="79"/>
      <c r="G447" s="79">
        <v>3</v>
      </c>
      <c r="H447" s="79"/>
      <c r="I447" s="101">
        <f>+I313</f>
        <v>95761.588783592684</v>
      </c>
      <c r="J447" s="79"/>
      <c r="K447" s="79"/>
      <c r="L447" s="101">
        <f>+L313</f>
        <v>97450.820000000022</v>
      </c>
      <c r="M447" s="79">
        <f>L447/I447</f>
        <v>1.0176399664820177</v>
      </c>
      <c r="N447" s="79"/>
      <c r="O447" s="79"/>
      <c r="P447" s="79"/>
      <c r="Q447" s="101"/>
      <c r="R447" s="79"/>
      <c r="S447" s="79"/>
      <c r="T447" s="79"/>
      <c r="U447" s="79"/>
      <c r="V447" s="305" t="s">
        <v>134</v>
      </c>
      <c r="W447" s="460" t="s">
        <v>234</v>
      </c>
      <c r="X447" s="455"/>
      <c r="Y447" s="461"/>
      <c r="Z447" s="87">
        <f t="shared" si="249"/>
        <v>5260.1164656443607</v>
      </c>
      <c r="AA447" s="455"/>
      <c r="AB447" s="461"/>
      <c r="AC447" s="87">
        <f t="shared" si="250"/>
        <v>5260.1164656443607</v>
      </c>
      <c r="AD447" s="462"/>
      <c r="AE447" s="461"/>
      <c r="AF447" s="1022">
        <f>SUMIFS(BV_Data_An_Cour!$O:$O,BV_Data_An_Cour!$V:$V,$V447)</f>
        <v>4981</v>
      </c>
      <c r="AG447" s="456"/>
      <c r="AH447" s="457">
        <f t="shared" ref="AH447:AH450" si="261">AF447-AC447</f>
        <v>-279.11646564436069</v>
      </c>
      <c r="AI447" s="458">
        <f t="shared" ref="AI447:AI450" si="262">IF(AC447=0,0,AH447/AC447)</f>
        <v>-5.3062791949069349E-2</v>
      </c>
      <c r="AJ447" s="462"/>
      <c r="AK447" s="455"/>
      <c r="AL447" s="254">
        <f>SUMIFS(BV_Data_An_Prec!$O:$O,BV_Data_An_Prec!$V:$V,$V447)</f>
        <v>4281.22</v>
      </c>
      <c r="AM447" s="459"/>
      <c r="AN447" s="457">
        <f t="shared" ref="AN447:AN450" si="263">AF447-AL447</f>
        <v>699.77999999999975</v>
      </c>
      <c r="AO447" s="214">
        <f t="shared" ref="AO447:AO450" si="264">IF(AL447=0,0,AN447/AL447)</f>
        <v>0.16345340814067011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
        <v>42</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65">IFERROR(SUMIF($C:$C,$V448,F:F),0)</f>
        <v>0</v>
      </c>
      <c r="AA448" s="455"/>
      <c r="AB448" s="455"/>
      <c r="AC448" s="87">
        <f t="shared" ref="AC448:AC450" si="266">IFERROR(SUMIF($C:$C,$V448,I:I),0)</f>
        <v>0</v>
      </c>
      <c r="AD448" s="462"/>
      <c r="AE448" s="461"/>
      <c r="AF448" s="87">
        <f t="shared" ref="AF448:AF450" si="267">IFERROR(SUMIF($C:$C,$V448,L:L),0)</f>
        <v>0</v>
      </c>
      <c r="AG448" s="456"/>
      <c r="AH448" s="457">
        <f t="shared" si="261"/>
        <v>0</v>
      </c>
      <c r="AI448" s="458">
        <f t="shared" si="262"/>
        <v>0</v>
      </c>
      <c r="AJ448" s="462"/>
      <c r="AK448" s="455"/>
      <c r="AL448" s="87">
        <f t="shared" ref="AL448:AL450" si="268">IFERROR(SUMIF($C:$C,$V448,Q:Q),0)</f>
        <v>0</v>
      </c>
      <c r="AM448" s="459"/>
      <c r="AN448" s="457">
        <f t="shared" si="263"/>
        <v>0</v>
      </c>
      <c r="AO448" s="214">
        <f t="shared" si="26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
        <v>42</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65"/>
        <v>0</v>
      </c>
      <c r="AA449" s="455"/>
      <c r="AB449" s="455"/>
      <c r="AC449" s="87">
        <f t="shared" si="266"/>
        <v>0</v>
      </c>
      <c r="AD449" s="462"/>
      <c r="AE449" s="461"/>
      <c r="AF449" s="87">
        <f t="shared" si="267"/>
        <v>0</v>
      </c>
      <c r="AG449" s="456"/>
      <c r="AH449" s="457">
        <f t="shared" si="261"/>
        <v>0</v>
      </c>
      <c r="AI449" s="458">
        <f t="shared" si="262"/>
        <v>0</v>
      </c>
      <c r="AJ449" s="462"/>
      <c r="AK449" s="455"/>
      <c r="AL449" s="87">
        <f t="shared" si="268"/>
        <v>0</v>
      </c>
      <c r="AM449" s="459"/>
      <c r="AN449" s="457">
        <f t="shared" si="263"/>
        <v>0</v>
      </c>
      <c r="AO449" s="214">
        <f t="shared" si="26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
        <v>42</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65"/>
        <v>0</v>
      </c>
      <c r="AA450" s="455"/>
      <c r="AB450" s="455"/>
      <c r="AC450" s="87">
        <f t="shared" si="266"/>
        <v>0</v>
      </c>
      <c r="AD450" s="462"/>
      <c r="AE450" s="461"/>
      <c r="AF450" s="87">
        <f t="shared" si="267"/>
        <v>0</v>
      </c>
      <c r="AG450" s="456"/>
      <c r="AH450" s="457">
        <f t="shared" si="261"/>
        <v>0</v>
      </c>
      <c r="AI450" s="458">
        <f t="shared" si="262"/>
        <v>0</v>
      </c>
      <c r="AJ450" s="462"/>
      <c r="AK450" s="455"/>
      <c r="AL450" s="87">
        <f t="shared" si="268"/>
        <v>0</v>
      </c>
      <c r="AM450" s="459"/>
      <c r="AN450" s="457">
        <f t="shared" si="263"/>
        <v>0</v>
      </c>
      <c r="AO450" s="214">
        <f t="shared" si="26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
        <v>135</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0.2020193329868584</v>
      </c>
      <c r="Y451" s="88"/>
      <c r="Z451" s="90">
        <f>+SUM(Z433:Z450)</f>
        <v>89579.400758918127</v>
      </c>
      <c r="AA451" s="89">
        <f>AC451/+AC406</f>
        <v>0.2020193329868584</v>
      </c>
      <c r="AB451" s="88"/>
      <c r="AC451" s="90">
        <f>+SUM(AC433:AC450)</f>
        <v>89579.400758918127</v>
      </c>
      <c r="AD451" s="91">
        <f>AF451/AF406</f>
        <v>0.15649331105576084</v>
      </c>
      <c r="AE451" s="88"/>
      <c r="AF451" s="90">
        <f>+SUM(AF433:AF450)</f>
        <v>84420.060000000027</v>
      </c>
      <c r="AG451" s="99"/>
      <c r="AH451" s="555">
        <f>+SUM(AH433:AH450)</f>
        <v>-5159.3407589181452</v>
      </c>
      <c r="AI451" s="89">
        <f>AH451/AC451</f>
        <v>-5.759516937162034E-2</v>
      </c>
      <c r="AJ451" s="91">
        <f>IF($AL$406=0,0,AL451/$AL$406)</f>
        <v>0.24545967625774939</v>
      </c>
      <c r="AK451" s="89"/>
      <c r="AL451" s="90">
        <f>+SUM(AL433:AL450)</f>
        <v>73004.449999999983</v>
      </c>
      <c r="AM451" s="100"/>
      <c r="AN451" s="93">
        <f>+SUM(AN433:AN450)</f>
        <v>11415.61</v>
      </c>
      <c r="AO451" s="636">
        <f>IF(AL451=0,0,AN451/AL451)</f>
        <v>0.1563686871142787</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
        <v>235</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original'!$A$2:$AO$500,MATCH($A452,'Budget original'!$A$2:$A$500,0),MATCH(F$2,'Budget original'!$A$2:$AO$2,0))</f>
        <v>26000</v>
      </c>
      <c r="AA452" s="455"/>
      <c r="AB452" s="461"/>
      <c r="AC452" s="87">
        <f>+INDEX('Budget révisé'!$A$2:$AO$500,MATCH($A452,'Budget révisé'!$A$2:$A$500,0),MATCH(I$2,'Budget révisé'!$A$2:$AO$2,0))</f>
        <v>26000</v>
      </c>
      <c r="AD452" s="462"/>
      <c r="AE452" s="461"/>
      <c r="AF452" s="87">
        <f>SUMIFS(BV_Data_An_Cour!$O:$O,BV_Data_An_Cour!$V:$V,$V452)</f>
        <v>26000</v>
      </c>
      <c r="AG452" s="456"/>
      <c r="AH452" s="457">
        <f t="shared" ref="AH452:AH460" si="269">AF452-AC452</f>
        <v>0</v>
      </c>
      <c r="AI452" s="458">
        <f>IF(AC452=0,0,AH452/AC452)</f>
        <v>0</v>
      </c>
      <c r="AJ452" s="462"/>
      <c r="AK452" s="455"/>
      <c r="AL452" s="87">
        <f>SUMIFS(BV_Data_An_Prec!$O:$O,BV_Data_An_Prec!$V:$V,$V452)</f>
        <v>26000</v>
      </c>
      <c r="AM452" s="459"/>
      <c r="AN452" s="457">
        <f t="shared" ref="AN452:AN460" si="270">AF452-AL452</f>
        <v>0</v>
      </c>
      <c r="AO452" s="214">
        <f t="shared" ref="AO452:AO460" si="271">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
        <v>237</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original'!$A$2:$AO$500,MATCH($A453,'Budget original'!$A$2:$A$500,0),MATCH(F$2,'Budget original'!$A$2:$AO$2,0))</f>
        <v>4930.2499999999991</v>
      </c>
      <c r="AA453" s="455"/>
      <c r="AB453" s="461"/>
      <c r="AC453" s="87">
        <f>+INDEX('Budget révisé'!$A$2:$AO$500,MATCH($A453,'Budget révisé'!$A$2:$A$500,0),MATCH(I$2,'Budget révisé'!$A$2:$AO$2,0))</f>
        <v>4930.2499999999991</v>
      </c>
      <c r="AD453" s="462"/>
      <c r="AE453" s="461"/>
      <c r="AF453" s="87">
        <f>SUMIFS(BV_Data_An_Cour!$O:$O,BV_Data_An_Cour!$V:$V,$V453)</f>
        <v>4930</v>
      </c>
      <c r="AG453" s="456"/>
      <c r="AH453" s="457">
        <f t="shared" si="269"/>
        <v>-0.24999999999909051</v>
      </c>
      <c r="AI453" s="458">
        <f t="shared" ref="AI453:AI460" si="272">IF(AC453=0,0,AH453/AC453)</f>
        <v>-5.0707367780354051E-5</v>
      </c>
      <c r="AJ453" s="462"/>
      <c r="AK453" s="455"/>
      <c r="AL453" s="87">
        <f>SUMIFS(BV_Data_An_Prec!$O:$O,BV_Data_An_Prec!$V:$V,$V453)</f>
        <v>4810</v>
      </c>
      <c r="AM453" s="459"/>
      <c r="AN453" s="457">
        <f t="shared" si="270"/>
        <v>120</v>
      </c>
      <c r="AO453" s="214">
        <f t="shared" si="271"/>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
        <v>239</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original'!$A$2:$AO$500,MATCH($A454,'Budget original'!$A$2:$A$500,0),MATCH(F$2,'Budget original'!$A$2:$AO$2,0))</f>
        <v>3279.9999999999995</v>
      </c>
      <c r="AA454" s="445"/>
      <c r="AB454" s="464"/>
      <c r="AC454" s="446">
        <f>+INDEX('Budget révisé'!$A$2:$AO$500,MATCH($A454,'Budget révisé'!$A$2:$A$500,0),MATCH(I$2,'Budget révisé'!$A$2:$AO$2,0))</f>
        <v>3279.9999999999995</v>
      </c>
      <c r="AD454" s="465"/>
      <c r="AE454" s="464"/>
      <c r="AF454" s="446">
        <f>SUMIFS(BV_Data_An_Cour!$O:$O,BV_Data_An_Cour!$V:$V,$V454)</f>
        <v>3279.9999999999995</v>
      </c>
      <c r="AG454" s="447"/>
      <c r="AH454" s="448">
        <f t="shared" si="269"/>
        <v>0</v>
      </c>
      <c r="AI454" s="466">
        <f t="shared" si="272"/>
        <v>0</v>
      </c>
      <c r="AJ454" s="465"/>
      <c r="AK454" s="445"/>
      <c r="AL454" s="446">
        <f>SUMIFS(BV_Data_An_Prec!$O:$O,BV_Data_An_Prec!$V:$V,$V454)</f>
        <v>3200</v>
      </c>
      <c r="AM454" s="450"/>
      <c r="AN454" s="448">
        <f t="shared" si="270"/>
        <v>79.999999999999545</v>
      </c>
      <c r="AO454" s="451">
        <f t="shared" si="271"/>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
        <v>241</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original'!$A$2:$AO$500,MATCH($A455,'Budget original'!$A$2:$A$500,0),MATCH(F$2,'Budget original'!$A$2:$AO$2,0))</f>
        <v>0</v>
      </c>
      <c r="AA455" s="455"/>
      <c r="AB455" s="461"/>
      <c r="AC455" s="87">
        <f>+INDEX('Budget révisé'!$A$2:$AO$500,MATCH($A455,'Budget révisé'!$A$2:$A$500,0),MATCH(I$2,'Budget révisé'!$A$2:$AO$2,0))</f>
        <v>0</v>
      </c>
      <c r="AD455" s="462"/>
      <c r="AE455" s="461"/>
      <c r="AF455" s="87">
        <f>SUMIFS(BV_Data_An_Cour!$O:$O,BV_Data_An_Cour!$V:$V,$V455)</f>
        <v>0</v>
      </c>
      <c r="AG455" s="456"/>
      <c r="AH455" s="457">
        <f t="shared" si="269"/>
        <v>0</v>
      </c>
      <c r="AI455" s="458">
        <f t="shared" si="272"/>
        <v>0</v>
      </c>
      <c r="AJ455" s="462"/>
      <c r="AK455" s="455"/>
      <c r="AL455" s="87">
        <f>SUMIFS(BV_Data_An_Prec!$O:$O,BV_Data_An_Prec!$V:$V,$V455)</f>
        <v>0</v>
      </c>
      <c r="AM455" s="459"/>
      <c r="AN455" s="457">
        <f t="shared" si="270"/>
        <v>0</v>
      </c>
      <c r="AO455" s="214">
        <f t="shared" si="271"/>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
        <v>242</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original'!$A$2:$AO$500,MATCH($A456,'Budget original'!$A$2:$A$500,0),MATCH(F$2,'Budget original'!$A$2:$AO$2,0))</f>
        <v>4270.5833333333321</v>
      </c>
      <c r="AA456" s="445"/>
      <c r="AB456" s="464"/>
      <c r="AC456" s="446">
        <f>+INDEX('Budget révisé'!$A$2:$AO$500,MATCH($A456,'Budget révisé'!$A$2:$A$500,0),MATCH(I$2,'Budget révisé'!$A$2:$AO$2,0))</f>
        <v>4270.5833333333321</v>
      </c>
      <c r="AD456" s="465"/>
      <c r="AE456" s="464"/>
      <c r="AF456" s="446">
        <f>SUMIF(BV_Data_An_Cour!$V:$V,Print_Mois!$V456,BV_Data_An_Cour!$O:$O)</f>
        <v>4271</v>
      </c>
      <c r="AG456" s="447"/>
      <c r="AH456" s="448">
        <f t="shared" si="269"/>
        <v>0.41666666666787933</v>
      </c>
      <c r="AI456" s="466">
        <f t="shared" si="272"/>
        <v>9.7566686830732595E-5</v>
      </c>
      <c r="AJ456" s="465"/>
      <c r="AK456" s="445"/>
      <c r="AL456" s="446">
        <f>SUMIF(BV_Data_An_Prec!$V:$V,Print_Mois!$V456,BV_Data_An_Prec!$O:$O)</f>
        <v>3708.11</v>
      </c>
      <c r="AM456" s="450"/>
      <c r="AN456" s="448">
        <f t="shared" si="270"/>
        <v>562.88999999999987</v>
      </c>
      <c r="AO456" s="451">
        <f t="shared" si="271"/>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
        <v>244</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original'!$A$2:$AO$500,MATCH($A457,'Budget original'!$A$2:$A$500,0),MATCH(F$2,'Budget original'!$A$2:$AO$2,0))</f>
        <v>2838.4863750000004</v>
      </c>
      <c r="AA457" s="476"/>
      <c r="AB457" s="477"/>
      <c r="AC457" s="87">
        <f>+INDEX('Budget révisé'!$A$2:$AO$500,MATCH($A457,'Budget révisé'!$A$2:$A$500,0),MATCH(I$2,'Budget révisé'!$A$2:$AO$2,0))</f>
        <v>2838.4863750000004</v>
      </c>
      <c r="AD457" s="462"/>
      <c r="AE457" s="461"/>
      <c r="AF457" s="1102">
        <f>SUMIFS(BV_Data_An_Cour!$O:$O,BV_Data_An_Cour!$V:$V,$V457)</f>
        <v>3456.06</v>
      </c>
      <c r="AG457" s="456"/>
      <c r="AH457" s="457">
        <f t="shared" si="269"/>
        <v>617.57362499999954</v>
      </c>
      <c r="AI457" s="458">
        <f t="shared" si="272"/>
        <v>0.21757146007086239</v>
      </c>
      <c r="AJ457" s="462"/>
      <c r="AK457" s="455"/>
      <c r="AL457" s="87">
        <f>SUMIFS(BV_Data_An_Prec!$O:$O,BV_Data_An_Prec!$V:$V,$V457)</f>
        <v>1695.7600000000002</v>
      </c>
      <c r="AM457" s="459"/>
      <c r="AN457" s="457">
        <f t="shared" si="270"/>
        <v>1760.2999999999997</v>
      </c>
      <c r="AO457" s="214">
        <f t="shared" si="271"/>
        <v>1.0380596310798695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
        <v>246</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original'!$A$2:$AO$500,MATCH($A458,'Budget original'!$A$2:$A$500,0),MATCH(F$2,'Budget original'!$A$2:$AO$2,0))</f>
        <v>6122.833333333333</v>
      </c>
      <c r="AA458" s="455"/>
      <c r="AB458" s="461"/>
      <c r="AC458" s="87">
        <f>+INDEX('Budget révisé'!$A$2:$AO$500,MATCH($A458,'Budget révisé'!$A$2:$A$500,0),MATCH(I$2,'Budget révisé'!$A$2:$AO$2,0))</f>
        <v>6122.833333333333</v>
      </c>
      <c r="AD458" s="462"/>
      <c r="AE458" s="461"/>
      <c r="AF458" s="87">
        <f>SUMIFS(BV_Data_An_Cour!$O:$O,BV_Data_An_Cour!$V:$V,$V458)</f>
        <v>6123.33</v>
      </c>
      <c r="AG458" s="456"/>
      <c r="AH458" s="457">
        <f t="shared" si="269"/>
        <v>0.49666666666689707</v>
      </c>
      <c r="AI458" s="458">
        <f t="shared" si="272"/>
        <v>8.1117129869106967E-5</v>
      </c>
      <c r="AJ458" s="462"/>
      <c r="AK458" s="455"/>
      <c r="AL458" s="87">
        <f>SUMIFS(BV_Data_An_Prec!$O:$O,BV_Data_An_Prec!$V:$V,$V458)</f>
        <v>6217.0999999999985</v>
      </c>
      <c r="AM458" s="459"/>
      <c r="AN458" s="457">
        <f t="shared" si="270"/>
        <v>-93.769999999998618</v>
      </c>
      <c r="AO458" s="214">
        <f t="shared" si="271"/>
        <v>-1.5082594778915995E-2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
        <v>248</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original'!$A$2:$AO$500,MATCH($A459,'Budget original'!$A$2:$A$500,0),MATCH(F$2,'Budget original'!$A$2:$AO$2,0))</f>
        <v>1188.8599166666665</v>
      </c>
      <c r="AA459" s="445"/>
      <c r="AB459" s="464"/>
      <c r="AC459" s="446">
        <f>+INDEX('Budget révisé'!$A$2:$AO$500,MATCH($A459,'Budget révisé'!$A$2:$A$500,0),MATCH(I$2,'Budget révisé'!$A$2:$AO$2,0))</f>
        <v>1188.8599166666665</v>
      </c>
      <c r="AD459" s="465"/>
      <c r="AE459" s="464"/>
      <c r="AF459" s="1022">
        <f>SUMIFS(BV_Data_An_Cour!$O:$O,BV_Data_An_Cour!$V:$V,$V459)</f>
        <v>1704.54</v>
      </c>
      <c r="AG459" s="447"/>
      <c r="AH459" s="448">
        <f t="shared" si="269"/>
        <v>515.68008333333341</v>
      </c>
      <c r="AI459" s="466">
        <f t="shared" si="272"/>
        <v>0.4337601731743137</v>
      </c>
      <c r="AJ459" s="465"/>
      <c r="AK459" s="445"/>
      <c r="AL459" s="446">
        <f>SUMIFS(BV_Data_An_Prec!$O:$O,BV_Data_An_Prec!$V:$V,$V459)</f>
        <v>2107.14</v>
      </c>
      <c r="AM459" s="450"/>
      <c r="AN459" s="448">
        <f t="shared" si="270"/>
        <v>-402.59999999999991</v>
      </c>
      <c r="AO459" s="451">
        <f t="shared" si="271"/>
        <v>-0.19106466585039433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
        <v>250</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original'!$A$2:$AO$500,MATCH($A460,'Budget original'!$A$2:$A$500,0),MATCH(F$2,'Budget original'!$A$2:$AO$2,0))</f>
        <v>230.625</v>
      </c>
      <c r="AA460" s="455"/>
      <c r="AB460" s="461"/>
      <c r="AC460" s="87">
        <f>+INDEX('Budget révisé'!$A$2:$AO$500,MATCH($A460,'Budget révisé'!$A$2:$A$500,0),MATCH(I$2,'Budget révisé'!$A$2:$AO$2,0))</f>
        <v>230.625</v>
      </c>
      <c r="AD460" s="462"/>
      <c r="AE460" s="461"/>
      <c r="AF460" s="87">
        <f>SUMIFS(BV_Data_An_Cour!$O:$O,BV_Data_An_Cour!$V:$V,$V460)</f>
        <v>0</v>
      </c>
      <c r="AG460" s="456"/>
      <c r="AH460" s="457">
        <f t="shared" si="269"/>
        <v>-230.625</v>
      </c>
      <c r="AI460" s="478">
        <f t="shared" si="272"/>
        <v>-1</v>
      </c>
      <c r="AJ460" s="455"/>
      <c r="AK460" s="455"/>
      <c r="AL460" s="87">
        <f>SUMIFS(BV_Data_An_Prec!$O:$O,BV_Data_An_Prec!$V:$V,$V460)</f>
        <v>0</v>
      </c>
      <c r="AM460" s="459"/>
      <c r="AN460" s="457">
        <f t="shared" si="270"/>
        <v>0</v>
      </c>
      <c r="AO460" s="214">
        <f t="shared" si="271"/>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
        <v>252</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SUMIFS(BV_Data_An_Cour!$O:$O,BV_Data_An_Cour!$V:$V,$V461)</f>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
        <v>42</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273">IFERROR(SUMIF($C:$C,$V462,F:F),0)</f>
        <v>0</v>
      </c>
      <c r="AA462" s="455"/>
      <c r="AB462" s="455"/>
      <c r="AC462" s="87">
        <f t="shared" ref="AC462:AC464" si="274">IFERROR(SUMIF($C:$C,$V462,I:I),0)</f>
        <v>0</v>
      </c>
      <c r="AD462" s="462"/>
      <c r="AE462" s="461"/>
      <c r="AF462" s="87">
        <f t="shared" ref="AF462:AF464" si="275">IFERROR(SUMIF($C:$C,$V462,L:L),0)</f>
        <v>0</v>
      </c>
      <c r="AG462" s="456"/>
      <c r="AH462" s="457">
        <f t="shared" ref="AH462:AH464" si="276">AF462-AC462</f>
        <v>0</v>
      </c>
      <c r="AI462" s="458">
        <f t="shared" ref="AI462:AI464" si="277">IF(AC462=0,0,AH462/AC462)</f>
        <v>0</v>
      </c>
      <c r="AJ462" s="462"/>
      <c r="AK462" s="455"/>
      <c r="AL462" s="87">
        <f t="shared" ref="AL462:AL464" si="278">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
        <v>42</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273"/>
        <v>0</v>
      </c>
      <c r="AA463" s="455"/>
      <c r="AB463" s="455"/>
      <c r="AC463" s="87">
        <f t="shared" si="274"/>
        <v>0</v>
      </c>
      <c r="AD463" s="462"/>
      <c r="AE463" s="461"/>
      <c r="AF463" s="87">
        <f t="shared" si="275"/>
        <v>0</v>
      </c>
      <c r="AG463" s="456"/>
      <c r="AH463" s="457">
        <f t="shared" si="276"/>
        <v>0</v>
      </c>
      <c r="AI463" s="458">
        <f t="shared" si="277"/>
        <v>0</v>
      </c>
      <c r="AJ463" s="462"/>
      <c r="AK463" s="455"/>
      <c r="AL463" s="87">
        <f t="shared" si="278"/>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
        <v>42</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273"/>
        <v>0</v>
      </c>
      <c r="AA464" s="455"/>
      <c r="AB464" s="455"/>
      <c r="AC464" s="87">
        <f t="shared" si="274"/>
        <v>0</v>
      </c>
      <c r="AD464" s="462"/>
      <c r="AE464" s="461"/>
      <c r="AF464" s="87">
        <f t="shared" si="275"/>
        <v>0</v>
      </c>
      <c r="AG464" s="456"/>
      <c r="AH464" s="457">
        <f t="shared" si="276"/>
        <v>0</v>
      </c>
      <c r="AI464" s="458">
        <f t="shared" si="277"/>
        <v>0</v>
      </c>
      <c r="AJ464" s="462"/>
      <c r="AK464" s="455"/>
      <c r="AL464" s="87">
        <f t="shared" si="278"/>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
        <v>254</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0.11019269413906131</v>
      </c>
      <c r="Y465" s="88"/>
      <c r="Z465" s="90">
        <f>SUM(Z452:Z464)</f>
        <v>48861.637958333333</v>
      </c>
      <c r="AA465" s="89">
        <f>AC465/+AC406</f>
        <v>0.11019269413906131</v>
      </c>
      <c r="AB465" s="88"/>
      <c r="AC465" s="90">
        <f>SUM(AC452:AC464)</f>
        <v>48861.637958333333</v>
      </c>
      <c r="AD465" s="91">
        <f>AF465/AF406</f>
        <v>9.2251517828323762E-2</v>
      </c>
      <c r="AE465" s="88"/>
      <c r="AF465" s="90">
        <f>SUM(AF452:AF464)</f>
        <v>49764.93</v>
      </c>
      <c r="AG465" s="99"/>
      <c r="AH465" s="1262">
        <f>SUM(AH452:AH464)</f>
        <v>903.29204166666864</v>
      </c>
      <c r="AI465" s="1263">
        <f>IF(AC465=0,0,AH465/AC465)</f>
        <v>1.8486732729609868E-2</v>
      </c>
      <c r="AJ465" s="91">
        <f>IF($AL$406=0,0,AL465/$AL$406)</f>
        <v>0.16050776392064911</v>
      </c>
      <c r="AK465" s="89"/>
      <c r="AL465" s="90">
        <f>SUM(AL452:AL464)</f>
        <v>47738.11</v>
      </c>
      <c r="AM465" s="100"/>
      <c r="AN465" s="93">
        <f>SUM(AN452:AN464)</f>
        <v>2026.8200000000006</v>
      </c>
      <c r="AO465" s="636">
        <f>IF(AL465=0,0,AN465/AL465)</f>
        <v>4.2457064177865454E-2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
        <v>3545</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79">AF466-AC466</f>
        <v>0</v>
      </c>
      <c r="AI466" s="458"/>
      <c r="AJ466" s="462"/>
      <c r="AK466" s="455"/>
      <c r="AL466" s="105"/>
      <c r="AM466" s="479"/>
      <c r="AN466" s="457">
        <f t="shared" ref="AN466:AN472" si="280">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
        <v>136</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1.1164246853876918</v>
      </c>
      <c r="Y467" s="88"/>
      <c r="Z467" s="90">
        <f>Z418+Z432+Z451+Z465</f>
        <v>495044.96837438236</v>
      </c>
      <c r="AA467" s="89">
        <f>AC467/+AC406</f>
        <v>1.1164246853876918</v>
      </c>
      <c r="AB467" s="88"/>
      <c r="AC467" s="90">
        <f>AC418+AC432+AC451+AC465</f>
        <v>495044.96837438236</v>
      </c>
      <c r="AD467" s="91">
        <f>AF467/AF406</f>
        <v>0.91476033034932225</v>
      </c>
      <c r="AE467" s="88"/>
      <c r="AF467" s="90">
        <f>AF418+AF432+AF451+AF465</f>
        <v>493465.96</v>
      </c>
      <c r="AG467" s="99"/>
      <c r="AH467" s="93">
        <f t="shared" si="279"/>
        <v>-1579.0083743823343</v>
      </c>
      <c r="AI467" s="89">
        <f>AH467/AC467</f>
        <v>-3.1896261456155119E-3</v>
      </c>
      <c r="AJ467" s="91">
        <f>IF($AL$406=0,0,AL467/$AL$406)</f>
        <v>1.3558529082777806</v>
      </c>
      <c r="AK467" s="89"/>
      <c r="AL467" s="90">
        <f>AL418+AL432+AL451+AL465</f>
        <v>403256.85</v>
      </c>
      <c r="AM467" s="100"/>
      <c r="AN467" s="93">
        <f t="shared" si="280"/>
        <v>90209.110000000044</v>
      </c>
      <c r="AO467" s="453">
        <f>IF(AL467=0,0,AN467/AL467)</f>
        <v>0.22370137047888969</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
        <v>255</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original'!$A$2:$AO$500,MATCH($A468,'Budget original'!$A$2:$A$500,0),MATCH(F$2,'Budget original'!$A$2:$AO$2,0))</f>
        <v>360</v>
      </c>
      <c r="AA468" s="249"/>
      <c r="AB468" s="250"/>
      <c r="AC468" s="248">
        <f>+INDEX('Budget révisé'!$A$2:$AO$500,MATCH($A468,'Budget révisé'!$A$2:$A$500,0),MATCH(I$2,'Budget révisé'!$A$2:$AO$2,0))</f>
        <v>360</v>
      </c>
      <c r="AD468" s="252" t="s">
        <v>3291</v>
      </c>
      <c r="AE468" s="250" t="s">
        <v>3292</v>
      </c>
      <c r="AF468" s="87">
        <f>-SUMIFS(BV_Data_An_Cour!$O:$O,BV_Data_An_Cour!$V:$V,$V468)</f>
        <v>181.1</v>
      </c>
      <c r="AG468" s="251"/>
      <c r="AH468" s="482">
        <f t="shared" si="279"/>
        <v>-178.9</v>
      </c>
      <c r="AI468" s="483">
        <f t="shared" ref="AI468:AI472" si="281">IF(AH468=0,0,AH468/AC468)</f>
        <v>-0.49694444444444447</v>
      </c>
      <c r="AJ468" s="252"/>
      <c r="AK468" s="249"/>
      <c r="AL468" s="484">
        <f>-SUMIFS(BV_Data_An_Prec!$O:$O,BV_Data_An_Prec!$V:$V,$V468)</f>
        <v>33828.54</v>
      </c>
      <c r="AM468" s="253"/>
      <c r="AN468" s="482">
        <f t="shared" si="280"/>
        <v>-33647.440000000002</v>
      </c>
      <c r="AO468" s="261">
        <f>IF(AL468=0,0,AN468/AL468)</f>
        <v>-0.99464653218850119</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
        <v>140</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82">+SUMIF($C:$C,$V469,F:F)</f>
        <v>40795.839813252998</v>
      </c>
      <c r="AA469" s="255" t="s">
        <v>3290</v>
      </c>
      <c r="AB469" s="254">
        <f>AC469/G27</f>
        <v>1061.3926100244494</v>
      </c>
      <c r="AC469" s="254">
        <f t="shared" ref="AC469:AC479" si="283">+SUMIF($C:$C,$V469,I:I)</f>
        <v>40795.839813252998</v>
      </c>
      <c r="AD469" s="260">
        <f>J27-AE469</f>
        <v>-5.5845473888444914</v>
      </c>
      <c r="AE469" s="1258">
        <f>AF469/AB469</f>
        <v>52.584547388844491</v>
      </c>
      <c r="AF469" s="254">
        <f t="shared" ref="AF469:AF479" si="284">+SUMIF($C:$C,$V469,L:L)</f>
        <v>55812.85</v>
      </c>
      <c r="AG469" s="256"/>
      <c r="AH469" s="482">
        <f t="shared" si="279"/>
        <v>15017.010186747</v>
      </c>
      <c r="AI469" s="257">
        <f>IF(AC469=0,0,AH469/AC469)</f>
        <v>0.36810150876875813</v>
      </c>
      <c r="AJ469" s="258"/>
      <c r="AK469" s="255"/>
      <c r="AL469" s="259">
        <f t="shared" ref="AL469:AL479" si="285">+SUMIF($C:$C,$V469,Q:Q)</f>
        <v>22341</v>
      </c>
      <c r="AM469" s="260"/>
      <c r="AN469" s="482">
        <f t="shared" si="280"/>
        <v>33471.85</v>
      </c>
      <c r="AO469" s="261">
        <f>IF(AL469=0,0,AN469/AL469)</f>
        <v>1.498225236112976</v>
      </c>
      <c r="AP469" s="79"/>
      <c r="AQ469" s="79">
        <f>AH469/1100</f>
        <v>13.651827442497273</v>
      </c>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
        <v>137</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82"/>
        <v>0</v>
      </c>
      <c r="AA470" s="255"/>
      <c r="AB470" s="247"/>
      <c r="AC470" s="254">
        <f t="shared" si="283"/>
        <v>0</v>
      </c>
      <c r="AD470" s="258"/>
      <c r="AF470" s="254">
        <f t="shared" si="284"/>
        <v>0</v>
      </c>
      <c r="AG470" s="256"/>
      <c r="AH470" s="482">
        <f t="shared" si="279"/>
        <v>0</v>
      </c>
      <c r="AI470" s="257">
        <f t="shared" si="281"/>
        <v>0</v>
      </c>
      <c r="AJ470" s="258"/>
      <c r="AK470" s="255"/>
      <c r="AL470" s="259">
        <f t="shared" si="285"/>
        <v>11500</v>
      </c>
      <c r="AM470" s="260"/>
      <c r="AN470" s="482">
        <f t="shared" si="280"/>
        <v>-11500</v>
      </c>
      <c r="AO470" s="261">
        <f t="shared" ref="AO470:AO472" si="286">IF(AL470=0,0,AN470/AL470)</f>
        <v>-1</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
        <v>138</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82"/>
        <v>0</v>
      </c>
      <c r="AA471" s="255"/>
      <c r="AB471" s="247"/>
      <c r="AC471" s="254">
        <f t="shared" si="283"/>
        <v>0</v>
      </c>
      <c r="AD471" s="258"/>
      <c r="AE471" s="247"/>
      <c r="AF471" s="254">
        <f t="shared" si="284"/>
        <v>0</v>
      </c>
      <c r="AG471" s="256"/>
      <c r="AH471" s="482">
        <f t="shared" si="279"/>
        <v>0</v>
      </c>
      <c r="AI471" s="257">
        <f t="shared" si="281"/>
        <v>0</v>
      </c>
      <c r="AJ471" s="258"/>
      <c r="AK471" s="255"/>
      <c r="AL471" s="259">
        <f t="shared" si="285"/>
        <v>0</v>
      </c>
      <c r="AM471" s="260"/>
      <c r="AN471" s="482">
        <f t="shared" si="280"/>
        <v>0</v>
      </c>
      <c r="AO471" s="261">
        <f t="shared" si="286"/>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
        <v>139</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82"/>
        <v>0</v>
      </c>
      <c r="AA472" s="255"/>
      <c r="AB472" s="247"/>
      <c r="AC472" s="254">
        <f t="shared" si="283"/>
        <v>0</v>
      </c>
      <c r="AD472" s="258"/>
      <c r="AE472" s="247"/>
      <c r="AF472" s="254">
        <f t="shared" si="284"/>
        <v>0</v>
      </c>
      <c r="AG472" s="256"/>
      <c r="AH472" s="482">
        <f t="shared" si="279"/>
        <v>0</v>
      </c>
      <c r="AI472" s="257">
        <f t="shared" si="281"/>
        <v>0</v>
      </c>
      <c r="AJ472" s="258"/>
      <c r="AK472" s="255"/>
      <c r="AL472" s="259">
        <f t="shared" si="285"/>
        <v>0</v>
      </c>
      <c r="AM472" s="260"/>
      <c r="AN472" s="482">
        <f t="shared" si="280"/>
        <v>0</v>
      </c>
      <c r="AO472" s="261">
        <f t="shared" si="286"/>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
        <v>152</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82"/>
        <v>0</v>
      </c>
      <c r="AA473" s="255"/>
      <c r="AB473" s="247"/>
      <c r="AC473" s="254">
        <f t="shared" si="283"/>
        <v>0</v>
      </c>
      <c r="AD473" s="258"/>
      <c r="AE473" s="247"/>
      <c r="AF473" s="254">
        <f t="shared" si="284"/>
        <v>0</v>
      </c>
      <c r="AG473" s="256"/>
      <c r="AH473" s="482">
        <f t="shared" ref="AH473:AH478" si="287">AF473-AC473</f>
        <v>0</v>
      </c>
      <c r="AI473" s="257">
        <f t="shared" ref="AI473:AI475" si="288">IF(AH473=0,0,AH473/AC473)</f>
        <v>0</v>
      </c>
      <c r="AJ473" s="258"/>
      <c r="AK473" s="255"/>
      <c r="AL473" s="259">
        <f t="shared" si="285"/>
        <v>0</v>
      </c>
      <c r="AM473" s="260"/>
      <c r="AN473" s="482">
        <f t="shared" ref="AN473:AN475" si="289">AF473-AL473</f>
        <v>0</v>
      </c>
      <c r="AO473" s="261">
        <f t="shared" ref="AO473:AO475" si="290">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
        <v>153</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82"/>
        <v>0</v>
      </c>
      <c r="AA474" s="255"/>
      <c r="AB474" s="247"/>
      <c r="AC474" s="254">
        <f t="shared" si="283"/>
        <v>0</v>
      </c>
      <c r="AD474" s="258"/>
      <c r="AE474" s="247"/>
      <c r="AF474" s="254">
        <f t="shared" si="284"/>
        <v>0</v>
      </c>
      <c r="AG474" s="256"/>
      <c r="AH474" s="482">
        <f t="shared" si="287"/>
        <v>0</v>
      </c>
      <c r="AI474" s="257">
        <f t="shared" si="288"/>
        <v>0</v>
      </c>
      <c r="AJ474" s="258"/>
      <c r="AK474" s="255"/>
      <c r="AL474" s="259">
        <f t="shared" si="285"/>
        <v>0</v>
      </c>
      <c r="AM474" s="260"/>
      <c r="AN474" s="482">
        <f t="shared" si="289"/>
        <v>0</v>
      </c>
      <c r="AO474" s="261">
        <f t="shared" si="290"/>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
        <v>154</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82"/>
        <v>0</v>
      </c>
      <c r="AA475" s="255"/>
      <c r="AB475" s="247"/>
      <c r="AC475" s="254">
        <f t="shared" si="283"/>
        <v>0</v>
      </c>
      <c r="AD475" s="258"/>
      <c r="AE475" s="247"/>
      <c r="AF475" s="254">
        <f t="shared" si="284"/>
        <v>0</v>
      </c>
      <c r="AG475" s="256"/>
      <c r="AH475" s="482">
        <f t="shared" si="287"/>
        <v>0</v>
      </c>
      <c r="AI475" s="257">
        <f t="shared" si="288"/>
        <v>0</v>
      </c>
      <c r="AJ475" s="258"/>
      <c r="AK475" s="255"/>
      <c r="AL475" s="259">
        <f t="shared" si="285"/>
        <v>0</v>
      </c>
      <c r="AM475" s="260"/>
      <c r="AN475" s="482">
        <f t="shared" si="289"/>
        <v>0</v>
      </c>
      <c r="AO475" s="261">
        <f t="shared" si="290"/>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
        <v>42</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291">IFERROR(SUMIF($C:$C,$V476,F:F),0)</f>
        <v>0</v>
      </c>
      <c r="AA476" s="455"/>
      <c r="AB476" s="455"/>
      <c r="AC476" s="87">
        <f t="shared" ref="AC476:AC478" si="292">IFERROR(SUMIF($C:$C,$V476,I:I),0)</f>
        <v>0</v>
      </c>
      <c r="AD476" s="462"/>
      <c r="AE476" s="461"/>
      <c r="AF476" s="87">
        <f t="shared" ref="AF476:AF478" si="293">IFERROR(SUMIF($C:$C,$V476,L:L),0)</f>
        <v>0</v>
      </c>
      <c r="AG476" s="456"/>
      <c r="AH476" s="457">
        <f t="shared" si="287"/>
        <v>0</v>
      </c>
      <c r="AI476" s="458">
        <f t="shared" ref="AI476:AI478" si="294">IF(AC476=0,0,AH476/AC476)</f>
        <v>0</v>
      </c>
      <c r="AJ476" s="462"/>
      <c r="AK476" s="455"/>
      <c r="AL476" s="87">
        <f t="shared" ref="AL476:AL478" si="295">IFERROR(SUMIF($C:$C,$V476,Q:Q),0)</f>
        <v>0</v>
      </c>
      <c r="AM476" s="260"/>
      <c r="AN476" s="482">
        <f t="shared" ref="AN476:AN479" si="296">AF476-AL476</f>
        <v>0</v>
      </c>
      <c r="AO476" s="261">
        <f t="shared" ref="AO476:AO479" si="297">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
        <v>42</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291"/>
        <v>0</v>
      </c>
      <c r="AA477" s="455"/>
      <c r="AB477" s="455"/>
      <c r="AC477" s="87">
        <f t="shared" si="292"/>
        <v>0</v>
      </c>
      <c r="AD477" s="462"/>
      <c r="AE477" s="461"/>
      <c r="AF477" s="87">
        <f t="shared" si="293"/>
        <v>0</v>
      </c>
      <c r="AG477" s="456"/>
      <c r="AH477" s="457">
        <f t="shared" si="287"/>
        <v>0</v>
      </c>
      <c r="AI477" s="458">
        <f t="shared" si="294"/>
        <v>0</v>
      </c>
      <c r="AJ477" s="462"/>
      <c r="AK477" s="455"/>
      <c r="AL477" s="87">
        <f t="shared" si="295"/>
        <v>0</v>
      </c>
      <c r="AM477" s="260"/>
      <c r="AN477" s="482">
        <f t="shared" si="296"/>
        <v>0</v>
      </c>
      <c r="AO477" s="261">
        <f t="shared" si="297"/>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
        <v>42</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291"/>
        <v>0</v>
      </c>
      <c r="AA478" s="455"/>
      <c r="AB478" s="455"/>
      <c r="AC478" s="87">
        <f t="shared" si="292"/>
        <v>0</v>
      </c>
      <c r="AD478" s="462"/>
      <c r="AE478" s="461"/>
      <c r="AF478" s="87">
        <f t="shared" si="293"/>
        <v>0</v>
      </c>
      <c r="AG478" s="456"/>
      <c r="AH478" s="457">
        <f t="shared" si="287"/>
        <v>0</v>
      </c>
      <c r="AI478" s="458">
        <f t="shared" si="294"/>
        <v>0</v>
      </c>
      <c r="AJ478" s="462"/>
      <c r="AK478" s="455"/>
      <c r="AL478" s="87">
        <f t="shared" si="295"/>
        <v>0</v>
      </c>
      <c r="AM478" s="260"/>
      <c r="AN478" s="482">
        <f t="shared" si="296"/>
        <v>0</v>
      </c>
      <c r="AO478" s="261">
        <f t="shared" si="297"/>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
        <v>141</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82"/>
        <v>23634.08942098491</v>
      </c>
      <c r="AA479" s="255"/>
      <c r="AB479" s="247"/>
      <c r="AC479" s="254">
        <f t="shared" si="283"/>
        <v>23634.08942098491</v>
      </c>
      <c r="AD479" s="1299">
        <f>AF479/399</f>
        <v>47.182957393483711</v>
      </c>
      <c r="AE479" s="1141">
        <f>(AF479/399)/(J13+J15+J96)</f>
        <v>0.72589165220744167</v>
      </c>
      <c r="AF479" s="254">
        <f t="shared" si="284"/>
        <v>18826</v>
      </c>
      <c r="AG479" s="256"/>
      <c r="AH479" s="482">
        <f t="shared" ref="AH479:AH480" si="298">AF479-AC479</f>
        <v>-4808.0894209849102</v>
      </c>
      <c r="AI479" s="257">
        <f>IF(AH479=0,0,AH479/AC479)</f>
        <v>-0.20343874203656717</v>
      </c>
      <c r="AJ479" s="258"/>
      <c r="AK479" s="255"/>
      <c r="AL479" s="259">
        <f t="shared" si="285"/>
        <v>11496</v>
      </c>
      <c r="AM479" s="260"/>
      <c r="AN479" s="482">
        <f t="shared" si="296"/>
        <v>7330</v>
      </c>
      <c r="AO479" s="261">
        <f t="shared" si="297"/>
        <v>0.63761308281141271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
        <v>256</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0.14611415322359628</v>
      </c>
      <c r="Y480" s="103"/>
      <c r="Z480" s="90">
        <f>SUM(Z468:Z479)</f>
        <v>64789.929234237905</v>
      </c>
      <c r="AA480" s="89">
        <f>AC480/+AC406</f>
        <v>0.14611415322359628</v>
      </c>
      <c r="AB480" s="103"/>
      <c r="AC480" s="90">
        <f>SUM(AC468:AC479)</f>
        <v>64789.929234237905</v>
      </c>
      <c r="AD480" s="89">
        <f>AF480/+AF406</f>
        <v>0.13869714980688794</v>
      </c>
      <c r="AE480" s="103"/>
      <c r="AF480" s="90">
        <f>SUM(AF468:AF479)</f>
        <v>74819.95</v>
      </c>
      <c r="AG480" s="99"/>
      <c r="AH480" s="93">
        <f t="shared" si="298"/>
        <v>10030.020765762092</v>
      </c>
      <c r="AI480" s="89">
        <f>AH480/AC480</f>
        <v>0.15480833031164631</v>
      </c>
      <c r="AJ480" s="109"/>
      <c r="AK480" s="110"/>
      <c r="AL480" s="90">
        <f>SUM(AL468:AL479)</f>
        <v>79165.540000000008</v>
      </c>
      <c r="AM480" s="111"/>
      <c r="AN480" s="93">
        <f t="shared" ref="AN480:AN482" si="299">AF480-AL480</f>
        <v>-4345.5900000000111</v>
      </c>
      <c r="AO480" s="636">
        <f>IF(AL480=0,0,AN480/AL480)</f>
        <v>-5.4892444364050455E-2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
        <v>3545</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99"/>
        <v>0</v>
      </c>
      <c r="AO481" s="486">
        <f t="shared" ref="AO481" si="300">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
        <v>257</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4.3690218193368976E-3</v>
      </c>
      <c r="Z482" s="491">
        <f>Z406-Z467+Z480</f>
        <v>13164.902082735294</v>
      </c>
      <c r="AA482" s="489" t="s">
        <v>258</v>
      </c>
      <c r="AB482" s="490">
        <f>AC482/AC405</f>
        <v>4.3690218193368976E-3</v>
      </c>
      <c r="AC482" s="491">
        <f>AC406-AC467+AC480</f>
        <v>13164.902082735294</v>
      </c>
      <c r="AD482" s="489" t="s">
        <v>258</v>
      </c>
      <c r="AE482" s="490">
        <f>AF482/AF405</f>
        <v>3.3417993276867584E-2</v>
      </c>
      <c r="AF482" s="217">
        <f>AF406-AF467+AF480</f>
        <v>120802.34999999985</v>
      </c>
      <c r="AG482" s="492"/>
      <c r="AH482" s="492">
        <f>AF482-AC482</f>
        <v>107637.44791726455</v>
      </c>
      <c r="AI482" s="546">
        <f>AH482/AC482</f>
        <v>8.1760917962635187</v>
      </c>
      <c r="AJ482" s="493" t="s">
        <v>258</v>
      </c>
      <c r="AK482" s="490">
        <f>IF($AL$405=0,0,AL482/$AL$405)</f>
        <v>-1.2724691772707906E-2</v>
      </c>
      <c r="AL482" s="217">
        <f>AL406-AL467+AL480</f>
        <v>-26671.989999999903</v>
      </c>
      <c r="AM482" s="218"/>
      <c r="AN482" s="217">
        <f t="shared" si="299"/>
        <v>147474.33999999973</v>
      </c>
      <c r="AO482" s="494">
        <f>IF(AL482=0,0,AN482/AL482)</f>
        <v>-5.5291839866466761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
        <v>3545</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
        <v>1994</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Janvier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
        <v>3545</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
        <v>3545</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
        <v>3545</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
        <v>257</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4.3690218193368976E-3</v>
      </c>
      <c r="Z488" s="499">
        <f>Z482</f>
        <v>13164.902082735294</v>
      </c>
      <c r="AA488" s="497" t="s">
        <v>258</v>
      </c>
      <c r="AB488" s="498">
        <f>AC488/AC405</f>
        <v>4.3690218193368976E-3</v>
      </c>
      <c r="AC488" s="499">
        <f>AC482</f>
        <v>13164.902082735294</v>
      </c>
      <c r="AD488" s="497" t="s">
        <v>258</v>
      </c>
      <c r="AE488" s="498">
        <f>AF488/AF405</f>
        <v>3.3417993276867584E-2</v>
      </c>
      <c r="AF488" s="499">
        <f>AF482</f>
        <v>120802.34999999985</v>
      </c>
      <c r="AG488" s="500"/>
      <c r="AH488" s="492">
        <f>AF488-AC488</f>
        <v>107637.44791726455</v>
      </c>
      <c r="AI488" s="546">
        <f>AH488/AC488</f>
        <v>8.1760917962635187</v>
      </c>
      <c r="AJ488" s="497" t="s">
        <v>258</v>
      </c>
      <c r="AK488" s="498">
        <f>IF($AL$405=0,0,AL488/$AL$405)</f>
        <v>-1.2724691772707906E-2</v>
      </c>
      <c r="AL488" s="501">
        <f>AL482</f>
        <v>-26671.989999999903</v>
      </c>
      <c r="AM488" s="502"/>
      <c r="AN488" s="503">
        <f>AF488-AL488</f>
        <v>147474.33999999973</v>
      </c>
      <c r="AO488" s="504">
        <f>IF(AL488=0,0,AN488/AL488)</f>
        <v>-5.5291839866466761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
        <v>3545</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
        <v>260</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original'!$A$2:$AO$500,MATCH($A490,'Budget original'!$A$2:$A$500,0),MATCH(F$2,'Budget original'!$A$2:$AO$2,0))</f>
        <v>7144.916666666667</v>
      </c>
      <c r="AA490" s="455"/>
      <c r="AB490" s="461"/>
      <c r="AC490" s="87">
        <f>+INDEX('Budget révisé'!$A$2:$AO$500,MATCH($A490,'Budget révisé'!$A$2:$A$500,0),MATCH(I$2,'Budget révisé'!$A$2:$AO$2,0))</f>
        <v>7144.916666666667</v>
      </c>
      <c r="AD490" s="455"/>
      <c r="AE490" s="461"/>
      <c r="AF490" s="87">
        <f>SUMIFS(BV_Data_An_Cour!$O:$O,BV_Data_An_Cour!$V:$V,$V490)</f>
        <v>4314.5</v>
      </c>
      <c r="AG490" s="455"/>
      <c r="AH490" s="457">
        <f t="shared" ref="AH490:AH491" si="301">AF490-AC490</f>
        <v>-2830.416666666667</v>
      </c>
      <c r="AI490" s="97">
        <f>IF(AC490=0,0,AH490/AC490)</f>
        <v>-0.39614411178110315</v>
      </c>
      <c r="AJ490" s="455"/>
      <c r="AK490" s="455"/>
      <c r="AL490" s="87">
        <f>SUMIFS(BV_Data_An_Prec!$O:$O,BV_Data_An_Prec!$V:$V,$V490)</f>
        <v>9167</v>
      </c>
      <c r="AM490" s="459"/>
      <c r="AN490" s="457">
        <f t="shared" ref="AN490:AN491" si="302">AF490-AL490</f>
        <v>-4852.5</v>
      </c>
      <c r="AO490" s="214">
        <f>IF(AL490=0,0,AN490/AL490)</f>
        <v>-0.529344387476819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
        <v>261</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original'!$A$2:$AO$500,MATCH($A491,'Budget original'!$A$2:$A$500,0),MATCH(F$2,'Budget original'!$A$2:$AO$2,0))</f>
        <v>0</v>
      </c>
      <c r="AA491" s="439"/>
      <c r="AB491" s="439"/>
      <c r="AC491" s="87">
        <f>+INDEX('Budget révisé'!$A$2:$AO$500,MATCH($A491,'Budget révisé'!$A$2:$A$500,0),MATCH(I$2,'Budget révisé'!$A$2:$AO$2,0))</f>
        <v>0</v>
      </c>
      <c r="AD491" s="439"/>
      <c r="AE491" s="178"/>
      <c r="AF491" s="254">
        <f>SUMIFS(BV_Data_An_Cour!$O:$O,BV_Data_An_Cour!$V:$V,$V491)</f>
        <v>0</v>
      </c>
      <c r="AG491" s="439"/>
      <c r="AH491" s="457">
        <f t="shared" si="301"/>
        <v>0</v>
      </c>
      <c r="AI491" s="97">
        <f t="shared" ref="AI491" si="303">IF(AC491=0,0,AH491/AC491)</f>
        <v>0</v>
      </c>
      <c r="AJ491" s="439"/>
      <c r="AK491" s="439"/>
      <c r="AL491" s="87">
        <f>SUMIFS(BV_Data_An_Prec!$O:$O,BV_Data_An_Prec!$V:$V,$V491)</f>
        <v>-3540.56</v>
      </c>
      <c r="AM491" s="508"/>
      <c r="AN491" s="457">
        <f t="shared" si="302"/>
        <v>3540.56</v>
      </c>
      <c r="AO491" s="214">
        <f t="shared" ref="AO491" si="304">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
        <v>262</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original'!$A$2:$AO$500,MATCH($A492,'Budget original'!$A$2:$A$500,0),MATCH(F$2,'Budget original'!$A$2:$AO$2,0))</f>
        <v>450.06</v>
      </c>
      <c r="AA492" s="439"/>
      <c r="AB492" s="439"/>
      <c r="AC492" s="87">
        <f>+INDEX('Budget révisé'!$A$2:$AO$500,MATCH($A492,'Budget révisé'!$A$2:$A$500,0),MATCH(I$2,'Budget révisé'!$A$2:$AO$2,0))</f>
        <v>450.06</v>
      </c>
      <c r="AD492" s="439"/>
      <c r="AE492" s="178"/>
      <c r="AF492" s="87">
        <f>SUMIFS(BV_Data_An_Cour!$O:$O,BV_Data_An_Cour!$V:$V,$V492)</f>
        <v>426.79</v>
      </c>
      <c r="AG492" s="439"/>
      <c r="AH492" s="457">
        <f t="shared" ref="AH492:AH496" si="305">AF492-AC492</f>
        <v>-23.269999999999982</v>
      </c>
      <c r="AI492" s="97">
        <f t="shared" ref="AI492:AI496" si="306">IF(AC492=0,0,AH492/AC492)</f>
        <v>-5.1704217215482337E-2</v>
      </c>
      <c r="AJ492" s="439"/>
      <c r="AK492" s="439"/>
      <c r="AL492" s="87">
        <f>SUMIFS(BV_Data_An_Prec!$O:$O,BV_Data_An_Prec!$V:$V,$V492)</f>
        <v>570.58999999999992</v>
      </c>
      <c r="AM492" s="508"/>
      <c r="AN492" s="457">
        <f t="shared" ref="AN492:AN496" si="307">AF492-AL492</f>
        <v>-143.7999999999999</v>
      </c>
      <c r="AO492" s="214">
        <f t="shared" ref="AO492:AO496" si="308">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
        <v>263</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original'!$A$2:$AO$500,MATCH($A493,'Budget original'!$A$2:$A$500,0),MATCH(F$2,'Budget original'!$A$2:$AO$2,0))</f>
        <v>0</v>
      </c>
      <c r="AA493" s="439"/>
      <c r="AB493" s="439"/>
      <c r="AC493" s="87">
        <f>+INDEX('Budget révisé'!$A$2:$AO$500,MATCH($A493,'Budget révisé'!$A$2:$A$500,0),MATCH(I$2,'Budget révisé'!$A$2:$AO$2,0))</f>
        <v>0</v>
      </c>
      <c r="AD493" s="439"/>
      <c r="AE493" s="178"/>
      <c r="AF493" s="87">
        <f>SUMIFS(BV_Data_An_Cour!$O:$O,BV_Data_An_Cour!$V:$V,$V493)</f>
        <v>0</v>
      </c>
      <c r="AG493" s="439"/>
      <c r="AH493" s="457">
        <f t="shared" si="305"/>
        <v>0</v>
      </c>
      <c r="AI493" s="97">
        <f t="shared" si="306"/>
        <v>0</v>
      </c>
      <c r="AJ493" s="439"/>
      <c r="AK493" s="439"/>
      <c r="AL493" s="87">
        <f>SUMIFS(BV_Data_An_Prec!$O:$O,BV_Data_An_Prec!$V:$V,$V493)</f>
        <v>0</v>
      </c>
      <c r="AM493" s="508"/>
      <c r="AN493" s="457">
        <f t="shared" si="307"/>
        <v>0</v>
      </c>
      <c r="AO493" s="214">
        <f t="shared" si="308"/>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
        <v>42</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09">IFERROR(SUMIF($C:$C,$V494,F:F),0)</f>
        <v>0</v>
      </c>
      <c r="AA494" s="455"/>
      <c r="AB494" s="455"/>
      <c r="AC494" s="87">
        <f t="shared" ref="AC494:AC496" si="310">IFERROR(SUMIF($C:$C,$V494,I:I),0)</f>
        <v>0</v>
      </c>
      <c r="AD494" s="462"/>
      <c r="AE494" s="461"/>
      <c r="AF494" s="87">
        <f t="shared" ref="AF494:AF496" si="311">IFERROR(SUMIF($C:$C,$V494,L:L),0)</f>
        <v>0</v>
      </c>
      <c r="AG494" s="456"/>
      <c r="AH494" s="457">
        <f t="shared" si="305"/>
        <v>0</v>
      </c>
      <c r="AI494" s="458">
        <f t="shared" si="306"/>
        <v>0</v>
      </c>
      <c r="AJ494" s="462"/>
      <c r="AK494" s="455"/>
      <c r="AL494" s="87">
        <f t="shared" ref="AL494:AL496" si="312">IFERROR(SUMIF($C:$C,$V494,Q:Q),0)</f>
        <v>0</v>
      </c>
      <c r="AM494" s="508"/>
      <c r="AN494" s="457">
        <f t="shared" si="307"/>
        <v>0</v>
      </c>
      <c r="AO494" s="214">
        <f t="shared" si="308"/>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
        <v>42</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09"/>
        <v>0</v>
      </c>
      <c r="AA495" s="455"/>
      <c r="AB495" s="455"/>
      <c r="AC495" s="87">
        <f t="shared" si="310"/>
        <v>0</v>
      </c>
      <c r="AD495" s="462"/>
      <c r="AE495" s="461"/>
      <c r="AF495" s="87">
        <f t="shared" si="311"/>
        <v>0</v>
      </c>
      <c r="AG495" s="456"/>
      <c r="AH495" s="457">
        <f t="shared" si="305"/>
        <v>0</v>
      </c>
      <c r="AI495" s="458">
        <f t="shared" si="306"/>
        <v>0</v>
      </c>
      <c r="AJ495" s="462"/>
      <c r="AK495" s="455"/>
      <c r="AL495" s="87">
        <f t="shared" si="312"/>
        <v>0</v>
      </c>
      <c r="AM495" s="508"/>
      <c r="AN495" s="457">
        <f t="shared" si="307"/>
        <v>0</v>
      </c>
      <c r="AO495" s="214">
        <f t="shared" si="308"/>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
        <v>42</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09"/>
        <v>0</v>
      </c>
      <c r="AA496" s="455"/>
      <c r="AB496" s="455"/>
      <c r="AC496" s="87">
        <f t="shared" si="310"/>
        <v>0</v>
      </c>
      <c r="AD496" s="462"/>
      <c r="AE496" s="461"/>
      <c r="AF496" s="87">
        <f t="shared" si="311"/>
        <v>0</v>
      </c>
      <c r="AG496" s="456"/>
      <c r="AH496" s="457">
        <f t="shared" si="305"/>
        <v>0</v>
      </c>
      <c r="AI496" s="458">
        <f t="shared" si="306"/>
        <v>0</v>
      </c>
      <c r="AJ496" s="462"/>
      <c r="AK496" s="455"/>
      <c r="AL496" s="87">
        <f t="shared" si="312"/>
        <v>0</v>
      </c>
      <c r="AM496" s="508"/>
      <c r="AN496" s="457">
        <f t="shared" si="307"/>
        <v>0</v>
      </c>
      <c r="AO496" s="214">
        <f t="shared" si="308"/>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
        <v>264</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1.8484851252176444E-3</v>
      </c>
      <c r="Z497" s="491">
        <f>Z488-Z490-Z491-Z492-Z496</f>
        <v>5569.9254160686269</v>
      </c>
      <c r="AA497" s="489" t="s">
        <v>258</v>
      </c>
      <c r="AB497" s="490">
        <f>AC497/AC405</f>
        <v>1.8484851252176444E-3</v>
      </c>
      <c r="AC497" s="491">
        <f>AC488-AC490-AC491-AC492-AC496</f>
        <v>5569.9254160686269</v>
      </c>
      <c r="AD497" s="489" t="s">
        <v>258</v>
      </c>
      <c r="AE497" s="490">
        <f>AF497/AF405</f>
        <v>3.210639298644543E-2</v>
      </c>
      <c r="AF497" s="217">
        <f>AF488-AF490-AF491-AF492-AF496</f>
        <v>116061.05999999985</v>
      </c>
      <c r="AG497" s="492"/>
      <c r="AH497" s="492">
        <f>AF497-AC497</f>
        <v>110491.13458393123</v>
      </c>
      <c r="AI497" s="546">
        <f>AH497/AC497</f>
        <v>19.837094095582746</v>
      </c>
      <c r="AJ497" s="493" t="s">
        <v>258</v>
      </c>
      <c r="AK497" s="490">
        <f>IF($AL$405=0,0,AL497/$AL$405)</f>
        <v>-1.5681175209310286E-2</v>
      </c>
      <c r="AL497" s="217">
        <f>AL488-AL490-AL491-AL492-AL496</f>
        <v>-32869.019999999902</v>
      </c>
      <c r="AM497" s="218"/>
      <c r="AN497" s="217">
        <f>AF497-AL497</f>
        <v>148930.07999999975</v>
      </c>
      <c r="AO497" s="509">
        <f>IF(AL497=0,0,AN497/AL497)</f>
        <v>-4.5310167446428338</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
        <v>3545</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f>Z497</f>
        <v>5569.9254160686269</v>
      </c>
      <c r="AA500" s="79"/>
      <c r="AB500" s="79"/>
      <c r="AC500" s="101">
        <f>Z500</f>
        <v>5569.9254160686269</v>
      </c>
      <c r="AD500" s="79"/>
      <c r="AE500" s="79"/>
      <c r="AF500" s="1094">
        <f>AF497</f>
        <v>116061.05999999985</v>
      </c>
      <c r="AG500" s="79"/>
      <c r="AH500" s="79"/>
      <c r="AI500" s="79"/>
      <c r="AJ500" s="79"/>
      <c r="AK500" s="79"/>
      <c r="AL500" s="79">
        <v>-32869.019999999997</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v>
      </c>
      <c r="AA501" s="79"/>
      <c r="AB501" s="79"/>
      <c r="AC501" s="101">
        <f>AC497-AC500</f>
        <v>0</v>
      </c>
      <c r="AD501" s="79"/>
      <c r="AE501" s="79"/>
      <c r="AF501" s="1144">
        <f>AF497-AF500</f>
        <v>0</v>
      </c>
      <c r="AG501" s="79"/>
      <c r="AH501" s="79"/>
      <c r="AI501" s="79"/>
      <c r="AJ501" s="79"/>
      <c r="AK501" s="79"/>
      <c r="AL501" s="127">
        <f>AL497-AL500</f>
        <v>9.4587448984384537E-11</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101"/>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J25:L30 H184:I186">
    <cfRule type="expression" dxfId="704" priority="589" stopIfTrue="1">
      <formula>"esterreur(reference)"</formula>
    </cfRule>
  </conditionalFormatting>
  <conditionalFormatting sqref="M95:M96">
    <cfRule type="expression" dxfId="703" priority="590" stopIfTrue="1">
      <formula>"esterreur(reference)"</formula>
    </cfRule>
  </conditionalFormatting>
  <conditionalFormatting sqref="H275:H280 J275:K280">
    <cfRule type="expression" dxfId="702" priority="591" stopIfTrue="1">
      <formula>"esterreur(reference)"</formula>
    </cfRule>
  </conditionalFormatting>
  <conditionalFormatting sqref="H219:H224 J219:K224">
    <cfRule type="expression" dxfId="701" priority="592" stopIfTrue="1">
      <formula>"esterreur(reference)"</formula>
    </cfRule>
  </conditionalFormatting>
  <conditionalFormatting sqref="H141:H147 J141:K147">
    <cfRule type="expression" dxfId="700" priority="593" stopIfTrue="1">
      <formula>"esterreur(reference)"</formula>
    </cfRule>
  </conditionalFormatting>
  <conditionalFormatting sqref="H137:H139 J137:K139">
    <cfRule type="expression" dxfId="699" priority="594" stopIfTrue="1">
      <formula>"esterreur(reference)"</formula>
    </cfRule>
  </conditionalFormatting>
  <conditionalFormatting sqref="H140 J140:K140">
    <cfRule type="expression" dxfId="698" priority="595" stopIfTrue="1">
      <formula>"esterreur(reference)"</formula>
    </cfRule>
  </conditionalFormatting>
  <conditionalFormatting sqref="L82">
    <cfRule type="expression" dxfId="697" priority="536" stopIfTrue="1">
      <formula>"esterreur(reference)"</formula>
    </cfRule>
  </conditionalFormatting>
  <conditionalFormatting sqref="M311">
    <cfRule type="expression" dxfId="696" priority="597" stopIfTrue="1">
      <formula>"esterreur(reference)"</formula>
    </cfRule>
  </conditionalFormatting>
  <conditionalFormatting sqref="R311">
    <cfRule type="expression" dxfId="695" priority="598" stopIfTrue="1">
      <formula>"esterreur(reference)"</formula>
    </cfRule>
  </conditionalFormatting>
  <conditionalFormatting sqref="AG408:AI413 AH490:AI490 AH465:AI467 AH452:AI459 AH432:AI447 AH460:AH461 AI491:AI493 AH419:AI423 AH427:AI430 AI424:AI426">
    <cfRule type="cellIs" dxfId="694" priority="599" operator="greaterThan">
      <formula>0</formula>
    </cfRule>
  </conditionalFormatting>
  <conditionalFormatting sqref="AH468:AI475 AH479:AI479">
    <cfRule type="cellIs" dxfId="693" priority="600" operator="lessThan">
      <formula>0</formula>
    </cfRule>
  </conditionalFormatting>
  <conditionalFormatting sqref="AH491:AH493">
    <cfRule type="cellIs" dxfId="692" priority="603" operator="greaterThan">
      <formula>0</formula>
    </cfRule>
  </conditionalFormatting>
  <conditionalFormatting sqref="J281:K283">
    <cfRule type="expression" dxfId="691" priority="607" stopIfTrue="1">
      <formula>"esterreur(reference)"</formula>
    </cfRule>
  </conditionalFormatting>
  <conditionalFormatting sqref="K356 J356:J357 H356:I356 L355:L356 H358:L358">
    <cfRule type="expression" dxfId="690" priority="611" stopIfTrue="1">
      <formula>"esterreur(reference)"</formula>
    </cfRule>
  </conditionalFormatting>
  <conditionalFormatting sqref="H396">
    <cfRule type="expression" dxfId="689" priority="612" stopIfTrue="1">
      <formula>"esterreur(reference)"</formula>
    </cfRule>
  </conditionalFormatting>
  <conditionalFormatting sqref="I376:L376 H377:H392 J377:K392">
    <cfRule type="expression" dxfId="688" priority="613" stopIfTrue="1">
      <formula>"esterreur(reference)"</formula>
    </cfRule>
  </conditionalFormatting>
  <conditionalFormatting sqref="H397:L398 I396:L396 H395:L395 H393:H394 J393:K393">
    <cfRule type="expression" dxfId="687" priority="614" stopIfTrue="1">
      <formula>"esterreur(reference)"</formula>
    </cfRule>
  </conditionalFormatting>
  <conditionalFormatting sqref="H360:L362 H359 K359">
    <cfRule type="expression" dxfId="686" priority="615" stopIfTrue="1">
      <formula>"esterreur(reference)"</formula>
    </cfRule>
  </conditionalFormatting>
  <conditionalFormatting sqref="K394">
    <cfRule type="expression" dxfId="685" priority="616" stopIfTrue="1">
      <formula>"esterreur(reference)"</formula>
    </cfRule>
  </conditionalFormatting>
  <conditionalFormatting sqref="H316:L316">
    <cfRule type="expression" dxfId="684" priority="620" stopIfTrue="1">
      <formula>"esterreur(reference)"</formula>
    </cfRule>
  </conditionalFormatting>
  <conditionalFormatting sqref="H196:L196">
    <cfRule type="expression" dxfId="683" priority="621" stopIfTrue="1">
      <formula>"esterreur(reference)"</formula>
    </cfRule>
  </conditionalFormatting>
  <conditionalFormatting sqref="J55:K56 J71:K71">
    <cfRule type="expression" dxfId="682" priority="626" stopIfTrue="1">
      <formula>"esterreur(reference)"</formula>
    </cfRule>
  </conditionalFormatting>
  <conditionalFormatting sqref="J61:K70">
    <cfRule type="expression" dxfId="681" priority="627" stopIfTrue="1">
      <formula>"esterreur(reference)"</formula>
    </cfRule>
  </conditionalFormatting>
  <conditionalFormatting sqref="J57:K59">
    <cfRule type="expression" dxfId="680" priority="628" stopIfTrue="1">
      <formula>"esterreur(reference)"</formula>
    </cfRule>
  </conditionalFormatting>
  <conditionalFormatting sqref="J60:K60">
    <cfRule type="expression" dxfId="679" priority="629" stopIfTrue="1">
      <formula>"esterreur(reference)"</formula>
    </cfRule>
  </conditionalFormatting>
  <conditionalFormatting sqref="L19 L21:L23">
    <cfRule type="expression" dxfId="678" priority="585" stopIfTrue="1">
      <formula>"esterreur(reference)"</formula>
    </cfRule>
  </conditionalFormatting>
  <conditionalFormatting sqref="K98">
    <cfRule type="expression" dxfId="677" priority="631" stopIfTrue="1">
      <formula>"esterreur(reference)"</formula>
    </cfRule>
  </conditionalFormatting>
  <conditionalFormatting sqref="L331:L347">
    <cfRule type="expression" dxfId="676" priority="411" stopIfTrue="1">
      <formula>"esterreur(reference)"</formula>
    </cfRule>
  </conditionalFormatting>
  <conditionalFormatting sqref="L16:L17">
    <cfRule type="expression" dxfId="675" priority="587" stopIfTrue="1">
      <formula>"esterreur(reference)"</formula>
    </cfRule>
  </conditionalFormatting>
  <conditionalFormatting sqref="L20">
    <cfRule type="expression" dxfId="674" priority="582" stopIfTrue="1">
      <formula>"esterreur(reference)"</formula>
    </cfRule>
  </conditionalFormatting>
  <conditionalFormatting sqref="L325">
    <cfRule type="expression" dxfId="673" priority="416" stopIfTrue="1">
      <formula>"esterreur(reference)"</formula>
    </cfRule>
  </conditionalFormatting>
  <conditionalFormatting sqref="L326">
    <cfRule type="expression" dxfId="672" priority="415" stopIfTrue="1">
      <formula>"esterreur(reference)"</formula>
    </cfRule>
  </conditionalFormatting>
  <conditionalFormatting sqref="L327">
    <cfRule type="expression" dxfId="671" priority="414" stopIfTrue="1">
      <formula>"esterreur(reference)"</formula>
    </cfRule>
  </conditionalFormatting>
  <conditionalFormatting sqref="L328">
    <cfRule type="expression" dxfId="670" priority="413" stopIfTrue="1">
      <formula>"esterreur(reference)"</formula>
    </cfRule>
  </conditionalFormatting>
  <conditionalFormatting sqref="L42">
    <cfRule type="expression" dxfId="669" priority="566" stopIfTrue="1">
      <formula>"esterreur(reference)"</formula>
    </cfRule>
  </conditionalFormatting>
  <conditionalFormatting sqref="L43">
    <cfRule type="expression" dxfId="668" priority="565" stopIfTrue="1">
      <formula>"esterreur(reference)"</formula>
    </cfRule>
  </conditionalFormatting>
  <conditionalFormatting sqref="L44">
    <cfRule type="expression" dxfId="667" priority="564" stopIfTrue="1">
      <formula>"esterreur(reference)"</formula>
    </cfRule>
  </conditionalFormatting>
  <conditionalFormatting sqref="L45:L48">
    <cfRule type="expression" dxfId="666" priority="563" stopIfTrue="1">
      <formula>"esterreur(reference)"</formula>
    </cfRule>
  </conditionalFormatting>
  <conditionalFormatting sqref="L55">
    <cfRule type="expression" dxfId="665" priority="557" stopIfTrue="1">
      <formula>"esterreur(reference)"</formula>
    </cfRule>
  </conditionalFormatting>
  <conditionalFormatting sqref="L56">
    <cfRule type="expression" dxfId="664" priority="556" stopIfTrue="1">
      <formula>"esterreur(reference)"</formula>
    </cfRule>
  </conditionalFormatting>
  <conditionalFormatting sqref="L271">
    <cfRule type="expression" dxfId="663" priority="431" stopIfTrue="1">
      <formula>"esterreur(reference)"</formula>
    </cfRule>
  </conditionalFormatting>
  <conditionalFormatting sqref="L58">
    <cfRule type="expression" dxfId="662" priority="554" stopIfTrue="1">
      <formula>"esterreur(reference)"</formula>
    </cfRule>
  </conditionalFormatting>
  <conditionalFormatting sqref="L61">
    <cfRule type="expression" dxfId="661" priority="551" stopIfTrue="1">
      <formula>"esterreur(reference)"</formula>
    </cfRule>
  </conditionalFormatting>
  <conditionalFormatting sqref="L274">
    <cfRule type="expression" dxfId="660" priority="429" stopIfTrue="1">
      <formula>"esterreur(reference)"</formula>
    </cfRule>
  </conditionalFormatting>
  <conditionalFormatting sqref="L63">
    <cfRule type="expression" dxfId="659" priority="550" stopIfTrue="1">
      <formula>"esterreur(reference)"</formula>
    </cfRule>
  </conditionalFormatting>
  <conditionalFormatting sqref="L62">
    <cfRule type="expression" dxfId="658" priority="549" stopIfTrue="1">
      <formula>"esterreur(reference)"</formula>
    </cfRule>
  </conditionalFormatting>
  <conditionalFormatting sqref="L64">
    <cfRule type="expression" dxfId="657" priority="548" stopIfTrue="1">
      <formula>"esterreur(reference)"</formula>
    </cfRule>
  </conditionalFormatting>
  <conditionalFormatting sqref="L65">
    <cfRule type="expression" dxfId="656" priority="547" stopIfTrue="1">
      <formula>"esterreur(reference)"</formula>
    </cfRule>
  </conditionalFormatting>
  <conditionalFormatting sqref="L69 L66:L67">
    <cfRule type="expression" dxfId="655" priority="546" stopIfTrue="1">
      <formula>"esterreur(reference)"</formula>
    </cfRule>
  </conditionalFormatting>
  <conditionalFormatting sqref="L70">
    <cfRule type="expression" dxfId="654" priority="545" stopIfTrue="1">
      <formula>"esterreur(reference)"</formula>
    </cfRule>
  </conditionalFormatting>
  <conditionalFormatting sqref="L76:L77">
    <cfRule type="expression" dxfId="653" priority="541" stopIfTrue="1">
      <formula>"esterreur(reference)"</formula>
    </cfRule>
  </conditionalFormatting>
  <conditionalFormatting sqref="L78:L81">
    <cfRule type="expression" dxfId="652" priority="540" stopIfTrue="1">
      <formula>"esterreur(reference)"</formula>
    </cfRule>
  </conditionalFormatting>
  <conditionalFormatting sqref="L57">
    <cfRule type="expression" dxfId="651" priority="531" stopIfTrue="1">
      <formula>"esterreur(reference)"</formula>
    </cfRule>
  </conditionalFormatting>
  <conditionalFormatting sqref="L94:L95">
    <cfRule type="expression" dxfId="650" priority="529" stopIfTrue="1">
      <formula>"esterreur(reference)"</formula>
    </cfRule>
  </conditionalFormatting>
  <conditionalFormatting sqref="L98">
    <cfRule type="expression" dxfId="649" priority="528" stopIfTrue="1">
      <formula>"esterreur(reference)"</formula>
    </cfRule>
  </conditionalFormatting>
  <conditionalFormatting sqref="L99">
    <cfRule type="expression" dxfId="648" priority="527" stopIfTrue="1">
      <formula>"esterreur(reference)"</formula>
    </cfRule>
  </conditionalFormatting>
  <conditionalFormatting sqref="L101">
    <cfRule type="expression" dxfId="647" priority="526" stopIfTrue="1">
      <formula>"esterreur(reference)"</formula>
    </cfRule>
  </conditionalFormatting>
  <conditionalFormatting sqref="L102">
    <cfRule type="expression" dxfId="646" priority="525" stopIfTrue="1">
      <formula>"esterreur(reference)"</formula>
    </cfRule>
  </conditionalFormatting>
  <conditionalFormatting sqref="L103">
    <cfRule type="expression" dxfId="645" priority="523" stopIfTrue="1">
      <formula>"esterreur(reference)"</formula>
    </cfRule>
  </conditionalFormatting>
  <conditionalFormatting sqref="L111">
    <cfRule type="expression" dxfId="644" priority="522" stopIfTrue="1">
      <formula>"esterreur(reference)"</formula>
    </cfRule>
  </conditionalFormatting>
  <conditionalFormatting sqref="L112">
    <cfRule type="expression" dxfId="643" priority="521" stopIfTrue="1">
      <formula>"esterreur(reference)"</formula>
    </cfRule>
  </conditionalFormatting>
  <conditionalFormatting sqref="L207">
    <cfRule type="expression" dxfId="642" priority="457" stopIfTrue="1">
      <formula>"esterreur(reference)"</formula>
    </cfRule>
  </conditionalFormatting>
  <conditionalFormatting sqref="L114">
    <cfRule type="expression" dxfId="641" priority="519" stopIfTrue="1">
      <formula>"esterreur(reference)"</formula>
    </cfRule>
  </conditionalFormatting>
  <conditionalFormatting sqref="L227">
    <cfRule type="expression" dxfId="640" priority="453" stopIfTrue="1">
      <formula>"esterreur(reference)"</formula>
    </cfRule>
  </conditionalFormatting>
  <conditionalFormatting sqref="L116:L119">
    <cfRule type="expression" dxfId="639" priority="517" stopIfTrue="1">
      <formula>"esterreur(reference)"</formula>
    </cfRule>
  </conditionalFormatting>
  <conditionalFormatting sqref="L120">
    <cfRule type="expression" dxfId="638" priority="516" stopIfTrue="1">
      <formula>"esterreur(reference)"</formula>
    </cfRule>
  </conditionalFormatting>
  <conditionalFormatting sqref="L130">
    <cfRule type="expression" dxfId="637" priority="504" stopIfTrue="1">
      <formula>"esterreur(reference)"</formula>
    </cfRule>
  </conditionalFormatting>
  <conditionalFormatting sqref="L124">
    <cfRule type="expression" dxfId="636" priority="511" stopIfTrue="1">
      <formula>"esterreur(reference)"</formula>
    </cfRule>
  </conditionalFormatting>
  <conditionalFormatting sqref="L123">
    <cfRule type="expression" dxfId="635" priority="509" stopIfTrue="1">
      <formula>"esterreur(reference)"</formula>
    </cfRule>
  </conditionalFormatting>
  <conditionalFormatting sqref="L138">
    <cfRule type="expression" dxfId="634" priority="497" stopIfTrue="1">
      <formula>"esterreur(reference)"</formula>
    </cfRule>
  </conditionalFormatting>
  <conditionalFormatting sqref="L131">
    <cfRule type="expression" dxfId="633" priority="503" stopIfTrue="1">
      <formula>"esterreur(reference)"</formula>
    </cfRule>
  </conditionalFormatting>
  <conditionalFormatting sqref="L132">
    <cfRule type="expression" dxfId="632" priority="502" stopIfTrue="1">
      <formula>"esterreur(reference)"</formula>
    </cfRule>
  </conditionalFormatting>
  <conditionalFormatting sqref="L133">
    <cfRule type="expression" dxfId="631" priority="501" stopIfTrue="1">
      <formula>"esterreur(reference)"</formula>
    </cfRule>
  </conditionalFormatting>
  <conditionalFormatting sqref="L139">
    <cfRule type="expression" dxfId="630" priority="496" stopIfTrue="1">
      <formula>"esterreur(reference)"</formula>
    </cfRule>
  </conditionalFormatting>
  <conditionalFormatting sqref="L136">
    <cfRule type="expression" dxfId="629" priority="499" stopIfTrue="1">
      <formula>"esterreur(reference)"</formula>
    </cfRule>
  </conditionalFormatting>
  <conditionalFormatting sqref="L137">
    <cfRule type="expression" dxfId="628" priority="498" stopIfTrue="1">
      <formula>"esterreur(reference)"</formula>
    </cfRule>
  </conditionalFormatting>
  <conditionalFormatting sqref="L140">
    <cfRule type="expression" dxfId="627" priority="495" stopIfTrue="1">
      <formula>"esterreur(reference)"</formula>
    </cfRule>
  </conditionalFormatting>
  <conditionalFormatting sqref="L141">
    <cfRule type="expression" dxfId="626" priority="494" stopIfTrue="1">
      <formula>"esterreur(reference)"</formula>
    </cfRule>
  </conditionalFormatting>
  <conditionalFormatting sqref="L142">
    <cfRule type="expression" dxfId="625" priority="493" stopIfTrue="1">
      <formula>"esterreur(reference)"</formula>
    </cfRule>
  </conditionalFormatting>
  <conditionalFormatting sqref="L143">
    <cfRule type="expression" dxfId="624" priority="492" stopIfTrue="1">
      <formula>"esterreur(reference)"</formula>
    </cfRule>
  </conditionalFormatting>
  <conditionalFormatting sqref="L144">
    <cfRule type="expression" dxfId="623" priority="491" stopIfTrue="1">
      <formula>"esterreur(reference)"</formula>
    </cfRule>
  </conditionalFormatting>
  <conditionalFormatting sqref="L145">
    <cfRule type="expression" dxfId="622" priority="490" stopIfTrue="1">
      <formula>"esterreur(reference)"</formula>
    </cfRule>
  </conditionalFormatting>
  <conditionalFormatting sqref="L146">
    <cfRule type="expression" dxfId="621" priority="489" stopIfTrue="1">
      <formula>"esterreur(reference)"</formula>
    </cfRule>
  </conditionalFormatting>
  <conditionalFormatting sqref="L147">
    <cfRule type="expression" dxfId="620" priority="488" stopIfTrue="1">
      <formula>"esterreur(reference)"</formula>
    </cfRule>
  </conditionalFormatting>
  <conditionalFormatting sqref="L155">
    <cfRule type="expression" dxfId="619" priority="483" stopIfTrue="1">
      <formula>"esterreur(reference)"</formula>
    </cfRule>
  </conditionalFormatting>
  <conditionalFormatting sqref="L157">
    <cfRule type="expression" dxfId="618" priority="481" stopIfTrue="1">
      <formula>"esterreur(reference)"</formula>
    </cfRule>
  </conditionalFormatting>
  <conditionalFormatting sqref="L156">
    <cfRule type="expression" dxfId="617" priority="482" stopIfTrue="1">
      <formula>"esterreur(reference)"</formula>
    </cfRule>
  </conditionalFormatting>
  <conditionalFormatting sqref="L115">
    <cfRule type="expression" dxfId="616" priority="474" stopIfTrue="1">
      <formula>"esterreur(reference)"</formula>
    </cfRule>
  </conditionalFormatting>
  <conditionalFormatting sqref="L113">
    <cfRule type="expression" dxfId="615" priority="473" stopIfTrue="1">
      <formula>"esterreur(reference)"</formula>
    </cfRule>
  </conditionalFormatting>
  <conditionalFormatting sqref="L171">
    <cfRule type="expression" dxfId="614" priority="472" stopIfTrue="1">
      <formula>"esterreur(reference)"</formula>
    </cfRule>
  </conditionalFormatting>
  <conditionalFormatting sqref="L174">
    <cfRule type="expression" dxfId="613" priority="471" stopIfTrue="1">
      <formula>"esterreur(reference)"</formula>
    </cfRule>
  </conditionalFormatting>
  <conditionalFormatting sqref="L177">
    <cfRule type="expression" dxfId="612" priority="470" stopIfTrue="1">
      <formula>"esterreur(reference)"</formula>
    </cfRule>
  </conditionalFormatting>
  <conditionalFormatting sqref="L187">
    <cfRule type="expression" dxfId="611" priority="467" stopIfTrue="1">
      <formula>"esterreur(reference)"</formula>
    </cfRule>
  </conditionalFormatting>
  <conditionalFormatting sqref="L197">
    <cfRule type="expression" dxfId="610" priority="466" stopIfTrue="1">
      <formula>"esterreur(reference)"</formula>
    </cfRule>
  </conditionalFormatting>
  <conditionalFormatting sqref="L199">
    <cfRule type="expression" dxfId="609" priority="465" stopIfTrue="1">
      <formula>"esterreur(reference)"</formula>
    </cfRule>
  </conditionalFormatting>
  <conditionalFormatting sqref="L198">
    <cfRule type="expression" dxfId="608" priority="464" stopIfTrue="1">
      <formula>"esterreur(reference)"</formula>
    </cfRule>
  </conditionalFormatting>
  <conditionalFormatting sqref="L200">
    <cfRule type="expression" dxfId="607" priority="463" stopIfTrue="1">
      <formula>"esterreur(reference)"</formula>
    </cfRule>
  </conditionalFormatting>
  <conditionalFormatting sqref="L201">
    <cfRule type="expression" dxfId="606" priority="462" stopIfTrue="1">
      <formula>"esterreur(reference)"</formula>
    </cfRule>
  </conditionalFormatting>
  <conditionalFormatting sqref="L202:L204">
    <cfRule type="expression" dxfId="605" priority="461" stopIfTrue="1">
      <formula>"esterreur(reference)"</formula>
    </cfRule>
  </conditionalFormatting>
  <conditionalFormatting sqref="L206">
    <cfRule type="expression" dxfId="604" priority="458" stopIfTrue="1">
      <formula>"esterreur(reference)"</formula>
    </cfRule>
  </conditionalFormatting>
  <conditionalFormatting sqref="L205">
    <cfRule type="expression" dxfId="603" priority="459" stopIfTrue="1">
      <formula>"esterreur(reference)"</formula>
    </cfRule>
  </conditionalFormatting>
  <conditionalFormatting sqref="L208">
    <cfRule type="expression" dxfId="602" priority="456" stopIfTrue="1">
      <formula>"esterreur(reference)"</formula>
    </cfRule>
  </conditionalFormatting>
  <conditionalFormatting sqref="L211:L224">
    <cfRule type="expression" dxfId="601" priority="455" stopIfTrue="1">
      <formula>"esterreur(reference)"</formula>
    </cfRule>
  </conditionalFormatting>
  <conditionalFormatting sqref="L225:L226">
    <cfRule type="expression" dxfId="600" priority="454" stopIfTrue="1">
      <formula>"esterreur(reference)"</formula>
    </cfRule>
  </conditionalFormatting>
  <conditionalFormatting sqref="L180">
    <cfRule type="expression" dxfId="599" priority="451" stopIfTrue="1">
      <formula>"esterreur(reference)"</formula>
    </cfRule>
  </conditionalFormatting>
  <conditionalFormatting sqref="L243">
    <cfRule type="expression" dxfId="598" priority="449" stopIfTrue="1">
      <formula>"esterreur(reference)"</formula>
    </cfRule>
  </conditionalFormatting>
  <conditionalFormatting sqref="L246">
    <cfRule type="expression" dxfId="597" priority="448" stopIfTrue="1">
      <formula>"esterreur(reference)"</formula>
    </cfRule>
  </conditionalFormatting>
  <conditionalFormatting sqref="L253">
    <cfRule type="expression" dxfId="596" priority="447" stopIfTrue="1">
      <formula>"esterreur(reference)"</formula>
    </cfRule>
  </conditionalFormatting>
  <conditionalFormatting sqref="L254">
    <cfRule type="expression" dxfId="595" priority="446" stopIfTrue="1">
      <formula>"esterreur(reference)"</formula>
    </cfRule>
  </conditionalFormatting>
  <conditionalFormatting sqref="L255">
    <cfRule type="expression" dxfId="594" priority="445" stopIfTrue="1">
      <formula>"esterreur(reference)"</formula>
    </cfRule>
  </conditionalFormatting>
  <conditionalFormatting sqref="L256">
    <cfRule type="expression" dxfId="593" priority="444" stopIfTrue="1">
      <formula>"esterreur(reference)"</formula>
    </cfRule>
  </conditionalFormatting>
  <conditionalFormatting sqref="L257">
    <cfRule type="expression" dxfId="592" priority="443" stopIfTrue="1">
      <formula>"esterreur(reference)"</formula>
    </cfRule>
  </conditionalFormatting>
  <conditionalFormatting sqref="L258">
    <cfRule type="expression" dxfId="591" priority="442" stopIfTrue="1">
      <formula>"esterreur(reference)"</formula>
    </cfRule>
  </conditionalFormatting>
  <conditionalFormatting sqref="L259">
    <cfRule type="expression" dxfId="590" priority="441" stopIfTrue="1">
      <formula>"esterreur(reference)"</formula>
    </cfRule>
  </conditionalFormatting>
  <conditionalFormatting sqref="L260">
    <cfRule type="expression" dxfId="589" priority="440" stopIfTrue="1">
      <formula>"esterreur(reference)"</formula>
    </cfRule>
  </conditionalFormatting>
  <conditionalFormatting sqref="L261">
    <cfRule type="expression" dxfId="588" priority="439" stopIfTrue="1">
      <formula>"esterreur(reference)"</formula>
    </cfRule>
  </conditionalFormatting>
  <conditionalFormatting sqref="L262">
    <cfRule type="expression" dxfId="587" priority="438" stopIfTrue="1">
      <formula>"esterreur(reference)"</formula>
    </cfRule>
  </conditionalFormatting>
  <conditionalFormatting sqref="L263:L264">
    <cfRule type="expression" dxfId="586" priority="437" stopIfTrue="1">
      <formula>"esterreur(reference)"</formula>
    </cfRule>
  </conditionalFormatting>
  <conditionalFormatting sqref="L268">
    <cfRule type="expression" dxfId="585" priority="434" stopIfTrue="1">
      <formula>"esterreur(reference)"</formula>
    </cfRule>
  </conditionalFormatting>
  <conditionalFormatting sqref="L267">
    <cfRule type="expression" dxfId="584" priority="435" stopIfTrue="1">
      <formula>"esterreur(reference)"</formula>
    </cfRule>
  </conditionalFormatting>
  <conditionalFormatting sqref="L269">
    <cfRule type="expression" dxfId="583" priority="433" stopIfTrue="1">
      <formula>"esterreur(reference)"</formula>
    </cfRule>
  </conditionalFormatting>
  <conditionalFormatting sqref="L270">
    <cfRule type="expression" dxfId="582" priority="432" stopIfTrue="1">
      <formula>"esterreur(reference)"</formula>
    </cfRule>
  </conditionalFormatting>
  <conditionalFormatting sqref="L272:L273">
    <cfRule type="expression" dxfId="581" priority="430" stopIfTrue="1">
      <formula>"esterreur(reference)"</formula>
    </cfRule>
  </conditionalFormatting>
  <conditionalFormatting sqref="L294:L300">
    <cfRule type="expression" dxfId="580" priority="425" stopIfTrue="1">
      <formula>"esterreur(reference)"</formula>
    </cfRule>
  </conditionalFormatting>
  <conditionalFormatting sqref="L301">
    <cfRule type="expression" dxfId="579" priority="424" stopIfTrue="1">
      <formula>"esterreur(reference)"</formula>
    </cfRule>
  </conditionalFormatting>
  <conditionalFormatting sqref="L302">
    <cfRule type="expression" dxfId="578" priority="423" stopIfTrue="1">
      <formula>"esterreur(reference)"</formula>
    </cfRule>
  </conditionalFormatting>
  <conditionalFormatting sqref="L306">
    <cfRule type="expression" dxfId="577" priority="422" stopIfTrue="1">
      <formula>"esterreur(reference)"</formula>
    </cfRule>
  </conditionalFormatting>
  <conditionalFormatting sqref="L307">
    <cfRule type="expression" dxfId="576" priority="421" stopIfTrue="1">
      <formula>"esterreur(reference)"</formula>
    </cfRule>
  </conditionalFormatting>
  <conditionalFormatting sqref="L311">
    <cfRule type="expression" dxfId="575" priority="420" stopIfTrue="1">
      <formula>"esterreur(reference)"</formula>
    </cfRule>
  </conditionalFormatting>
  <conditionalFormatting sqref="L317">
    <cfRule type="expression" dxfId="574" priority="419" stopIfTrue="1">
      <formula>"esterreur(reference)"</formula>
    </cfRule>
  </conditionalFormatting>
  <conditionalFormatting sqref="L318">
    <cfRule type="expression" dxfId="573" priority="418" stopIfTrue="1">
      <formula>"esterreur(reference)"</formula>
    </cfRule>
  </conditionalFormatting>
  <conditionalFormatting sqref="K5">
    <cfRule type="expression" dxfId="572" priority="409" stopIfTrue="1">
      <formula>"esterreur(reference)"</formula>
    </cfRule>
  </conditionalFormatting>
  <conditionalFormatting sqref="L5">
    <cfRule type="expression" dxfId="571" priority="407" stopIfTrue="1">
      <formula>"esterreur(reference)"</formula>
    </cfRule>
  </conditionalFormatting>
  <conditionalFormatting sqref="K182">
    <cfRule type="expression" dxfId="570" priority="398" stopIfTrue="1">
      <formula>"esterreur(reference)"</formula>
    </cfRule>
  </conditionalFormatting>
  <conditionalFormatting sqref="L93">
    <cfRule type="expression" dxfId="569" priority="379" stopIfTrue="1">
      <formula>"esterreur(reference)"</formula>
    </cfRule>
  </conditionalFormatting>
  <conditionalFormatting sqref="K171">
    <cfRule type="expression" dxfId="568" priority="377" stopIfTrue="1">
      <formula>"esterreur(reference)"</formula>
    </cfRule>
  </conditionalFormatting>
  <conditionalFormatting sqref="K174">
    <cfRule type="expression" dxfId="567" priority="376" stopIfTrue="1">
      <formula>"esterreur(reference)"</formula>
    </cfRule>
  </conditionalFormatting>
  <conditionalFormatting sqref="K177">
    <cfRule type="expression" dxfId="566" priority="375" stopIfTrue="1">
      <formula>"esterreur(reference)"</formula>
    </cfRule>
  </conditionalFormatting>
  <conditionalFormatting sqref="K180">
    <cfRule type="expression" dxfId="565" priority="373" stopIfTrue="1">
      <formula>"esterreur(reference)"</formula>
    </cfRule>
  </conditionalFormatting>
  <conditionalFormatting sqref="K240">
    <cfRule type="expression" dxfId="564" priority="369" stopIfTrue="1">
      <formula>"esterreur(reference)"</formula>
    </cfRule>
  </conditionalFormatting>
  <conditionalFormatting sqref="K243">
    <cfRule type="expression" dxfId="563" priority="368" stopIfTrue="1">
      <formula>"esterreur(reference)"</formula>
    </cfRule>
  </conditionalFormatting>
  <conditionalFormatting sqref="K246">
    <cfRule type="expression" dxfId="562" priority="366" stopIfTrue="1">
      <formula>"esterreur(reference)"</formula>
    </cfRule>
  </conditionalFormatting>
  <conditionalFormatting sqref="J306:J307">
    <cfRule type="expression" dxfId="561" priority="364" stopIfTrue="1">
      <formula>"esterreur(reference)"</formula>
    </cfRule>
  </conditionalFormatting>
  <conditionalFormatting sqref="K187">
    <cfRule type="expression" dxfId="560" priority="360" stopIfTrue="1">
      <formula>"esterreur(reference)"</formula>
    </cfRule>
  </conditionalFormatting>
  <conditionalFormatting sqref="K190">
    <cfRule type="expression" dxfId="559" priority="358" stopIfTrue="1">
      <formula>"esterreur(reference)"</formula>
    </cfRule>
  </conditionalFormatting>
  <conditionalFormatting sqref="J311">
    <cfRule type="expression" dxfId="558" priority="357" stopIfTrue="1">
      <formula>"esterreur(reference)"</formula>
    </cfRule>
  </conditionalFormatting>
  <conditionalFormatting sqref="L364:L375">
    <cfRule type="expression" dxfId="557" priority="351" stopIfTrue="1">
      <formula>"esterreur(reference)"</formula>
    </cfRule>
  </conditionalFormatting>
  <conditionalFormatting sqref="L377:L393">
    <cfRule type="expression" dxfId="556" priority="349" stopIfTrue="1">
      <formula>"esterreur(reference)"</formula>
    </cfRule>
  </conditionalFormatting>
  <conditionalFormatting sqref="K93">
    <cfRule type="expression" dxfId="555" priority="348" stopIfTrue="1">
      <formula>"esterreur(reference)"</formula>
    </cfRule>
  </conditionalFormatting>
  <conditionalFormatting sqref="L240">
    <cfRule type="expression" dxfId="554" priority="345" stopIfTrue="1">
      <formula>"esterreur(reference)"</formula>
    </cfRule>
  </conditionalFormatting>
  <conditionalFormatting sqref="K239">
    <cfRule type="expression" dxfId="553" priority="342" stopIfTrue="1">
      <formula>"esterreur(reference)"</formula>
    </cfRule>
  </conditionalFormatting>
  <conditionalFormatting sqref="L239">
    <cfRule type="expression" dxfId="552" priority="340" stopIfTrue="1">
      <formula>"esterreur(reference)"</formula>
    </cfRule>
  </conditionalFormatting>
  <conditionalFormatting sqref="F183">
    <cfRule type="expression" dxfId="551" priority="339" stopIfTrue="1">
      <formula>"esterreur(reference)"</formula>
    </cfRule>
  </conditionalFormatting>
  <conditionalFormatting sqref="J359">
    <cfRule type="expression" dxfId="550" priority="337" stopIfTrue="1">
      <formula>"esterreur(reference)"</formula>
    </cfRule>
  </conditionalFormatting>
  <conditionalFormatting sqref="L359">
    <cfRule type="expression" dxfId="549" priority="335" stopIfTrue="1">
      <formula>"esterreur(reference)"</formula>
    </cfRule>
  </conditionalFormatting>
  <conditionalFormatting sqref="S185">
    <cfRule type="expression" dxfId="548" priority="333" stopIfTrue="1">
      <formula>"esterreur(reference)"</formula>
    </cfRule>
  </conditionalFormatting>
  <conditionalFormatting sqref="K286">
    <cfRule type="expression" dxfId="547" priority="327" stopIfTrue="1">
      <formula>"esterreur(reference)"</formula>
    </cfRule>
  </conditionalFormatting>
  <conditionalFormatting sqref="AO408:AO413">
    <cfRule type="cellIs" dxfId="546" priority="279" operator="greaterThan">
      <formula>0</formula>
    </cfRule>
  </conditionalFormatting>
  <conditionalFormatting sqref="L71">
    <cfRule type="expression" dxfId="545" priority="278" stopIfTrue="1">
      <formula>"esterreur(reference)"</formula>
    </cfRule>
  </conditionalFormatting>
  <conditionalFormatting sqref="L210">
    <cfRule type="expression" dxfId="544" priority="272" stopIfTrue="1">
      <formula>"esterreur(reference)"</formula>
    </cfRule>
  </conditionalFormatting>
  <conditionalFormatting sqref="L122">
    <cfRule type="expression" dxfId="543" priority="276" stopIfTrue="1">
      <formula>"esterreur(reference)"</formula>
    </cfRule>
  </conditionalFormatting>
  <conditionalFormatting sqref="L266">
    <cfRule type="expression" dxfId="542" priority="270" stopIfTrue="1">
      <formula>"esterreur(reference)"</formula>
    </cfRule>
  </conditionalFormatting>
  <conditionalFormatting sqref="L135">
    <cfRule type="expression" dxfId="541" priority="274" stopIfTrue="1">
      <formula>"esterreur(reference)"</formula>
    </cfRule>
  </conditionalFormatting>
  <conditionalFormatting sqref="L330">
    <cfRule type="expression" dxfId="540" priority="268" stopIfTrue="1">
      <formula>"esterreur(reference)"</formula>
    </cfRule>
  </conditionalFormatting>
  <conditionalFormatting sqref="L75">
    <cfRule type="expression" dxfId="539" priority="266" stopIfTrue="1">
      <formula>"esterreur(reference)"</formula>
    </cfRule>
  </conditionalFormatting>
  <conditionalFormatting sqref="L60">
    <cfRule type="expression" dxfId="538" priority="264" stopIfTrue="1">
      <formula>"esterreur(reference)"</formula>
    </cfRule>
  </conditionalFormatting>
  <conditionalFormatting sqref="L59">
    <cfRule type="expression" dxfId="537" priority="265" stopIfTrue="1">
      <formula>"esterreur(reference)"</formula>
    </cfRule>
  </conditionalFormatting>
  <conditionalFormatting sqref="O25:Q30 Q18 O83:Q85 O41:Q41 O72:Q72 Q24 O13:O14 O16 O18:O24 O49:Q54 Q6:Q14 O31:P40 O42:P48">
    <cfRule type="expression" dxfId="536" priority="258" stopIfTrue="1">
      <formula>"esterreur(reference)"</formula>
    </cfRule>
  </conditionalFormatting>
  <conditionalFormatting sqref="P5">
    <cfRule type="expression" dxfId="535" priority="232" stopIfTrue="1">
      <formula>"esterreur(reference)"</formula>
    </cfRule>
  </conditionalFormatting>
  <conditionalFormatting sqref="Q32">
    <cfRule type="expression" dxfId="534" priority="253" stopIfTrue="1">
      <formula>"esterreur(reference)"</formula>
    </cfRule>
  </conditionalFormatting>
  <conditionalFormatting sqref="Q35">
    <cfRule type="expression" dxfId="533" priority="252" stopIfTrue="1">
      <formula>"esterreur(reference)"</formula>
    </cfRule>
  </conditionalFormatting>
  <conditionalFormatting sqref="O55:P56 O71:P71">
    <cfRule type="expression" dxfId="532" priority="259" stopIfTrue="1">
      <formula>"esterreur(reference)"</formula>
    </cfRule>
  </conditionalFormatting>
  <conditionalFormatting sqref="O61:P70">
    <cfRule type="expression" dxfId="531" priority="260" stopIfTrue="1">
      <formula>"esterreur(reference)"</formula>
    </cfRule>
  </conditionalFormatting>
  <conditionalFormatting sqref="O57:P59">
    <cfRule type="expression" dxfId="530" priority="261" stopIfTrue="1">
      <formula>"esterreur(reference)"</formula>
    </cfRule>
  </conditionalFormatting>
  <conditionalFormatting sqref="O60:P60">
    <cfRule type="expression" dxfId="529" priority="262" stopIfTrue="1">
      <formula>"esterreur(reference)"</formula>
    </cfRule>
  </conditionalFormatting>
  <conditionalFormatting sqref="Q19 Q21:Q23">
    <cfRule type="expression" dxfId="528" priority="256" stopIfTrue="1">
      <formula>"esterreur(reference)"</formula>
    </cfRule>
  </conditionalFormatting>
  <conditionalFormatting sqref="Q16:Q17">
    <cfRule type="expression" dxfId="527" priority="257" stopIfTrue="1">
      <formula>"esterreur(reference)"</formula>
    </cfRule>
  </conditionalFormatting>
  <conditionalFormatting sqref="Q20">
    <cfRule type="expression" dxfId="526" priority="255" stopIfTrue="1">
      <formula>"esterreur(reference)"</formula>
    </cfRule>
  </conditionalFormatting>
  <conditionalFormatting sqref="Q31 Q33:Q34">
    <cfRule type="expression" dxfId="525" priority="254" stopIfTrue="1">
      <formula>"esterreur(reference)"</formula>
    </cfRule>
  </conditionalFormatting>
  <conditionalFormatting sqref="Q42">
    <cfRule type="expression" dxfId="524" priority="250" stopIfTrue="1">
      <formula>"esterreur(reference)"</formula>
    </cfRule>
  </conditionalFormatting>
  <conditionalFormatting sqref="Q43">
    <cfRule type="expression" dxfId="523" priority="249" stopIfTrue="1">
      <formula>"esterreur(reference)"</formula>
    </cfRule>
  </conditionalFormatting>
  <conditionalFormatting sqref="Q44">
    <cfRule type="expression" dxfId="522" priority="248" stopIfTrue="1">
      <formula>"esterreur(reference)"</formula>
    </cfRule>
  </conditionalFormatting>
  <conditionalFormatting sqref="Q45:Q48">
    <cfRule type="expression" dxfId="521" priority="247" stopIfTrue="1">
      <formula>"esterreur(reference)"</formula>
    </cfRule>
  </conditionalFormatting>
  <conditionalFormatting sqref="Q55">
    <cfRule type="expression" dxfId="520" priority="246" stopIfTrue="1">
      <formula>"esterreur(reference)"</formula>
    </cfRule>
  </conditionalFormatting>
  <conditionalFormatting sqref="Q56">
    <cfRule type="expression" dxfId="519" priority="245" stopIfTrue="1">
      <formula>"esterreur(reference)"</formula>
    </cfRule>
  </conditionalFormatting>
  <conditionalFormatting sqref="Q58">
    <cfRule type="expression" dxfId="518" priority="244" stopIfTrue="1">
      <formula>"esterreur(reference)"</formula>
    </cfRule>
  </conditionalFormatting>
  <conditionalFormatting sqref="Q61">
    <cfRule type="expression" dxfId="517" priority="243" stopIfTrue="1">
      <formula>"esterreur(reference)"</formula>
    </cfRule>
  </conditionalFormatting>
  <conditionalFormatting sqref="Q63">
    <cfRule type="expression" dxfId="516" priority="242" stopIfTrue="1">
      <formula>"esterreur(reference)"</formula>
    </cfRule>
  </conditionalFormatting>
  <conditionalFormatting sqref="Q62">
    <cfRule type="expression" dxfId="515" priority="241" stopIfTrue="1">
      <formula>"esterreur(reference)"</formula>
    </cfRule>
  </conditionalFormatting>
  <conditionalFormatting sqref="Q64">
    <cfRule type="expression" dxfId="514" priority="240" stopIfTrue="1">
      <formula>"esterreur(reference)"</formula>
    </cfRule>
  </conditionalFormatting>
  <conditionalFormatting sqref="Q65">
    <cfRule type="expression" dxfId="513" priority="239" stopIfTrue="1">
      <formula>"esterreur(reference)"</formula>
    </cfRule>
  </conditionalFormatting>
  <conditionalFormatting sqref="Q66:Q69">
    <cfRule type="expression" dxfId="512" priority="238" stopIfTrue="1">
      <formula>"esterreur(reference)"</formula>
    </cfRule>
  </conditionalFormatting>
  <conditionalFormatting sqref="Q70">
    <cfRule type="expression" dxfId="511" priority="237" stopIfTrue="1">
      <formula>"esterreur(reference)"</formula>
    </cfRule>
  </conditionalFormatting>
  <conditionalFormatting sqref="Q75:Q82">
    <cfRule type="expression" dxfId="510" priority="236" stopIfTrue="1">
      <formula>"esterreur(reference)"</formula>
    </cfRule>
  </conditionalFormatting>
  <conditionalFormatting sqref="Q57">
    <cfRule type="expression" dxfId="509" priority="233" stopIfTrue="1">
      <formula>"esterreur(reference)"</formula>
    </cfRule>
  </conditionalFormatting>
  <conditionalFormatting sqref="Q5">
    <cfRule type="expression" dxfId="508" priority="231" stopIfTrue="1">
      <formula>"esterreur(reference)"</formula>
    </cfRule>
  </conditionalFormatting>
  <conditionalFormatting sqref="Q71">
    <cfRule type="expression" dxfId="507" priority="230" stopIfTrue="1">
      <formula>"esterreur(reference)"</formula>
    </cfRule>
  </conditionalFormatting>
  <conditionalFormatting sqref="Q60">
    <cfRule type="expression" dxfId="506" priority="227" stopIfTrue="1">
      <formula>"esterreur(reference)"</formula>
    </cfRule>
  </conditionalFormatting>
  <conditionalFormatting sqref="P98">
    <cfRule type="expression" dxfId="505" priority="226" stopIfTrue="1">
      <formula>"esterreur(reference)"</formula>
    </cfRule>
  </conditionalFormatting>
  <conditionalFormatting sqref="Q59">
    <cfRule type="expression" dxfId="504" priority="228" stopIfTrue="1">
      <formula>"esterreur(reference)"</formula>
    </cfRule>
  </conditionalFormatting>
  <conditionalFormatting sqref="O163:Q163 O164:P164 O121:Q121 O152:Q152 O96:Q97 O100:Q100 P94:P95 O104:Q110 P99 O134:Q134 O101:P103 O135:P136 O155:P156 O111:P120">
    <cfRule type="expression" dxfId="503" priority="222" stopIfTrue="1">
      <formula>"esterreur(reference)"</formula>
    </cfRule>
  </conditionalFormatting>
  <conditionalFormatting sqref="O141:P147">
    <cfRule type="expression" dxfId="502" priority="223" stopIfTrue="1">
      <formula>"esterreur(reference)"</formula>
    </cfRule>
  </conditionalFormatting>
  <conditionalFormatting sqref="O137:P139">
    <cfRule type="expression" dxfId="501" priority="224" stopIfTrue="1">
      <formula>"esterreur(reference)"</formula>
    </cfRule>
  </conditionalFormatting>
  <conditionalFormatting sqref="O140:P140">
    <cfRule type="expression" dxfId="500" priority="225" stopIfTrue="1">
      <formula>"esterreur(reference)"</formula>
    </cfRule>
  </conditionalFormatting>
  <conditionalFormatting sqref="Q94:Q95">
    <cfRule type="expression" dxfId="499" priority="221" stopIfTrue="1">
      <formula>"esterreur(reference)"</formula>
    </cfRule>
  </conditionalFormatting>
  <conditionalFormatting sqref="Q98">
    <cfRule type="expression" dxfId="498" priority="220" stopIfTrue="1">
      <formula>"esterreur(reference)"</formula>
    </cfRule>
  </conditionalFormatting>
  <conditionalFormatting sqref="Q99">
    <cfRule type="expression" dxfId="497" priority="219" stopIfTrue="1">
      <formula>"esterreur(reference)"</formula>
    </cfRule>
  </conditionalFormatting>
  <conditionalFormatting sqref="Q101">
    <cfRule type="expression" dxfId="496" priority="218" stopIfTrue="1">
      <formula>"esterreur(reference)"</formula>
    </cfRule>
  </conditionalFormatting>
  <conditionalFormatting sqref="Q102">
    <cfRule type="expression" dxfId="495" priority="217" stopIfTrue="1">
      <formula>"esterreur(reference)"</formula>
    </cfRule>
  </conditionalFormatting>
  <conditionalFormatting sqref="Q103">
    <cfRule type="expression" dxfId="494" priority="216" stopIfTrue="1">
      <formula>"esterreur(reference)"</formula>
    </cfRule>
  </conditionalFormatting>
  <conditionalFormatting sqref="Q111">
    <cfRule type="expression" dxfId="493" priority="215" stopIfTrue="1">
      <formula>"esterreur(reference)"</formula>
    </cfRule>
  </conditionalFormatting>
  <conditionalFormatting sqref="Q112">
    <cfRule type="expression" dxfId="492" priority="214" stopIfTrue="1">
      <formula>"esterreur(reference)"</formula>
    </cfRule>
  </conditionalFormatting>
  <conditionalFormatting sqref="Q114">
    <cfRule type="expression" dxfId="491" priority="213" stopIfTrue="1">
      <formula>"esterreur(reference)"</formula>
    </cfRule>
  </conditionalFormatting>
  <conditionalFormatting sqref="Q116:Q119">
    <cfRule type="expression" dxfId="490" priority="212" stopIfTrue="1">
      <formula>"esterreur(reference)"</formula>
    </cfRule>
  </conditionalFormatting>
  <conditionalFormatting sqref="Q120">
    <cfRule type="expression" dxfId="489" priority="211" stopIfTrue="1">
      <formula>"esterreur(reference)"</formula>
    </cfRule>
  </conditionalFormatting>
  <conditionalFormatting sqref="Q130">
    <cfRule type="expression" dxfId="488" priority="206" stopIfTrue="1">
      <formula>"esterreur(reference)"</formula>
    </cfRule>
  </conditionalFormatting>
  <conditionalFormatting sqref="Q124">
    <cfRule type="expression" dxfId="487" priority="210" stopIfTrue="1">
      <formula>"esterreur(reference)"</formula>
    </cfRule>
  </conditionalFormatting>
  <conditionalFormatting sqref="Q123">
    <cfRule type="expression" dxfId="486" priority="208" stopIfTrue="1">
      <formula>"esterreur(reference)"</formula>
    </cfRule>
  </conditionalFormatting>
  <conditionalFormatting sqref="Q139">
    <cfRule type="expression" dxfId="485" priority="199" stopIfTrue="1">
      <formula>"esterreur(reference)"</formula>
    </cfRule>
  </conditionalFormatting>
  <conditionalFormatting sqref="Q131">
    <cfRule type="expression" dxfId="484" priority="205" stopIfTrue="1">
      <formula>"esterreur(reference)"</formula>
    </cfRule>
  </conditionalFormatting>
  <conditionalFormatting sqref="Q132">
    <cfRule type="expression" dxfId="483" priority="204" stopIfTrue="1">
      <formula>"esterreur(reference)"</formula>
    </cfRule>
  </conditionalFormatting>
  <conditionalFormatting sqref="Q133">
    <cfRule type="expression" dxfId="482" priority="203" stopIfTrue="1">
      <formula>"esterreur(reference)"</formula>
    </cfRule>
  </conditionalFormatting>
  <conditionalFormatting sqref="Q141">
    <cfRule type="expression" dxfId="481" priority="197" stopIfTrue="1">
      <formula>"esterreur(reference)"</formula>
    </cfRule>
  </conditionalFormatting>
  <conditionalFormatting sqref="Q136">
    <cfRule type="expression" dxfId="480" priority="202" stopIfTrue="1">
      <formula>"esterreur(reference)"</formula>
    </cfRule>
  </conditionalFormatting>
  <conditionalFormatting sqref="Q137">
    <cfRule type="expression" dxfId="479" priority="201" stopIfTrue="1">
      <formula>"esterreur(reference)"</formula>
    </cfRule>
  </conditionalFormatting>
  <conditionalFormatting sqref="Q138">
    <cfRule type="expression" dxfId="478" priority="200" stopIfTrue="1">
      <formula>"esterreur(reference)"</formula>
    </cfRule>
  </conditionalFormatting>
  <conditionalFormatting sqref="Q143">
    <cfRule type="expression" dxfId="477" priority="195" stopIfTrue="1">
      <formula>"esterreur(reference)"</formula>
    </cfRule>
  </conditionalFormatting>
  <conditionalFormatting sqref="Q140">
    <cfRule type="expression" dxfId="476" priority="198" stopIfTrue="1">
      <formula>"esterreur(reference)"</formula>
    </cfRule>
  </conditionalFormatting>
  <conditionalFormatting sqref="Q142">
    <cfRule type="expression" dxfId="475" priority="196" stopIfTrue="1">
      <formula>"esterreur(reference)"</formula>
    </cfRule>
  </conditionalFormatting>
  <conditionalFormatting sqref="Q144">
    <cfRule type="expression" dxfId="474" priority="194" stopIfTrue="1">
      <formula>"esterreur(reference)"</formula>
    </cfRule>
  </conditionalFormatting>
  <conditionalFormatting sqref="Q145">
    <cfRule type="expression" dxfId="473" priority="193" stopIfTrue="1">
      <formula>"esterreur(reference)"</formula>
    </cfRule>
  </conditionalFormatting>
  <conditionalFormatting sqref="Q146">
    <cfRule type="expression" dxfId="472" priority="192" stopIfTrue="1">
      <formula>"esterreur(reference)"</formula>
    </cfRule>
  </conditionalFormatting>
  <conditionalFormatting sqref="Q147">
    <cfRule type="expression" dxfId="471" priority="191" stopIfTrue="1">
      <formula>"esterreur(reference)"</formula>
    </cfRule>
  </conditionalFormatting>
  <conditionalFormatting sqref="Q113">
    <cfRule type="expression" dxfId="470" priority="184" stopIfTrue="1">
      <formula>"esterreur(reference)"</formula>
    </cfRule>
  </conditionalFormatting>
  <conditionalFormatting sqref="Q155:Q161">
    <cfRule type="expression" dxfId="469" priority="188" stopIfTrue="1">
      <formula>"esterreur(reference)"</formula>
    </cfRule>
  </conditionalFormatting>
  <conditionalFormatting sqref="Q93">
    <cfRule type="expression" dxfId="468" priority="183" stopIfTrue="1">
      <formula>"esterreur(reference)"</formula>
    </cfRule>
  </conditionalFormatting>
  <conditionalFormatting sqref="Q115">
    <cfRule type="expression" dxfId="467" priority="185" stopIfTrue="1">
      <formula>"esterreur(reference)"</formula>
    </cfRule>
  </conditionalFormatting>
  <conditionalFormatting sqref="P93">
    <cfRule type="expression" dxfId="466" priority="182" stopIfTrue="1">
      <formula>"esterreur(reference)"</formula>
    </cfRule>
  </conditionalFormatting>
  <conditionalFormatting sqref="Q122">
    <cfRule type="expression" dxfId="465" priority="181" stopIfTrue="1">
      <formula>"esterreur(reference)"</formula>
    </cfRule>
  </conditionalFormatting>
  <conditionalFormatting sqref="Q135">
    <cfRule type="expression" dxfId="464" priority="180" stopIfTrue="1">
      <formula>"esterreur(reference)"</formula>
    </cfRule>
  </conditionalFormatting>
  <conditionalFormatting sqref="O171:O195 O231:Q231 O232:P232 P172:Q172 P175:Q176 P178:Q179 P181:Q181 P184:Q186 P183 P188:Q189 Q182 P191:Q195 Q190 Q173 O225:P228 O197:P218">
    <cfRule type="expression" dxfId="463" priority="146" stopIfTrue="1">
      <formula>"esterreur(reference)"</formula>
    </cfRule>
  </conditionalFormatting>
  <conditionalFormatting sqref="O219:P224">
    <cfRule type="expression" dxfId="462" priority="147" stopIfTrue="1">
      <formula>"esterreur(reference)"</formula>
    </cfRule>
  </conditionalFormatting>
  <conditionalFormatting sqref="O196:Q196">
    <cfRule type="expression" dxfId="461" priority="148" stopIfTrue="1">
      <formula>"esterreur(reference)"</formula>
    </cfRule>
  </conditionalFormatting>
  <conditionalFormatting sqref="Q207">
    <cfRule type="expression" dxfId="460" priority="131" stopIfTrue="1">
      <formula>"esterreur(reference)"</formula>
    </cfRule>
  </conditionalFormatting>
  <conditionalFormatting sqref="Q227">
    <cfRule type="expression" dxfId="459" priority="127" stopIfTrue="1">
      <formula>"esterreur(reference)"</formula>
    </cfRule>
  </conditionalFormatting>
  <conditionalFormatting sqref="Q171">
    <cfRule type="expression" dxfId="458" priority="145" stopIfTrue="1">
      <formula>"esterreur(reference)"</formula>
    </cfRule>
  </conditionalFormatting>
  <conditionalFormatting sqref="Q174">
    <cfRule type="expression" dxfId="457" priority="144" stopIfTrue="1">
      <formula>"esterreur(reference)"</formula>
    </cfRule>
  </conditionalFormatting>
  <conditionalFormatting sqref="Q177">
    <cfRule type="expression" dxfId="456" priority="143" stopIfTrue="1">
      <formula>"esterreur(reference)"</formula>
    </cfRule>
  </conditionalFormatting>
  <conditionalFormatting sqref="Q183">
    <cfRule type="expression" dxfId="455" priority="142" stopIfTrue="1">
      <formula>"esterreur(reference)"</formula>
    </cfRule>
  </conditionalFormatting>
  <conditionalFormatting sqref="Q187">
    <cfRule type="expression" dxfId="454" priority="141" stopIfTrue="1">
      <formula>"esterreur(reference)"</formula>
    </cfRule>
  </conditionalFormatting>
  <conditionalFormatting sqref="Q197">
    <cfRule type="expression" dxfId="453" priority="140" stopIfTrue="1">
      <formula>"esterreur(reference)"</formula>
    </cfRule>
  </conditionalFormatting>
  <conditionalFormatting sqref="Q199">
    <cfRule type="expression" dxfId="452" priority="139" stopIfTrue="1">
      <formula>"esterreur(reference)"</formula>
    </cfRule>
  </conditionalFormatting>
  <conditionalFormatting sqref="Q198">
    <cfRule type="expression" dxfId="451" priority="138" stopIfTrue="1">
      <formula>"esterreur(reference)"</formula>
    </cfRule>
  </conditionalFormatting>
  <conditionalFormatting sqref="Q200">
    <cfRule type="expression" dxfId="450" priority="137" stopIfTrue="1">
      <formula>"esterreur(reference)"</formula>
    </cfRule>
  </conditionalFormatting>
  <conditionalFormatting sqref="Q201">
    <cfRule type="expression" dxfId="449" priority="136" stopIfTrue="1">
      <formula>"esterreur(reference)"</formula>
    </cfRule>
  </conditionalFormatting>
  <conditionalFormatting sqref="Q202:Q204">
    <cfRule type="expression" dxfId="448" priority="135" stopIfTrue="1">
      <formula>"esterreur(reference)"</formula>
    </cfRule>
  </conditionalFormatting>
  <conditionalFormatting sqref="Q206">
    <cfRule type="expression" dxfId="447" priority="132" stopIfTrue="1">
      <formula>"esterreur(reference)"</formula>
    </cfRule>
  </conditionalFormatting>
  <conditionalFormatting sqref="Q205">
    <cfRule type="expression" dxfId="446" priority="133" stopIfTrue="1">
      <formula>"esterreur(reference)"</formula>
    </cfRule>
  </conditionalFormatting>
  <conditionalFormatting sqref="Q208">
    <cfRule type="expression" dxfId="445" priority="130" stopIfTrue="1">
      <formula>"esterreur(reference)"</formula>
    </cfRule>
  </conditionalFormatting>
  <conditionalFormatting sqref="Q211:Q224">
    <cfRule type="expression" dxfId="444" priority="129" stopIfTrue="1">
      <formula>"esterreur(reference)"</formula>
    </cfRule>
  </conditionalFormatting>
  <conditionalFormatting sqref="Q225:Q226">
    <cfRule type="expression" dxfId="443" priority="128" stopIfTrue="1">
      <formula>"esterreur(reference)"</formula>
    </cfRule>
  </conditionalFormatting>
  <conditionalFormatting sqref="Q180">
    <cfRule type="expression" dxfId="442" priority="126" stopIfTrue="1">
      <formula>"esterreur(reference)"</formula>
    </cfRule>
  </conditionalFormatting>
  <conditionalFormatting sqref="P182">
    <cfRule type="expression" dxfId="441" priority="125" stopIfTrue="1">
      <formula>"esterreur(reference)"</formula>
    </cfRule>
  </conditionalFormatting>
  <conditionalFormatting sqref="P171">
    <cfRule type="expression" dxfId="440" priority="124" stopIfTrue="1">
      <formula>"esterreur(reference)"</formula>
    </cfRule>
  </conditionalFormatting>
  <conditionalFormatting sqref="P174">
    <cfRule type="expression" dxfId="439" priority="123" stopIfTrue="1">
      <formula>"esterreur(reference)"</formula>
    </cfRule>
  </conditionalFormatting>
  <conditionalFormatting sqref="P177">
    <cfRule type="expression" dxfId="438" priority="122" stopIfTrue="1">
      <formula>"esterreur(reference)"</formula>
    </cfRule>
  </conditionalFormatting>
  <conditionalFormatting sqref="P180">
    <cfRule type="expression" dxfId="437" priority="121" stopIfTrue="1">
      <formula>"esterreur(reference)"</formula>
    </cfRule>
  </conditionalFormatting>
  <conditionalFormatting sqref="P187">
    <cfRule type="expression" dxfId="436" priority="120" stopIfTrue="1">
      <formula>"esterreur(reference)"</formula>
    </cfRule>
  </conditionalFormatting>
  <conditionalFormatting sqref="P190">
    <cfRule type="expression" dxfId="435" priority="119" stopIfTrue="1">
      <formula>"esterreur(reference)"</formula>
    </cfRule>
  </conditionalFormatting>
  <conditionalFormatting sqref="Q210">
    <cfRule type="expression" dxfId="434" priority="118" stopIfTrue="1">
      <formula>"esterreur(reference)"</formula>
    </cfRule>
  </conditionalFormatting>
  <conditionalFormatting sqref="O287:Q287 O288:P288 O242:Q242 O251:Q252 O284:Q284 Q275:Q283 O253:P274">
    <cfRule type="expression" dxfId="433" priority="115" stopIfTrue="1">
      <formula>"esterreur(reference)"</formula>
    </cfRule>
  </conditionalFormatting>
  <conditionalFormatting sqref="O275:P280">
    <cfRule type="expression" dxfId="432" priority="116" stopIfTrue="1">
      <formula>"esterreur(reference)"</formula>
    </cfRule>
  </conditionalFormatting>
  <conditionalFormatting sqref="O281:P283">
    <cfRule type="expression" dxfId="431" priority="117" stopIfTrue="1">
      <formula>"esterreur(reference)"</formula>
    </cfRule>
  </conditionalFormatting>
  <conditionalFormatting sqref="Q271">
    <cfRule type="expression" dxfId="430" priority="97" stopIfTrue="1">
      <formula>"esterreur(reference)"</formula>
    </cfRule>
  </conditionalFormatting>
  <conditionalFormatting sqref="Q274">
    <cfRule type="expression" dxfId="429" priority="95" stopIfTrue="1">
      <formula>"esterreur(reference)"</formula>
    </cfRule>
  </conditionalFormatting>
  <conditionalFormatting sqref="Q243">
    <cfRule type="expression" dxfId="428" priority="114" stopIfTrue="1">
      <formula>"esterreur(reference)"</formula>
    </cfRule>
  </conditionalFormatting>
  <conditionalFormatting sqref="Q246">
    <cfRule type="expression" dxfId="427" priority="113" stopIfTrue="1">
      <formula>"esterreur(reference)"</formula>
    </cfRule>
  </conditionalFormatting>
  <conditionalFormatting sqref="Q253">
    <cfRule type="expression" dxfId="426" priority="112" stopIfTrue="1">
      <formula>"esterreur(reference)"</formula>
    </cfRule>
  </conditionalFormatting>
  <conditionalFormatting sqref="Q254">
    <cfRule type="expression" dxfId="425" priority="111" stopIfTrue="1">
      <formula>"esterreur(reference)"</formula>
    </cfRule>
  </conditionalFormatting>
  <conditionalFormatting sqref="Q255">
    <cfRule type="expression" dxfId="424" priority="110" stopIfTrue="1">
      <formula>"esterreur(reference)"</formula>
    </cfRule>
  </conditionalFormatting>
  <conditionalFormatting sqref="Q256">
    <cfRule type="expression" dxfId="423" priority="109" stopIfTrue="1">
      <formula>"esterreur(reference)"</formula>
    </cfRule>
  </conditionalFormatting>
  <conditionalFormatting sqref="Q257">
    <cfRule type="expression" dxfId="422" priority="108" stopIfTrue="1">
      <formula>"esterreur(reference)"</formula>
    </cfRule>
  </conditionalFormatting>
  <conditionalFormatting sqref="Q258">
    <cfRule type="expression" dxfId="421" priority="107" stopIfTrue="1">
      <formula>"esterreur(reference)"</formula>
    </cfRule>
  </conditionalFormatting>
  <conditionalFormatting sqref="Q259">
    <cfRule type="expression" dxfId="420" priority="106" stopIfTrue="1">
      <formula>"esterreur(reference)"</formula>
    </cfRule>
  </conditionalFormatting>
  <conditionalFormatting sqref="Q260">
    <cfRule type="expression" dxfId="419" priority="105" stopIfTrue="1">
      <formula>"esterreur(reference)"</formula>
    </cfRule>
  </conditionalFormatting>
  <conditionalFormatting sqref="Q261">
    <cfRule type="expression" dxfId="418" priority="104" stopIfTrue="1">
      <formula>"esterreur(reference)"</formula>
    </cfRule>
  </conditionalFormatting>
  <conditionalFormatting sqref="Q262">
    <cfRule type="expression" dxfId="417" priority="103" stopIfTrue="1">
      <formula>"esterreur(reference)"</formula>
    </cfRule>
  </conditionalFormatting>
  <conditionalFormatting sqref="Q263:Q264">
    <cfRule type="expression" dxfId="416" priority="102" stopIfTrue="1">
      <formula>"esterreur(reference)"</formula>
    </cfRule>
  </conditionalFormatting>
  <conditionalFormatting sqref="Q268">
    <cfRule type="expression" dxfId="415" priority="100" stopIfTrue="1">
      <formula>"esterreur(reference)"</formula>
    </cfRule>
  </conditionalFormatting>
  <conditionalFormatting sqref="Q267">
    <cfRule type="expression" dxfId="414" priority="101" stopIfTrue="1">
      <formula>"esterreur(reference)"</formula>
    </cfRule>
  </conditionalFormatting>
  <conditionalFormatting sqref="Q269">
    <cfRule type="expression" dxfId="413" priority="99" stopIfTrue="1">
      <formula>"esterreur(reference)"</formula>
    </cfRule>
  </conditionalFormatting>
  <conditionalFormatting sqref="Q270">
    <cfRule type="expression" dxfId="412" priority="98" stopIfTrue="1">
      <formula>"esterreur(reference)"</formula>
    </cfRule>
  </conditionalFormatting>
  <conditionalFormatting sqref="Q272:Q273">
    <cfRule type="expression" dxfId="411" priority="96" stopIfTrue="1">
      <formula>"esterreur(reference)"</formula>
    </cfRule>
  </conditionalFormatting>
  <conditionalFormatting sqref="P240">
    <cfRule type="expression" dxfId="410" priority="94" stopIfTrue="1">
      <formula>"esterreur(reference)"</formula>
    </cfRule>
  </conditionalFormatting>
  <conditionalFormatting sqref="P243">
    <cfRule type="expression" dxfId="409" priority="93" stopIfTrue="1">
      <formula>"esterreur(reference)"</formula>
    </cfRule>
  </conditionalFormatting>
  <conditionalFormatting sqref="P246">
    <cfRule type="expression" dxfId="408" priority="92" stopIfTrue="1">
      <formula>"esterreur(reference)"</formula>
    </cfRule>
  </conditionalFormatting>
  <conditionalFormatting sqref="Q240">
    <cfRule type="expression" dxfId="407" priority="91" stopIfTrue="1">
      <formula>"esterreur(reference)"</formula>
    </cfRule>
  </conditionalFormatting>
  <conditionalFormatting sqref="P286">
    <cfRule type="expression" dxfId="406" priority="90" stopIfTrue="1">
      <formula>"esterreur(reference)"</formula>
    </cfRule>
  </conditionalFormatting>
  <conditionalFormatting sqref="Q266">
    <cfRule type="expression" dxfId="405" priority="89" stopIfTrue="1">
      <formula>"esterreur(reference)"</formula>
    </cfRule>
  </conditionalFormatting>
  <conditionalFormatting sqref="O308:Q310 O303:Q305 O351:Q351 O352:P352 O348:Q348 O312:Q315 P306:P307 P311 O294:P302 Q319:Q324 O317:P347">
    <cfRule type="expression" dxfId="404" priority="87" stopIfTrue="1">
      <formula>"esterreur(reference)"</formula>
    </cfRule>
  </conditionalFormatting>
  <conditionalFormatting sqref="O316:Q316">
    <cfRule type="expression" dxfId="403" priority="88" stopIfTrue="1">
      <formula>"esterreur(reference)"</formula>
    </cfRule>
  </conditionalFormatting>
  <conditionalFormatting sqref="Q331:Q347">
    <cfRule type="expression" dxfId="402" priority="74" stopIfTrue="1">
      <formula>"esterreur(reference)"</formula>
    </cfRule>
  </conditionalFormatting>
  <conditionalFormatting sqref="Q325">
    <cfRule type="expression" dxfId="401" priority="78" stopIfTrue="1">
      <formula>"esterreur(reference)"</formula>
    </cfRule>
  </conditionalFormatting>
  <conditionalFormatting sqref="Q326">
    <cfRule type="expression" dxfId="400" priority="77" stopIfTrue="1">
      <formula>"esterreur(reference)"</formula>
    </cfRule>
  </conditionalFormatting>
  <conditionalFormatting sqref="Q327">
    <cfRule type="expression" dxfId="399" priority="76" stopIfTrue="1">
      <formula>"esterreur(reference)"</formula>
    </cfRule>
  </conditionalFormatting>
  <conditionalFormatting sqref="Q328">
    <cfRule type="expression" dxfId="398" priority="75" stopIfTrue="1">
      <formula>"esterreur(reference)"</formula>
    </cfRule>
  </conditionalFormatting>
  <conditionalFormatting sqref="Q294:Q300">
    <cfRule type="expression" dxfId="397" priority="86" stopIfTrue="1">
      <formula>"esterreur(reference)"</formula>
    </cfRule>
  </conditionalFormatting>
  <conditionalFormatting sqref="Q301">
    <cfRule type="expression" dxfId="396" priority="85" stopIfTrue="1">
      <formula>"esterreur(reference)"</formula>
    </cfRule>
  </conditionalFormatting>
  <conditionalFormatting sqref="Q302">
    <cfRule type="expression" dxfId="395" priority="84" stopIfTrue="1">
      <formula>"esterreur(reference)"</formula>
    </cfRule>
  </conditionalFormatting>
  <conditionalFormatting sqref="Q306">
    <cfRule type="expression" dxfId="394" priority="83" stopIfTrue="1">
      <formula>"esterreur(reference)"</formula>
    </cfRule>
  </conditionalFormatting>
  <conditionalFormatting sqref="Q307">
    <cfRule type="expression" dxfId="393" priority="82" stopIfTrue="1">
      <formula>"esterreur(reference)"</formula>
    </cfRule>
  </conditionalFormatting>
  <conditionalFormatting sqref="Q311">
    <cfRule type="expression" dxfId="392" priority="81" stopIfTrue="1">
      <formula>"esterreur(reference)"</formula>
    </cfRule>
  </conditionalFormatting>
  <conditionalFormatting sqref="Q317">
    <cfRule type="expression" dxfId="391" priority="80" stopIfTrue="1">
      <formula>"esterreur(reference)"</formula>
    </cfRule>
  </conditionalFormatting>
  <conditionalFormatting sqref="Q318">
    <cfRule type="expression" dxfId="390" priority="79" stopIfTrue="1">
      <formula>"esterreur(reference)"</formula>
    </cfRule>
  </conditionalFormatting>
  <conditionalFormatting sqref="O306:O307">
    <cfRule type="expression" dxfId="389" priority="73" stopIfTrue="1">
      <formula>"esterreur(reference)"</formula>
    </cfRule>
  </conditionalFormatting>
  <conditionalFormatting sqref="O311">
    <cfRule type="expression" dxfId="388" priority="72" stopIfTrue="1">
      <formula>"esterreur(reference)"</formula>
    </cfRule>
  </conditionalFormatting>
  <conditionalFormatting sqref="Q330">
    <cfRule type="expression" dxfId="387" priority="71" stopIfTrue="1">
      <formula>"esterreur(reference)"</formula>
    </cfRule>
  </conditionalFormatting>
  <conditionalFormatting sqref="O363:Q363 O364:P375">
    <cfRule type="expression" dxfId="386" priority="65" stopIfTrue="1">
      <formula>"esterreur(reference)"</formula>
    </cfRule>
  </conditionalFormatting>
  <conditionalFormatting sqref="O358:Q358">
    <cfRule type="expression" dxfId="385" priority="66" stopIfTrue="1">
      <formula>"esterreur(reference)"</formula>
    </cfRule>
  </conditionalFormatting>
  <conditionalFormatting sqref="O376:Q376 O377:P392">
    <cfRule type="expression" dxfId="384" priority="67" stopIfTrue="1">
      <formula>"esterreur(reference)"</formula>
    </cfRule>
  </conditionalFormatting>
  <conditionalFormatting sqref="O395:Q398 O393:P393">
    <cfRule type="expression" dxfId="383" priority="68" stopIfTrue="1">
      <formula>"esterreur(reference)"</formula>
    </cfRule>
  </conditionalFormatting>
  <conditionalFormatting sqref="O360:Q362 P359">
    <cfRule type="expression" dxfId="382" priority="69" stopIfTrue="1">
      <formula>"esterreur(reference)"</formula>
    </cfRule>
  </conditionalFormatting>
  <conditionalFormatting sqref="P394">
    <cfRule type="expression" dxfId="381" priority="70" stopIfTrue="1">
      <formula>"esterreur(reference)"</formula>
    </cfRule>
  </conditionalFormatting>
  <conditionalFormatting sqref="Q364:Q375">
    <cfRule type="expression" dxfId="380" priority="64" stopIfTrue="1">
      <formula>"esterreur(reference)"</formula>
    </cfRule>
  </conditionalFormatting>
  <conditionalFormatting sqref="Q377:Q393">
    <cfRule type="expression" dxfId="379" priority="63" stopIfTrue="1">
      <formula>"esterreur(reference)"</formula>
    </cfRule>
  </conditionalFormatting>
  <conditionalFormatting sqref="O359">
    <cfRule type="expression" dxfId="378" priority="62" stopIfTrue="1">
      <formula>"esterreur(reference)"</formula>
    </cfRule>
  </conditionalFormatting>
  <conditionalFormatting sqref="Q359">
    <cfRule type="expression" dxfId="377" priority="61" stopIfTrue="1">
      <formula>"esterreur(reference)"</formula>
    </cfRule>
  </conditionalFormatting>
  <conditionalFormatting sqref="Q36:Q40">
    <cfRule type="expression" dxfId="376" priority="60" stopIfTrue="1">
      <formula>"esterreur(reference)"</formula>
    </cfRule>
  </conditionalFormatting>
  <conditionalFormatting sqref="L68">
    <cfRule type="expression" dxfId="375" priority="59" stopIfTrue="1">
      <formula>"esterreur(reference)"</formula>
    </cfRule>
  </conditionalFormatting>
  <conditionalFormatting sqref="Q149:Q151">
    <cfRule type="expression" dxfId="374" priority="50" stopIfTrue="1">
      <formula>"esterreur(reference)"</formula>
    </cfRule>
  </conditionalFormatting>
  <conditionalFormatting sqref="H148 J148:K148">
    <cfRule type="expression" dxfId="373" priority="57" stopIfTrue="1">
      <formula>"esterreur(reference)"</formula>
    </cfRule>
  </conditionalFormatting>
  <conditionalFormatting sqref="L148">
    <cfRule type="expression" dxfId="372" priority="56" stopIfTrue="1">
      <formula>"esterreur(reference)"</formula>
    </cfRule>
  </conditionalFormatting>
  <conditionalFormatting sqref="O148:P148">
    <cfRule type="expression" dxfId="371" priority="55" stopIfTrue="1">
      <formula>"esterreur(reference)"</formula>
    </cfRule>
  </conditionalFormatting>
  <conditionalFormatting sqref="Q148">
    <cfRule type="expression" dxfId="370" priority="54" stopIfTrue="1">
      <formula>"esterreur(reference)"</formula>
    </cfRule>
  </conditionalFormatting>
  <conditionalFormatting sqref="H149:H151 J149:K151">
    <cfRule type="expression" dxfId="369" priority="53" stopIfTrue="1">
      <formula>"esterreur(reference)"</formula>
    </cfRule>
  </conditionalFormatting>
  <conditionalFormatting sqref="L149:L151">
    <cfRule type="expression" dxfId="368" priority="52" stopIfTrue="1">
      <formula>"esterreur(reference)"</formula>
    </cfRule>
  </conditionalFormatting>
  <conditionalFormatting sqref="O149:P151">
    <cfRule type="expression" dxfId="367" priority="51" stopIfTrue="1">
      <formula>"esterreur(reference)"</formula>
    </cfRule>
  </conditionalFormatting>
  <conditionalFormatting sqref="L158:L161">
    <cfRule type="expression" dxfId="366" priority="49" stopIfTrue="1">
      <formula>"esterreur(reference)"</formula>
    </cfRule>
  </conditionalFormatting>
  <conditionalFormatting sqref="AG414:AI417">
    <cfRule type="cellIs" dxfId="365" priority="47" operator="greaterThan">
      <formula>0</formula>
    </cfRule>
  </conditionalFormatting>
  <conditionalFormatting sqref="AO414:AO417">
    <cfRule type="cellIs" dxfId="364" priority="46" operator="greaterThan">
      <formula>0</formula>
    </cfRule>
  </conditionalFormatting>
  <conditionalFormatting sqref="G111:G112">
    <cfRule type="expression" dxfId="363" priority="31" stopIfTrue="1">
      <formula>"esterreur(reference)"</formula>
    </cfRule>
  </conditionalFormatting>
  <conditionalFormatting sqref="AH424:AH426">
    <cfRule type="cellIs" dxfId="362" priority="30" operator="greaterThan">
      <formula>0</formula>
    </cfRule>
  </conditionalFormatting>
  <conditionalFormatting sqref="AI431">
    <cfRule type="cellIs" dxfId="361" priority="29" operator="greaterThan">
      <formula>0</formula>
    </cfRule>
  </conditionalFormatting>
  <conditionalFormatting sqref="AH431">
    <cfRule type="cellIs" dxfId="360" priority="28" operator="greaterThan">
      <formula>0</formula>
    </cfRule>
  </conditionalFormatting>
  <conditionalFormatting sqref="AI448:AI450">
    <cfRule type="cellIs" dxfId="359" priority="27" operator="greaterThan">
      <formula>0</formula>
    </cfRule>
  </conditionalFormatting>
  <conditionalFormatting sqref="AH448:AH450">
    <cfRule type="cellIs" dxfId="358" priority="26" operator="greaterThan">
      <formula>0</formula>
    </cfRule>
  </conditionalFormatting>
  <conditionalFormatting sqref="AI462:AI464">
    <cfRule type="cellIs" dxfId="357" priority="25" operator="greaterThan">
      <formula>0</formula>
    </cfRule>
  </conditionalFormatting>
  <conditionalFormatting sqref="AH462:AH464">
    <cfRule type="cellIs" dxfId="356" priority="24" operator="greaterThan">
      <formula>0</formula>
    </cfRule>
  </conditionalFormatting>
  <conditionalFormatting sqref="AI476:AI478">
    <cfRule type="cellIs" dxfId="355" priority="23" operator="greaterThan">
      <formula>0</formula>
    </cfRule>
  </conditionalFormatting>
  <conditionalFormatting sqref="AH476:AH478">
    <cfRule type="cellIs" dxfId="354" priority="22" operator="greaterThan">
      <formula>0</formula>
    </cfRule>
  </conditionalFormatting>
  <conditionalFormatting sqref="AI494:AI496">
    <cfRule type="cellIs" dxfId="353" priority="21" operator="greaterThan">
      <formula>0</formula>
    </cfRule>
  </conditionalFormatting>
  <conditionalFormatting sqref="AH494:AH496">
    <cfRule type="cellIs" dxfId="352" priority="20" operator="greaterThan">
      <formula>0</formula>
    </cfRule>
  </conditionalFormatting>
  <conditionalFormatting sqref="H83:H85 H72 H25:H54">
    <cfRule type="expression" dxfId="351" priority="13" stopIfTrue="1">
      <formula>"esterreur(reference)"</formula>
    </cfRule>
  </conditionalFormatting>
  <conditionalFormatting sqref="H55:H56 H71">
    <cfRule type="expression" dxfId="350" priority="14" stopIfTrue="1">
      <formula>"esterreur(reference)"</formula>
    </cfRule>
  </conditionalFormatting>
  <conditionalFormatting sqref="H61:H70">
    <cfRule type="expression" dxfId="349" priority="15" stopIfTrue="1">
      <formula>"esterreur(reference)"</formula>
    </cfRule>
  </conditionalFormatting>
  <conditionalFormatting sqref="H57:H59">
    <cfRule type="expression" dxfId="348" priority="16" stopIfTrue="1">
      <formula>"esterreur(reference)"</formula>
    </cfRule>
  </conditionalFormatting>
  <conditionalFormatting sqref="H60">
    <cfRule type="expression" dxfId="347" priority="17" stopIfTrue="1">
      <formula>"esterreur(reference)"</formula>
    </cfRule>
  </conditionalFormatting>
  <conditionalFormatting sqref="G31:G32">
    <cfRule type="expression" dxfId="346" priority="12" stopIfTrue="1">
      <formula>"esterreur(reference)"</formula>
    </cfRule>
  </conditionalFormatting>
  <conditionalFormatting sqref="I83:I85 I13:I14 I24:I30 I20 I16:I18">
    <cfRule type="expression" dxfId="345" priority="3" stopIfTrue="1">
      <formula>"esterreur(reference)"</formula>
    </cfRule>
  </conditionalFormatting>
  <conditionalFormatting sqref="F83:F85">
    <cfRule type="expression" dxfId="344" priority="2" stopIfTrue="1">
      <formula>"esterreur(reference)"</formula>
    </cfRule>
  </conditionalFormatting>
  <conditionalFormatting sqref="F5">
    <cfRule type="expression" dxfId="343"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97"/>
  <sheetViews>
    <sheetView topLeftCell="A280" zoomScale="55" zoomScaleNormal="55" zoomScaleSheetLayoutView="55" workbookViewId="0">
      <selection activeCell="N253" sqref="N253"/>
    </sheetView>
  </sheetViews>
  <sheetFormatPr baseColWidth="10" defaultColWidth="12.625" defaultRowHeight="15" customHeight="1"/>
  <cols>
    <col min="1" max="1" width="24.125" style="570" customWidth="1"/>
    <col min="2" max="2" width="36" style="570"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customWidth="1"/>
    <col min="38" max="38" width="17.5" style="570" customWidth="1"/>
    <col min="39" max="39" width="10.875" style="570" customWidth="1"/>
    <col min="40" max="40" width="16" style="570" customWidth="1"/>
    <col min="41" max="41" width="12.375" style="570" customWidth="1"/>
    <col min="42" max="42" width="11" style="570" customWidth="1"/>
    <col min="43" max="43" width="15.75" style="570" bestFit="1" customWidth="1"/>
    <col min="44" max="44" width="19.875" style="570" customWidth="1"/>
    <col min="45"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Janvier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1944</v>
      </c>
      <c r="F2" s="160" t="s">
        <v>1945</v>
      </c>
      <c r="G2" s="160" t="s">
        <v>1638</v>
      </c>
      <c r="H2" s="160" t="s">
        <v>1944</v>
      </c>
      <c r="I2" s="160" t="s">
        <v>1945</v>
      </c>
      <c r="J2" s="160" t="s">
        <v>1915</v>
      </c>
      <c r="K2" s="160"/>
      <c r="L2" s="160" t="s">
        <v>1917</v>
      </c>
      <c r="M2" s="23"/>
      <c r="N2" s="23"/>
      <c r="O2" s="160" t="s">
        <v>1915</v>
      </c>
      <c r="P2" s="160"/>
      <c r="Q2" s="160" t="s">
        <v>1917</v>
      </c>
      <c r="R2" s="23"/>
      <c r="S2" s="23"/>
      <c r="T2" s="23"/>
      <c r="U2" s="23"/>
      <c r="Z2" s="570" t="s">
        <v>1945</v>
      </c>
      <c r="AC2" s="570" t="s">
        <v>1945</v>
      </c>
    </row>
    <row r="3" spans="1:54" ht="21" thickTop="1">
      <c r="B3" s="24"/>
      <c r="C3" s="263"/>
      <c r="D3" s="1287" t="s">
        <v>77</v>
      </c>
      <c r="E3" s="1288"/>
      <c r="F3" s="1289"/>
      <c r="G3" s="1290" t="s">
        <v>78</v>
      </c>
      <c r="H3" s="1288"/>
      <c r="I3" s="1289"/>
      <c r="J3" s="1290" t="s">
        <v>79</v>
      </c>
      <c r="K3" s="1288"/>
      <c r="L3" s="1289"/>
      <c r="M3" s="1290" t="s">
        <v>80</v>
      </c>
      <c r="N3" s="1289"/>
      <c r="O3" s="1287" t="s">
        <v>81</v>
      </c>
      <c r="P3" s="1288"/>
      <c r="Q3" s="1289"/>
      <c r="R3" s="1290" t="s">
        <v>82</v>
      </c>
      <c r="S3" s="1291"/>
      <c r="T3" s="25"/>
      <c r="U3" s="25"/>
      <c r="V3" s="958" t="s">
        <v>2869</v>
      </c>
      <c r="W3" s="97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58" t="s">
        <v>2870</v>
      </c>
      <c r="W4" s="97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original'!$A$8:$A$500=$A5)*('Budget original'!$C$3:$AO$3=F$2),'Budget original'!$C$8:$AO$500)</f>
        <v>1528310.4172760069</v>
      </c>
      <c r="G5" s="310"/>
      <c r="H5" s="422"/>
      <c r="I5" s="626">
        <f>+SUMPRODUCT(('Budget révisé'!$A$8:$A$500=$A5)*('Budget révisé'!$C$3:$AO$3=I$2),'Budget révisé'!$C$8:$AO$500)</f>
        <v>1528310.4172760069</v>
      </c>
      <c r="J5" s="310"/>
      <c r="K5" s="184"/>
      <c r="L5" s="177">
        <f>-SUMIFS(BV_Data_An_Cour!$P:$P,BV_Data_An_Cour!$X:$X,"Oui",BV_Data_An_Cour!$U:$U,$B5)</f>
        <v>2288416.17</v>
      </c>
      <c r="M5" s="423"/>
      <c r="N5" s="424"/>
      <c r="O5" s="310"/>
      <c r="P5" s="184"/>
      <c r="Q5" s="177">
        <f>-SUMIFS(BV_Data_An_Prec!$P:$P,BV_Data_An_Prec!$X:$X,"Oui",BV_Data_An_Prec!$U:$U,$B5)</f>
        <v>1000809.9600000001</v>
      </c>
      <c r="R5" s="423"/>
      <c r="S5" s="425"/>
      <c r="T5" s="222"/>
      <c r="U5" s="222"/>
      <c r="V5" s="972" t="s">
        <v>2871</v>
      </c>
      <c r="W5" s="97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original'!$A$8:$A$500=$A6)*('Budget original'!$C$3:$AO$3=D$2),'Budget original'!$C$8:$AO$500)</f>
        <v>7.8939759036144581</v>
      </c>
      <c r="E6" s="179">
        <f>IF(D6=0,0,F6/D6)</f>
        <v>1450.6297619047618</v>
      </c>
      <c r="F6" s="179">
        <f>+SUMPRODUCT(('Budget original'!$A$8:$A$500=$A6)*('Budget original'!$C$3:$AO$3=F$2),'Budget original'!$C$8:$AO$500)</f>
        <v>11451.236385542168</v>
      </c>
      <c r="G6" s="182">
        <f>+SUMPRODUCT(('Budget révisé'!$A$8:$A$500=$A6)*('Budget révisé'!$C$3:$AO$3=G$2),'Budget révisé'!$C$8:$AO$500)</f>
        <v>7.8939759036144581</v>
      </c>
      <c r="H6" s="179">
        <f>IF(G6=0,0,I6/G6)</f>
        <v>1450.6297619047618</v>
      </c>
      <c r="I6" s="179">
        <f>+SUMPRODUCT(('Budget révisé'!$A$8:$A$500=$A6)*('Budget révisé'!$C$3:$AO$3=I$2),'Budget révisé'!$C$8:$AO$500)</f>
        <v>11451.236385542168</v>
      </c>
      <c r="J6" s="182">
        <f>-SUMIFS(BV_Data_An_Cour!$P:$P,BV_Data_An_Cour!$U:$U,$B6,BV_Data_An_Cour!$V:$V,$C6,BV_Data_An_Cour!$W:$W,J$2)</f>
        <v>3</v>
      </c>
      <c r="K6" s="179">
        <f>IF(J6=0,0,L6/J6)</f>
        <v>4814.2400000000025</v>
      </c>
      <c r="L6" s="554">
        <f>-SUMIFS(BV_Data_An_Cour!$P:$P,BV_Data_An_Cour!$U:$U,$B6,BV_Data_An_Cour!$V:$V,$C6,BV_Data_An_Cour!$W:$W,L$2)</f>
        <v>14442.720000000008</v>
      </c>
      <c r="M6" s="182">
        <f t="shared" ref="M6" si="2">J6-G6</f>
        <v>-4.8939759036144581</v>
      </c>
      <c r="N6" s="180">
        <f>L6-I6</f>
        <v>2991.4836144578403</v>
      </c>
      <c r="O6" s="1027">
        <f>-SUMIFS(BV_Data_An_Prec!$P:$P,BV_Data_An_Prec!$U:$U,$B6,BV_Data_An_Prec!$V:$V,$C6,BV_Data_An_Prec!$W:$W,O$2)</f>
        <v>7</v>
      </c>
      <c r="P6" s="179">
        <f>IF(O6=0,0,Q6/O6)</f>
        <v>590.46000000000072</v>
      </c>
      <c r="Q6" s="554">
        <f>-SUMIFS(BV_Data_An_Prec!$P:$P,BV_Data_An_Prec!$U:$U,$B6,BV_Data_An_Prec!$V:$V,$C6,BV_Data_An_Prec!$W:$W,Q$2)</f>
        <v>4133.2200000000048</v>
      </c>
      <c r="R6" s="182">
        <f t="shared" ref="R6" si="3">J6-O6</f>
        <v>-4</v>
      </c>
      <c r="S6" s="399">
        <f t="shared" ref="S6" si="4">L6-Q6</f>
        <v>10309.500000000004</v>
      </c>
      <c r="T6" s="222"/>
      <c r="U6" s="222"/>
      <c r="V6" s="972" t="s">
        <v>2872</v>
      </c>
      <c r="W6" s="97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original'!$A$8:$A$500=$A7)*('Budget original'!$C$3:$AO$3=D$2),'Budget original'!$C$8:$AO$500)</f>
        <v>27.253012048192772</v>
      </c>
      <c r="E7" s="179">
        <f t="shared" ref="E7:E12" si="6">IF(D7=0,0,F7/D7)</f>
        <v>2081.8275862068967</v>
      </c>
      <c r="F7" s="179">
        <f>+SUMPRODUCT(('Budget original'!$A$8:$A$500=$A7)*('Budget original'!$C$3:$AO$3=F$2),'Budget original'!$C$8:$AO$500)</f>
        <v>56736.072289156633</v>
      </c>
      <c r="G7" s="182">
        <f>+SUMPRODUCT(('Budget révisé'!$A$8:$A$500=$A7)*('Budget révisé'!$C$3:$AO$3=G$2),'Budget révisé'!$C$8:$AO$500)</f>
        <v>27.253012048192772</v>
      </c>
      <c r="H7" s="179">
        <f t="shared" ref="H7:H12" si="7">IF(G7=0,0,I7/G7)</f>
        <v>2081.8275862068967</v>
      </c>
      <c r="I7" s="179">
        <f>+SUMPRODUCT(('Budget révisé'!$A$8:$A$500=$A7)*('Budget révisé'!$C$3:$AO$3=I$2),'Budget révisé'!$C$8:$AO$500)</f>
        <v>56736.072289156633</v>
      </c>
      <c r="J7" s="182">
        <f>-SUMIFS(BV_Data_An_Cour!$P:$P,BV_Data_An_Cour!$U:$U,$B7,BV_Data_An_Cour!$V:$V,$C7,BV_Data_An_Cour!$W:$W,J$2)</f>
        <v>36</v>
      </c>
      <c r="K7" s="179">
        <f t="shared" ref="K7:K12" si="8">IF(J7=0,0,L7/J7)</f>
        <v>2742.3224999999966</v>
      </c>
      <c r="L7" s="554">
        <f>-SUMIFS(BV_Data_An_Cour!$P:$P,BV_Data_An_Cour!$U:$U,$B7,BV_Data_An_Cour!$V:$V,$C7,BV_Data_An_Cour!$W:$W,L$2)</f>
        <v>98723.60999999987</v>
      </c>
      <c r="M7" s="182">
        <f t="shared" ref="M7:M12" si="9">J7-G7</f>
        <v>8.7469879518072275</v>
      </c>
      <c r="N7" s="180">
        <f t="shared" ref="N7:N12" si="10">L7-I7</f>
        <v>41987.537710843237</v>
      </c>
      <c r="O7" s="182">
        <f>-SUMIFS(BV_Data_An_Prec!$P:$P,BV_Data_An_Prec!$U:$U,$B7,BV_Data_An_Prec!$V:$V,$C7,BV_Data_An_Prec!$W:$W,O$2)</f>
        <v>13</v>
      </c>
      <c r="P7" s="179">
        <f t="shared" ref="P7:P12" si="11">IF(O7=0,0,Q7/O7)</f>
        <v>1549.7276923076984</v>
      </c>
      <c r="Q7" s="554">
        <f>-SUMIFS(BV_Data_An_Prec!$P:$P,BV_Data_An_Prec!$U:$U,$B7,BV_Data_An_Prec!$V:$V,$C7,BV_Data_An_Prec!$W:$W,Q$2)</f>
        <v>20146.460000000079</v>
      </c>
      <c r="R7" s="182">
        <f t="shared" ref="R7:R12" si="12">J7-O7</f>
        <v>23</v>
      </c>
      <c r="S7" s="399">
        <f t="shared" ref="S7:S12" si="13">L7-Q7</f>
        <v>78577.14999999979</v>
      </c>
      <c r="T7" s="222"/>
      <c r="U7" s="222"/>
      <c r="V7" s="958" t="s">
        <v>2873</v>
      </c>
      <c r="W7" s="97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original'!$A$8:$A$500=$A8)*('Budget original'!$C$3:$AO$3=D$2),'Budget original'!$C$8:$AO$500)</f>
        <v>0</v>
      </c>
      <c r="E8" s="179">
        <f t="shared" si="6"/>
        <v>0</v>
      </c>
      <c r="F8" s="179">
        <f>+SUMPRODUCT(('Budget original'!$A$8:$A$500=$A8)*('Budget original'!$C$3:$AO$3=F$2),'Budget original'!$C$8:$AO$500)</f>
        <v>0</v>
      </c>
      <c r="G8" s="182">
        <f>+SUMPRODUCT(('Budget révisé'!$A$8:$A$500=$A8)*('Budget révisé'!$C$3:$AO$3=G$2),'Budget révisé'!$C$8:$AO$500)</f>
        <v>0</v>
      </c>
      <c r="H8" s="179">
        <f t="shared" si="7"/>
        <v>0</v>
      </c>
      <c r="I8" s="179">
        <f>+SUMPRODUCT(('Budget révisé'!$A$8:$A$500=$A8)*('Budget révisé'!$C$3:$AO$3=I$2),'Budget révisé'!$C$8:$AO$500)</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58"/>
      <c r="W8" s="97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original'!$A$8:$A$500=$A9)*('Budget original'!$C$3:$AO$3=D$2),'Budget original'!$C$8:$AO$500)</f>
        <v>0</v>
      </c>
      <c r="E9" s="179">
        <f t="shared" si="6"/>
        <v>0</v>
      </c>
      <c r="F9" s="179">
        <f>+SUMPRODUCT(('Budget original'!$A$8:$A$500=$A9)*('Budget original'!$C$3:$AO$3=F$2),'Budget original'!$C$8:$AO$500)</f>
        <v>0</v>
      </c>
      <c r="G9" s="182">
        <f>+SUMPRODUCT(('Budget révisé'!$A$8:$A$500=$A9)*('Budget révisé'!$C$3:$AO$3=G$2),'Budget révisé'!$C$8:$AO$500)</f>
        <v>0</v>
      </c>
      <c r="H9" s="179">
        <f t="shared" si="7"/>
        <v>0</v>
      </c>
      <c r="I9" s="179">
        <f>+SUMPRODUCT(('Budget révisé'!$A$8:$A$500=$A9)*('Budget révisé'!$C$3:$AO$3=I$2),'Budget révisé'!$C$8:$AO$500)</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original'!$A$8:$A$500=$A10)*('Budget original'!$C$3:$AO$3=D$2),'Budget original'!$C$8:$AO$500)</f>
        <v>0</v>
      </c>
      <c r="E10" s="179">
        <f t="shared" si="6"/>
        <v>0</v>
      </c>
      <c r="F10" s="179">
        <f>+SUMPRODUCT(('Budget original'!$A$8:$A$500=$A10)*('Budget original'!$C$3:$AO$3=F$2),'Budget original'!$C$8:$AO$500)</f>
        <v>0</v>
      </c>
      <c r="G10" s="182">
        <f>+SUMPRODUCT(('Budget révisé'!$A$8:$A$500=$A10)*('Budget révisé'!$C$3:$AO$3=G$2),'Budget révisé'!$C$8:$AO$500)</f>
        <v>0</v>
      </c>
      <c r="H10" s="179">
        <f t="shared" si="7"/>
        <v>0</v>
      </c>
      <c r="I10" s="179">
        <f>+SUMPRODUCT(('Budget révisé'!$A$8:$A$500=$A10)*('Budget révisé'!$C$3:$AO$3=I$2),'Budget révisé'!$C$8:$AO$500)</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original'!$A$8:$A$500=$A11)*('Budget original'!$C$3:$AO$3=D$2),'Budget original'!$C$8:$AO$500)</f>
        <v>0</v>
      </c>
      <c r="E11" s="179">
        <f t="shared" si="6"/>
        <v>0</v>
      </c>
      <c r="F11" s="179">
        <f>+SUMPRODUCT(('Budget original'!$A$8:$A$500=$A11)*('Budget original'!$C$3:$AO$3=F$2),'Budget original'!$C$8:$AO$500)</f>
        <v>0</v>
      </c>
      <c r="G11" s="182">
        <f>+SUMPRODUCT(('Budget révisé'!$A$8:$A$500=$A11)*('Budget révisé'!$C$3:$AO$3=G$2),'Budget révisé'!$C$8:$AO$500)</f>
        <v>0</v>
      </c>
      <c r="H11" s="179">
        <f t="shared" si="7"/>
        <v>0</v>
      </c>
      <c r="I11" s="179">
        <f>+SUMPRODUCT(('Budget révisé'!$A$8:$A$500=$A11)*('Budget révisé'!$C$3:$AO$3=I$2),'Budget révisé'!$C$8:$AO$500)</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original'!$A$8:$A$500=$A12)*('Budget original'!$C$3:$AO$3=D$2),'Budget original'!$C$8:$AO$500)</f>
        <v>0</v>
      </c>
      <c r="E12" s="179">
        <f t="shared" si="6"/>
        <v>0</v>
      </c>
      <c r="F12" s="179">
        <f>+SUMPRODUCT(('Budget original'!$A$8:$A$500=$A12)*('Budget original'!$C$3:$AO$3=F$2),'Budget original'!$C$8:$AO$500)</f>
        <v>0</v>
      </c>
      <c r="G12" s="182">
        <f>+SUMPRODUCT(('Budget révisé'!$A$8:$A$500=$A12)*('Budget révisé'!$C$3:$AO$3=G$2),'Budget révisé'!$C$8:$AO$500)</f>
        <v>0</v>
      </c>
      <c r="H12" s="179">
        <f t="shared" si="7"/>
        <v>0</v>
      </c>
      <c r="I12" s="179">
        <f>+SUMPRODUCT(('Budget révisé'!$A$8:$A$500=$A12)*('Budget révisé'!$C$3:$AO$3=I$2),'Budget révisé'!$C$8:$AO$500)</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35.146987951807233</v>
      </c>
      <c r="E13" s="401">
        <f>IF(D13&lt;=0,0,F13/D13)</f>
        <v>1940.0612299465238</v>
      </c>
      <c r="F13" s="402">
        <f>+SUM(F6:F12)</f>
        <v>68187.308674698797</v>
      </c>
      <c r="G13" s="403">
        <f>+SUM(G6:G12)</f>
        <v>35.146987951807233</v>
      </c>
      <c r="H13" s="401">
        <f>IF(G13&lt;=0,0,I13/G13)</f>
        <v>1940.0612299465238</v>
      </c>
      <c r="I13" s="402">
        <f>+SUM(I6:I12)</f>
        <v>68187.308674698797</v>
      </c>
      <c r="J13" s="403">
        <f>+SUM(J6:J12)</f>
        <v>39</v>
      </c>
      <c r="K13" s="401">
        <f>IF(J13&lt;=0,0,L13/J13)</f>
        <v>2901.7007692307661</v>
      </c>
      <c r="L13" s="402">
        <f>+SUM(L6:L12)</f>
        <v>113166.32999999987</v>
      </c>
      <c r="M13" s="403">
        <f>+SUM(M6:M12)</f>
        <v>3.8530120481927694</v>
      </c>
      <c r="N13" s="402">
        <f>+SUM(N6:N12)</f>
        <v>44979.021325301073</v>
      </c>
      <c r="O13" s="403">
        <f>+SUM(O6:O12)</f>
        <v>20</v>
      </c>
      <c r="P13" s="401">
        <f>IF(O13&lt;=0,0,Q13/O13)</f>
        <v>1213.9840000000042</v>
      </c>
      <c r="Q13" s="402">
        <f>+SUM(Q6:Q12)</f>
        <v>24279.680000000084</v>
      </c>
      <c r="R13" s="403">
        <f>+SUM(R6:R12)</f>
        <v>19</v>
      </c>
      <c r="S13" s="404">
        <f>+SUM(S6:S12)</f>
        <v>88886.64999999979</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0.1096256684491978</v>
      </c>
      <c r="N14" s="332">
        <f>IF(I13=0,0,N13/I13)</f>
        <v>0.65963919385471714</v>
      </c>
      <c r="O14" s="303"/>
      <c r="P14" s="179"/>
      <c r="Q14" s="312"/>
      <c r="R14" s="362">
        <f>R13/O13</f>
        <v>0.95</v>
      </c>
      <c r="S14" s="333">
        <f>IF(Q13=0,0,(S13/Q13))</f>
        <v>3.6609481673563855</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original'!$A$8:$A$500=$A15)*('Budget original'!$C$3:$AO$3=D$2),'Budget original'!$C$8:$AO$500)</f>
        <v>3.2891566265060241</v>
      </c>
      <c r="E15" s="184">
        <f t="shared" ref="E15" si="15">IF(D15=0,0,F15/D15)</f>
        <v>1386.1016187312014</v>
      </c>
      <c r="F15" s="177">
        <f>+SUMPRODUCT(('Budget original'!$A$8:$A$500=$A15)*('Budget original'!$C$3:$AO$3=F$2),'Budget original'!$C$8:$AO$500)</f>
        <v>4559.1053242604576</v>
      </c>
      <c r="G15" s="183">
        <f>+SUMPRODUCT(('Budget révisé'!$A$8:$A$500=$A15)*('Budget révisé'!$C$3:$AO$3=G$2),'Budget révisé'!$C$8:$AO$500)</f>
        <v>3.2891566265060241</v>
      </c>
      <c r="H15" s="407">
        <f t="shared" ref="H15" si="16">IF(G15=0,0,I15/G15)</f>
        <v>1386.1016187312014</v>
      </c>
      <c r="I15" s="405">
        <f>+SUMPRODUCT(('Budget révisé'!$A$8:$A$500=$A15)*('Budget révisé'!$C$3:$AO$3=I$2),'Budget révisé'!$C$8:$AO$500)</f>
        <v>4559.1053242604576</v>
      </c>
      <c r="J15" s="548">
        <f>-SUMIFS(BV_Data_An_Cour!$P:$P,BV_Data_An_Cour!$U:$U,$B15,BV_Data_An_Cour!$V:$V,$C15,BV_Data_An_Cour!$W:$W,J$2)</f>
        <v>8</v>
      </c>
      <c r="K15" s="549">
        <f>IF(J15=0,0,L15/J15)</f>
        <v>2867.614999999998</v>
      </c>
      <c r="L15" s="549">
        <f>-SUMIFS(BV_Data_An_Cour!$P:$P,BV_Data_An_Cour!$U:$U,$B15,BV_Data_An_Cour!$V:$V,$C15,BV_Data_An_Cour!$W:$W,L$2)</f>
        <v>22940.919999999984</v>
      </c>
      <c r="M15" s="406">
        <f>J15-G15</f>
        <v>4.7108433734939759</v>
      </c>
      <c r="N15" s="405">
        <f>L15-I15</f>
        <v>18381.814675739526</v>
      </c>
      <c r="O15" s="548">
        <f>-SUMIFS(BV_Data_An_Prec!$P:$P,BV_Data_An_Prec!$U:$U,$B15,BV_Data_An_Prec!$V:$V,$C15,BV_Data_An_Prec!$W:$W,O$2)</f>
        <v>2</v>
      </c>
      <c r="P15" s="549">
        <f>IF(O15=0,0,Q15/O15)</f>
        <v>1819.9049999999988</v>
      </c>
      <c r="Q15" s="549">
        <f>-SUMIFS(BV_Data_An_Prec!$P:$P,BV_Data_An_Prec!$U:$U,$B15,BV_Data_An_Prec!$V:$V,$C15,BV_Data_An_Prec!$W:$W,Q$2)</f>
        <v>3639.8099999999977</v>
      </c>
      <c r="R15" s="406">
        <f>J15-O15</f>
        <v>6</v>
      </c>
      <c r="S15" s="427">
        <f>L15-Q15</f>
        <v>19301.109999999986</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original'!$A$8:$A$500=$A17)*('Budget original'!$C$3:$AO$3=D$2),'Budget original'!$C$8:$AO$500)</f>
        <v>0</v>
      </c>
      <c r="E17" s="179">
        <f t="shared" ref="E17" si="17">IF(D17=0,0,F17/D17)</f>
        <v>0</v>
      </c>
      <c r="F17" s="179">
        <f>+SUMPRODUCT(('Budget original'!$A$8:$A$500=$A17)*('Budget original'!$C$3:$AO$3=F$2),'Budget original'!$C$8:$AO$500)</f>
        <v>0</v>
      </c>
      <c r="G17" s="182">
        <f>+SUMPRODUCT(('Budget révisé'!$A$8:$A$500=$A17)*('Budget révisé'!$C$3:$AO$3=G$2),'Budget révisé'!$C$8:$AO$500)</f>
        <v>0</v>
      </c>
      <c r="H17" s="179">
        <f t="shared" ref="H17" si="18">IF(G17=0,0,I17/G17)</f>
        <v>0</v>
      </c>
      <c r="I17" s="179">
        <f>+SUMPRODUCT(('Budget révisé'!$A$8:$A$500=$A17)*('Budget révisé'!$C$3:$AO$3=I$2),'Budget révisé'!$C$8:$AO$500)</f>
        <v>0</v>
      </c>
      <c r="J17" s="406">
        <f>-SUMIFS(BV_Data_An_Cour!$P:$P,BV_Data_An_Cour!$U:$U,$B17,BV_Data_An_Cour!$V:$V,$C17,BV_Data_An_Cour!$W:$W,J$2)</f>
        <v>0</v>
      </c>
      <c r="K17" s="179">
        <f>IF(J17=0,0,L17/J17)</f>
        <v>0</v>
      </c>
      <c r="L17" s="180">
        <f>-SUMIFS(BV_Data_An_Cour!$P:$P,BV_Data_An_Cour!$U:$U,$B17,BV_Data_An_Cour!$V:$V,$C17,BV_Data_An_Cour!$W:$W,L$2)</f>
        <v>0</v>
      </c>
      <c r="M17" s="406">
        <f>J17-G17</f>
        <v>0</v>
      </c>
      <c r="N17" s="180">
        <f>L17-I17</f>
        <v>0</v>
      </c>
      <c r="O17" s="406">
        <f>-SUMIFS(BV_Data_An_Prec!$P:$P,BV_Data_An_Prec!$U:$U,$B17,BV_Data_An_Prec!$V:$V,$C17,BV_Data_An_Prec!$W:$W,O$2)</f>
        <v>2</v>
      </c>
      <c r="P17" s="179">
        <f>IF(O17=0,0,Q17/O17)</f>
        <v>687.43000000000029</v>
      </c>
      <c r="Q17" s="180">
        <f>-SUMIFS(BV_Data_An_Prec!$P:$P,BV_Data_An_Prec!$U:$U,$B17,BV_Data_An_Prec!$V:$V,$C17,BV_Data_An_Prec!$W:$W,Q$2)</f>
        <v>1374.8600000000006</v>
      </c>
      <c r="R17" s="182">
        <f>J17-O17</f>
        <v>-2</v>
      </c>
      <c r="S17" s="399">
        <f>L17-Q17</f>
        <v>-1374.8600000000006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original'!$A$8:$A$500=$A19)*('Budget original'!$C$3:$AO$3=D$2),'Budget original'!$C$8:$AO$500)</f>
        <v>0</v>
      </c>
      <c r="E19" s="179">
        <f t="shared" ref="E19" si="19">IF(D19=0,0,F19/D19)</f>
        <v>0</v>
      </c>
      <c r="F19" s="179">
        <f>+SUMPRODUCT(('Budget original'!$A$8:$A$500=$A19)*('Budget original'!$C$3:$AO$3=F$2),'Budget original'!$C$8:$AO$500)</f>
        <v>3506.6828999999993</v>
      </c>
      <c r="G19" s="182">
        <f>+SUMPRODUCT(('Budget révisé'!$A$8:$A$500=$A19)*('Budget révisé'!$C$3:$AO$3=G$2),'Budget révisé'!$C$8:$AO$500)</f>
        <v>0</v>
      </c>
      <c r="H19" s="179">
        <f t="shared" ref="H19" si="20">IF(G19=0,0,I19/G19)</f>
        <v>0</v>
      </c>
      <c r="I19" s="179">
        <f>+SUMPRODUCT(('Budget révisé'!$A$8:$A$500=$A19)*('Budget révisé'!$C$3:$AO$3=I$2),'Budget révisé'!$C$8:$AO$500)</f>
        <v>3506.6828999999993</v>
      </c>
      <c r="J19" s="183"/>
      <c r="K19" s="179"/>
      <c r="L19" s="180">
        <f>-SUMIFS(BV_Data_An_Cour!$P:$P,BV_Data_An_Cour!$U:$U,$B19,BV_Data_An_Cour!$V:$V,$C19,BV_Data_An_Cour!$W:$W,L$2)</f>
        <v>7739.289999999979</v>
      </c>
      <c r="M19" s="182"/>
      <c r="N19" s="180">
        <f>L19-I19</f>
        <v>4232.6070999999793</v>
      </c>
      <c r="O19" s="183"/>
      <c r="P19" s="179"/>
      <c r="Q19" s="180">
        <f>-SUMIFS(BV_Data_An_Prec!$P:$P,BV_Data_An_Prec!$U:$U,$B19,BV_Data_An_Prec!$V:$V,$C19,BV_Data_An_Prec!$W:$W,Q$2)</f>
        <v>898.55000000000291</v>
      </c>
      <c r="R19" s="182">
        <f>O19-K19</f>
        <v>0</v>
      </c>
      <c r="S19" s="399">
        <f>L19-Q19</f>
        <v>6840.7399999999761</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original'!$A$8:$A$500=$A21)*('Budget original'!$C$3:$AO$3=D$2),'Budget original'!$C$8:$AO$500)</f>
        <v>0</v>
      </c>
      <c r="E21" s="179">
        <f t="shared" ref="E21:E23" si="21">IF(D21=0,0,F21/D21)</f>
        <v>0</v>
      </c>
      <c r="F21" s="179">
        <f>+SUMPRODUCT(('Budget original'!$A$8:$A$500=$A21)*('Budget original'!$C$3:$AO$3=F$2),'Budget original'!$C$8:$AO$500)</f>
        <v>1150.154076194684</v>
      </c>
      <c r="G21" s="303">
        <f>+SUMPRODUCT(('Budget révisé'!$A$8:$A$500=$A21)*('Budget révisé'!$C$3:$AO$3=G$2),'Budget révisé'!$C$8:$AO$500)</f>
        <v>0</v>
      </c>
      <c r="H21" s="179">
        <f t="shared" ref="H21:H23" si="22">IF(G21=0,0,I21/G21)</f>
        <v>0</v>
      </c>
      <c r="I21" s="179">
        <f>+SUMPRODUCT(('Budget révisé'!$A$8:$A$500=$A21)*('Budget révisé'!$C$3:$AO$3=I$2),'Budget révisé'!$C$8:$AO$500)</f>
        <v>1150.154076194684</v>
      </c>
      <c r="J21" s="182"/>
      <c r="K21" s="179">
        <f>IF(J13=0,0,L21/(J13+J15))</f>
        <v>134.66978723404253</v>
      </c>
      <c r="L21" s="180">
        <f>-SUMIFS(BV_Data_An_Cour!$P:$P,BV_Data_An_Cour!$U:$U,$B21,BV_Data_An_Cour!$V:$V,$C21,BV_Data_An_Cour!$W:$W,L$2)</f>
        <v>6329.48</v>
      </c>
      <c r="M21" s="182"/>
      <c r="N21" s="180">
        <f t="shared" ref="N21:N24" si="23">L21-I21</f>
        <v>5179.3259238053161</v>
      </c>
      <c r="O21" s="182"/>
      <c r="P21" s="179">
        <f>IF(O13=0,0,Q21/(O13+O15))</f>
        <v>0</v>
      </c>
      <c r="Q21" s="180">
        <f>-SUMIFS(BV_Data_An_Prec!$P:$P,BV_Data_An_Prec!$U:$U,$B21,BV_Data_An_Prec!$V:$V,$C21,BV_Data_An_Prec!$W:$W,Q$2)</f>
        <v>0</v>
      </c>
      <c r="R21" s="182">
        <f t="shared" ref="R21:R23" si="24">O21-K21</f>
        <v>-134.66978723404253</v>
      </c>
      <c r="S21" s="399">
        <f t="shared" ref="S21:S24" si="25">L21-Q21</f>
        <v>6329.48</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original'!$A$8:$A$500=$A22)*('Budget original'!$C$3:$AO$3=D$2),'Budget original'!$C$8:$AO$500)</f>
        <v>0</v>
      </c>
      <c r="E22" s="179">
        <f t="shared" si="21"/>
        <v>0</v>
      </c>
      <c r="F22" s="179">
        <f>+SUMPRODUCT(('Budget original'!$A$8:$A$500=$A22)*('Budget original'!$C$3:$AO$3=F$2),'Budget original'!$C$8:$AO$500)</f>
        <v>30759.269896087149</v>
      </c>
      <c r="G22" s="303">
        <f>+SUMPRODUCT(('Budget révisé'!$A$8:$A$500=$A22)*('Budget révisé'!$C$3:$AO$3=G$2),'Budget révisé'!$C$8:$AO$500)</f>
        <v>0</v>
      </c>
      <c r="H22" s="179">
        <f t="shared" si="22"/>
        <v>0</v>
      </c>
      <c r="I22" s="179">
        <f>+SUMPRODUCT(('Budget révisé'!$A$8:$A$500=$A22)*('Budget révisé'!$C$3:$AO$3=I$2),'Budget révisé'!$C$8:$AO$500)</f>
        <v>30759.269896087149</v>
      </c>
      <c r="J22" s="182"/>
      <c r="K22" s="179">
        <f>IF(J13=0,0,L22/(J13+J15))</f>
        <v>907.82170212765959</v>
      </c>
      <c r="L22" s="180">
        <f>-SUMIFS(BV_Data_An_Cour!$P:$P,BV_Data_An_Cour!$U:$U,$B22,BV_Data_An_Cour!$V:$V,$C22,BV_Data_An_Cour!$W:$W,L$2)</f>
        <v>42667.62</v>
      </c>
      <c r="M22" s="182"/>
      <c r="N22" s="180">
        <f t="shared" si="23"/>
        <v>11908.350103912853</v>
      </c>
      <c r="O22" s="182"/>
      <c r="P22" s="179">
        <f>IF(O13=0,0,Q22/(O13+O15))</f>
        <v>738.70727272727265</v>
      </c>
      <c r="Q22" s="180">
        <f>-SUMIFS(BV_Data_An_Prec!$P:$P,BV_Data_An_Prec!$U:$U,$B22,BV_Data_An_Prec!$V:$V,$C22,BV_Data_An_Prec!$W:$W,Q$2)</f>
        <v>16251.56</v>
      </c>
      <c r="R22" s="182">
        <f t="shared" si="24"/>
        <v>-907.82170212765959</v>
      </c>
      <c r="S22" s="399">
        <f t="shared" si="25"/>
        <v>26416.060000000005</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original'!$A$8:$A$500=$A23)*('Budget original'!$C$3:$AO$3=D$2),'Budget original'!$C$8:$AO$500)</f>
        <v>0</v>
      </c>
      <c r="E23" s="179">
        <f t="shared" si="21"/>
        <v>0</v>
      </c>
      <c r="F23" s="179">
        <f>+SUMPRODUCT(('Budget original'!$A$8:$A$500=$A23)*('Budget original'!$C$3:$AO$3=F$2),'Budget original'!$C$8:$AO$500)</f>
        <v>761.29891928443465</v>
      </c>
      <c r="G23" s="303">
        <f>+SUMPRODUCT(('Budget révisé'!$A$8:$A$500=$A23)*('Budget révisé'!$C$3:$AO$3=G$2),'Budget révisé'!$C$8:$AO$500)</f>
        <v>0</v>
      </c>
      <c r="H23" s="179">
        <f t="shared" si="22"/>
        <v>0</v>
      </c>
      <c r="I23" s="179">
        <f>+SUMPRODUCT(('Budget révisé'!$A$8:$A$500=$A23)*('Budget révisé'!$C$3:$AO$3=I$2),'Budget révisé'!$C$8:$AO$500)</f>
        <v>761.29891928443465</v>
      </c>
      <c r="J23" s="182"/>
      <c r="K23" s="179">
        <f>IF(J13=0,0,L23/(J13+J15))</f>
        <v>7.3836170212765948</v>
      </c>
      <c r="L23" s="180">
        <f>-SUMIFS(BV_Data_An_Cour!$P:$P,BV_Data_An_Cour!$U:$U,$B23,BV_Data_An_Cour!$V:$V,$C23,BV_Data_An_Cour!$W:$W,L$2)</f>
        <v>347.03</v>
      </c>
      <c r="M23" s="406"/>
      <c r="N23" s="180">
        <f t="shared" si="23"/>
        <v>-414.26891928443467</v>
      </c>
      <c r="O23" s="182"/>
      <c r="P23" s="179">
        <f>IF(O13=0,0,Q23/(O13+O15))</f>
        <v>15.493636363636364</v>
      </c>
      <c r="Q23" s="180">
        <f>-SUMIFS(BV_Data_An_Prec!$P:$P,BV_Data_An_Prec!$U:$U,$B23,BV_Data_An_Prec!$V:$V,$C23,BV_Data_An_Prec!$W:$W,Q$2)</f>
        <v>340.86</v>
      </c>
      <c r="R23" s="182">
        <f t="shared" si="24"/>
        <v>-7.3836170212765948</v>
      </c>
      <c r="S23" s="399">
        <f t="shared" si="25"/>
        <v>6.1699999999999591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38.436144578313261</v>
      </c>
      <c r="E24" s="401">
        <f>IF(D24&lt;=0,0,F24/D24)</f>
        <v>850</v>
      </c>
      <c r="F24" s="402">
        <f>F21+F22+F23</f>
        <v>32670.722891566271</v>
      </c>
      <c r="G24" s="403">
        <f>+G15+G13</f>
        <v>38.436144578313261</v>
      </c>
      <c r="H24" s="401">
        <f>IF(G24&lt;=0,0,I24/G24)</f>
        <v>850</v>
      </c>
      <c r="I24" s="402">
        <f>I21+I22+I23</f>
        <v>32670.722891566271</v>
      </c>
      <c r="J24" s="403">
        <f>+J15+J13</f>
        <v>47</v>
      </c>
      <c r="K24" s="401">
        <f>IF(J24&lt;=0,0,L24/J24)</f>
        <v>1049.8751063829789</v>
      </c>
      <c r="L24" s="402">
        <f>L21+L22+L23</f>
        <v>49344.130000000005</v>
      </c>
      <c r="M24" s="431">
        <f>J24-G24</f>
        <v>8.5638554216867391</v>
      </c>
      <c r="N24" s="402">
        <f t="shared" si="23"/>
        <v>16673.407108433734</v>
      </c>
      <c r="O24" s="403">
        <f>+O15+O13</f>
        <v>22</v>
      </c>
      <c r="P24" s="401">
        <f>IF(O24&lt;=0,0,Q24/O24)</f>
        <v>754.20090909090902</v>
      </c>
      <c r="Q24" s="402">
        <f>Q21+Q22+Q23</f>
        <v>16592.419999999998</v>
      </c>
      <c r="R24" s="411"/>
      <c r="S24" s="404">
        <f t="shared" si="25"/>
        <v>32751.710000000006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0.51034705181677698</v>
      </c>
      <c r="O25" s="303"/>
      <c r="P25" s="178"/>
      <c r="Q25" s="304"/>
      <c r="R25" s="325"/>
      <c r="S25" s="333">
        <f>IF(Q24=0,0,(S24/Q24))</f>
        <v>1.9738959115065802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38.436144578313261</v>
      </c>
      <c r="E27" s="27">
        <f>IF(D27&lt;=0,0,F27/D27)</f>
        <v>2833.8903650597508</v>
      </c>
      <c r="F27" s="28">
        <f>F13+F17+F24+F19+F15</f>
        <v>108923.81979052552</v>
      </c>
      <c r="G27" s="29">
        <f>+G13+G15+G17</f>
        <v>38.436144578313261</v>
      </c>
      <c r="H27" s="30">
        <f>IF(G27&lt;=0,0,I27/G27)</f>
        <v>2833.8903650597508</v>
      </c>
      <c r="I27" s="28">
        <f>I13+I17+I24+I19+I15</f>
        <v>108923.81979052552</v>
      </c>
      <c r="J27" s="29">
        <f>+J13+J15+J17</f>
        <v>47</v>
      </c>
      <c r="K27" s="30">
        <f>IF(J27&lt;=0,0,L27/J27)</f>
        <v>4110.4397872340387</v>
      </c>
      <c r="L27" s="28">
        <f>L13+L17+L24+L19+L15</f>
        <v>193190.66999999984</v>
      </c>
      <c r="M27" s="29">
        <f>J27-G27</f>
        <v>8.5638554216867391</v>
      </c>
      <c r="N27" s="28">
        <f>L27-I27</f>
        <v>84266.850209474316</v>
      </c>
      <c r="O27" s="29">
        <f>+O13+O15+O17</f>
        <v>24</v>
      </c>
      <c r="P27" s="30">
        <f>IF(O27&lt;=0,0,Q27/O27)</f>
        <v>1949.3883333333367</v>
      </c>
      <c r="Q27" s="28">
        <f>Q13+Q17+Q24+Q19+Q15</f>
        <v>46785.32000000008</v>
      </c>
      <c r="R27" s="29">
        <f>J27-O27</f>
        <v>23</v>
      </c>
      <c r="S27" s="363">
        <f>L27-Q27</f>
        <v>146405.34999999974</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0.22280734750172379</v>
      </c>
      <c r="N28" s="34">
        <f>N27/I27</f>
        <v>0.77363106041938556</v>
      </c>
      <c r="O28" s="31"/>
      <c r="P28" s="365"/>
      <c r="Q28" s="32"/>
      <c r="R28" s="33">
        <f>R27/O27</f>
        <v>0.95833333333333337</v>
      </c>
      <c r="S28" s="272">
        <f>IF(Q27=0,0,S27/Q27)</f>
        <v>3.1293010286132379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716.90156207600876</v>
      </c>
      <c r="F31" s="179">
        <f>+SUMPRODUCT(('Budget original'!$A$8:$A$500=$A31)*('Budget original'!$C$3:$AO$3=F$2),'Budget original'!$C$8:$AO$500)</f>
        <v>27554.93208837209</v>
      </c>
      <c r="G31" s="302"/>
      <c r="H31" s="197">
        <f t="shared" ref="H31:H36" si="27">I31/G$24</f>
        <v>716.90156207600876</v>
      </c>
      <c r="I31" s="179">
        <f>+SUMPRODUCT(('Budget révisé'!$A$8:$A$500=$A31)*('Budget révisé'!$C$3:$AO$3=I$2),'Budget révisé'!$C$8:$AO$500)</f>
        <v>27554.93208837209</v>
      </c>
      <c r="J31" s="965">
        <f>L31/(L13+L15+L17)</f>
        <v>0.35994959857024555</v>
      </c>
      <c r="K31" s="197">
        <f t="shared" ref="K31:K36" si="28">IF(L31=0,0,L31/J$24)</f>
        <v>1042.377659574468</v>
      </c>
      <c r="L31" s="179">
        <f>SUMIFS(BV_Data_An_Cour!$P:$P,BV_Data_An_Cour!$U:$U,$B31,BV_Data_An_Cour!$V:$V,$C31,BV_Data_An_Cour!$W:$W,L$2)</f>
        <v>48991.75</v>
      </c>
      <c r="M31" s="303"/>
      <c r="N31" s="304">
        <f t="shared" ref="N31:N53" si="29">L31-I31</f>
        <v>21436.81791162791</v>
      </c>
      <c r="O31" s="303"/>
      <c r="P31" s="197">
        <f t="shared" ref="P31:P36" si="30">IF(Q31=0,0,Q31/O$24)</f>
        <v>888.06409090909085</v>
      </c>
      <c r="Q31" s="180">
        <f>SUMIFS(BV_Data_An_Prec!$P:$P,BV_Data_An_Prec!$U:$U,$B31,BV_Data_An_Prec!$V:$V,$C31,BV_Data_An_Prec!$W:$W,Q$2)</f>
        <v>19537.41</v>
      </c>
      <c r="R31" s="303"/>
      <c r="S31" s="199">
        <f t="shared" ref="S31:S41" si="31">L31-Q31</f>
        <v>29454.34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254.99999999999997</v>
      </c>
      <c r="F32" s="177">
        <f>+SUMPRODUCT(('Budget original'!$A$8:$A$500=$A32)*('Budget original'!$C$3:$AO$3=F$2),'Budget original'!$C$8:$AO$500)</f>
        <v>9801.2168674698805</v>
      </c>
      <c r="G32" s="309"/>
      <c r="H32" s="190">
        <f t="shared" si="27"/>
        <v>254.99999999999997</v>
      </c>
      <c r="I32" s="177">
        <f>+SUMPRODUCT(('Budget révisé'!$A$8:$A$500=$A32)*('Budget révisé'!$C$3:$AO$3=I$2),'Budget révisé'!$C$8:$AO$500)</f>
        <v>9801.2168674698805</v>
      </c>
      <c r="J32" s="966">
        <f>L32/L24</f>
        <v>0.33032520788186964</v>
      </c>
      <c r="K32" s="413">
        <f t="shared" si="28"/>
        <v>346.80021276595744</v>
      </c>
      <c r="L32" s="177">
        <f>SUMIFS(BV_Data_An_Cour!$P:$P,BV_Data_An_Cour!$U:$U,$B32,BV_Data_An_Cour!$V:$V,$C32,BV_Data_An_Cour!$W:$W,L$2)</f>
        <v>16299.61</v>
      </c>
      <c r="M32" s="310"/>
      <c r="N32" s="311">
        <f t="shared" si="29"/>
        <v>6498.3931325301201</v>
      </c>
      <c r="O32" s="310"/>
      <c r="P32" s="413">
        <f t="shared" si="30"/>
        <v>222.40772727272727</v>
      </c>
      <c r="Q32" s="177">
        <f>SUMIFS(BV_Data_An_Prec!$P:$P,BV_Data_An_Prec!$U:$U,$B32,BV_Data_An_Prec!$V:$V,$C32,BV_Data_An_Prec!$W:$W,Q$2)</f>
        <v>4892.97</v>
      </c>
      <c r="R32" s="310"/>
      <c r="S32" s="202">
        <f t="shared" si="31"/>
        <v>11406.64</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167.84930226439226</v>
      </c>
      <c r="F33" s="179">
        <f>+SUMPRODUCT(('Budget original'!$A$8:$A$500=$A33)*('Budget original'!$C$3:$AO$3=F$2),'Budget original'!$C$8:$AO$500)</f>
        <v>6451.4800492031845</v>
      </c>
      <c r="G33" s="302"/>
      <c r="H33" s="197">
        <f t="shared" si="27"/>
        <v>167.84930226439226</v>
      </c>
      <c r="I33" s="179">
        <f>+SUMPRODUCT(('Budget révisé'!$A$8:$A$500=$A33)*('Budget révisé'!$C$3:$AO$3=I$2),'Budget révisé'!$C$8:$AO$500)</f>
        <v>6451.4800492031845</v>
      </c>
      <c r="J33" s="303"/>
      <c r="K33" s="197">
        <f t="shared" si="28"/>
        <v>131.15829787234043</v>
      </c>
      <c r="L33" s="179">
        <f>SUMIFS(BV_Data_An_Cour!$P:$P,BV_Data_An_Cour!$U:$U,$B33,BV_Data_An_Cour!$V:$V,$C33,BV_Data_An_Cour!$W:$W,L$2)</f>
        <v>6164.44</v>
      </c>
      <c r="M33" s="303"/>
      <c r="N33" s="304">
        <f t="shared" si="29"/>
        <v>-287.04004920318494</v>
      </c>
      <c r="O33" s="303"/>
      <c r="P33" s="197">
        <f t="shared" si="30"/>
        <v>218.10454545454547</v>
      </c>
      <c r="Q33" s="180">
        <f>SUMIFS(BV_Data_An_Prec!$P:$P,BV_Data_An_Prec!$U:$U,$B33,BV_Data_An_Prec!$V:$V,$C33,BV_Data_An_Prec!$W:$W,Q$2)</f>
        <v>4798.3</v>
      </c>
      <c r="R33" s="303"/>
      <c r="S33" s="199">
        <f t="shared" si="31"/>
        <v>1366.1399999999994</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7.3548076275245764</v>
      </c>
      <c r="F34" s="179">
        <f>+SUMPRODUCT(('Budget original'!$A$8:$A$500=$A34)*('Budget original'!$C$3:$AO$3=F$2),'Budget original'!$C$8:$AO$500)</f>
        <v>282.69044931721578</v>
      </c>
      <c r="G34" s="302"/>
      <c r="H34" s="197">
        <f t="shared" si="27"/>
        <v>7.3548076275245764</v>
      </c>
      <c r="I34" s="179">
        <f>+SUMPRODUCT(('Budget révisé'!$A$8:$A$500=$A34)*('Budget révisé'!$C$3:$AO$3=I$2),'Budget révisé'!$C$8:$AO$500)</f>
        <v>282.69044931721578</v>
      </c>
      <c r="J34" s="303"/>
      <c r="K34" s="197">
        <f t="shared" si="28"/>
        <v>0</v>
      </c>
      <c r="L34" s="179">
        <f>SUMIFS(BV_Data_An_Cour!$P:$P,BV_Data_An_Cour!$U:$U,$B34,BV_Data_An_Cour!$V:$V,$C34,BV_Data_An_Cour!$W:$W,L$2)</f>
        <v>0</v>
      </c>
      <c r="M34" s="303"/>
      <c r="N34" s="304">
        <f t="shared" si="29"/>
        <v>-282.69044931721578</v>
      </c>
      <c r="O34" s="303"/>
      <c r="P34" s="197">
        <f t="shared" si="30"/>
        <v>19.268636363636364</v>
      </c>
      <c r="Q34" s="180">
        <f>SUMIFS(BV_Data_An_Prec!$P:$P,BV_Data_An_Prec!$U:$U,$B34,BV_Data_An_Prec!$V:$V,$C34,BV_Data_An_Prec!$W:$W,Q$2)</f>
        <v>423.91</v>
      </c>
      <c r="R34" s="303"/>
      <c r="S34" s="199">
        <f t="shared" si="31"/>
        <v>-423.91</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17.73311821247648</v>
      </c>
      <c r="F35" s="177">
        <f>+SUMPRODUCT(('Budget original'!$A$8:$A$500=$A35)*('Budget original'!$C$3:$AO$3=F$2),'Budget original'!$C$8:$AO$500)</f>
        <v>681.59269543906601</v>
      </c>
      <c r="G35" s="309"/>
      <c r="H35" s="190">
        <f t="shared" si="27"/>
        <v>17.73311821247648</v>
      </c>
      <c r="I35" s="177">
        <f>+SUMPRODUCT(('Budget révisé'!$A$8:$A$500=$A35)*('Budget révisé'!$C$3:$AO$3=I$2),'Budget révisé'!$C$8:$AO$500)</f>
        <v>681.59269543906601</v>
      </c>
      <c r="J35" s="310"/>
      <c r="K35" s="413">
        <f t="shared" si="28"/>
        <v>62.411276595744681</v>
      </c>
      <c r="L35" s="177">
        <f>SUMIFS(BV_Data_An_Cour!$P:$P,BV_Data_An_Cour!$U:$U,$B35,BV_Data_An_Cour!$V:$V,$C35,BV_Data_An_Cour!$W:$W,L$2)</f>
        <v>2933.33</v>
      </c>
      <c r="M35" s="310"/>
      <c r="N35" s="311">
        <f t="shared" si="29"/>
        <v>2251.7373045609338</v>
      </c>
      <c r="O35" s="310"/>
      <c r="P35" s="413">
        <f t="shared" si="30"/>
        <v>7.7249999999999996</v>
      </c>
      <c r="Q35" s="180">
        <f>SUMIFS(BV_Data_An_Prec!$P:$P,BV_Data_An_Prec!$U:$U,$B35,BV_Data_An_Prec!$V:$V,$C35,BV_Data_An_Prec!$W:$W,Q$2)</f>
        <v>169.95</v>
      </c>
      <c r="R35" s="310"/>
      <c r="S35" s="202">
        <f t="shared" si="31"/>
        <v>2763.38</v>
      </c>
      <c r="T35" s="222"/>
      <c r="U35" s="222"/>
      <c r="V35" s="514"/>
      <c r="W35" s="96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195.93765281173592</v>
      </c>
      <c r="F36" s="179">
        <f>+SUMPRODUCT(('Budget original'!$A$8:$A$500=$A36)*('Budget original'!$C$3:$AO$3=F$2),'Budget original'!$C$8:$AO$500)</f>
        <v>7531.0879518072297</v>
      </c>
      <c r="G36" s="302"/>
      <c r="H36" s="197">
        <f t="shared" si="27"/>
        <v>195.93765281173592</v>
      </c>
      <c r="I36" s="179">
        <f>+SUMPRODUCT(('Budget révisé'!$A$8:$A$500=$A36)*('Budget révisé'!$C$3:$AO$3=I$2),'Budget révisé'!$C$8:$AO$500)</f>
        <v>7531.0879518072297</v>
      </c>
      <c r="J36" s="303"/>
      <c r="K36" s="197">
        <f t="shared" si="28"/>
        <v>199.03404255319148</v>
      </c>
      <c r="L36" s="629">
        <f>SUMIFS(BV_Data_An_Cour!$P:$P,BV_Data_An_Cour!$U:$U,$B36,BV_Data_An_Cour!$V:$V,$C36,BV_Data_An_Cour!$W:$W,L$2)</f>
        <v>9354.6</v>
      </c>
      <c r="M36" s="178"/>
      <c r="N36" s="304">
        <f t="shared" si="29"/>
        <v>1823.5120481927706</v>
      </c>
      <c r="O36" s="303"/>
      <c r="P36" s="197">
        <f t="shared" si="30"/>
        <v>335.45909090909095</v>
      </c>
      <c r="Q36" s="429">
        <f>SUMIFS(BV_Data_An_Prec!$P:$P,BV_Data_An_Prec!$U:$U,$B36,BV_Data_An_Prec!$V:$V,$C36,BV_Data_An_Prec!$W:$W,Q$2)</f>
        <v>7380.1</v>
      </c>
      <c r="R36" s="303"/>
      <c r="S36" s="199">
        <f t="shared" si="31"/>
        <v>1974.5</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146.62808861093757</v>
      </c>
      <c r="F37" s="179">
        <f>+SUMPRODUCT(('Budget original'!$A$8:$A$500=$A37)*('Budget original'!$C$3:$AO$3=F$2),'Budget original'!$C$8:$AO$500)</f>
        <v>5635.8184130917243</v>
      </c>
      <c r="G37" s="302"/>
      <c r="H37" s="197">
        <f t="shared" ref="H37:H40" si="34">I37/G$24</f>
        <v>146.62808861093757</v>
      </c>
      <c r="I37" s="179">
        <f>+SUMPRODUCT(('Budget révisé'!$A$8:$A$500=$A37)*('Budget révisé'!$C$3:$AO$3=I$2),'Budget révisé'!$C$8:$AO$500)</f>
        <v>5635.8184130917243</v>
      </c>
      <c r="J37" s="303"/>
      <c r="K37" s="197">
        <f t="shared" ref="K37:K40" si="35">IF(L37=0,0,L37/J$24)</f>
        <v>39.557659574468083</v>
      </c>
      <c r="L37" s="630">
        <f>SUMIFS(BV_Data_An_Cour!$P:$P,BV_Data_An_Cour!$U:$U,$B37,BV_Data_An_Cour!$V:$V,$C37,BV_Data_An_Cour!$W:$W,L$2)</f>
        <v>1859.21</v>
      </c>
      <c r="M37" s="178"/>
      <c r="N37" s="304">
        <f t="shared" ref="N37:N40" si="36">L37-I37</f>
        <v>-3776.6084130917243</v>
      </c>
      <c r="O37" s="303"/>
      <c r="P37" s="197">
        <f t="shared" ref="P37:P40" si="37">IF(Q37=0,0,Q37/O$24)</f>
        <v>524.33818181818185</v>
      </c>
      <c r="Q37" s="180">
        <f>SUMIFS(BV_Data_An_Prec!$P:$P,BV_Data_An_Prec!$U:$U,$B37,BV_Data_An_Prec!$V:$V,$C37,BV_Data_An_Prec!$W:$W,Q$2)</f>
        <v>11535.44</v>
      </c>
      <c r="R37" s="303"/>
      <c r="S37" s="199">
        <f t="shared" ref="S37:S40" si="38">L37-Q37</f>
        <v>-9676.23</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original'!$A$8:$A$500=$A38)*('Budget original'!$C$3:$AO$3=F$2),'Budget original'!$C$8:$AO$500)</f>
        <v>0</v>
      </c>
      <c r="G38" s="302"/>
      <c r="H38" s="197">
        <f t="shared" si="34"/>
        <v>0</v>
      </c>
      <c r="I38" s="179">
        <f>+SUMPRODUCT(('Budget révisé'!$A$8:$A$500=$A38)*('Budget révisé'!$C$3:$AO$3=I$2),'Budget révisé'!$C$8:$AO$500)</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original'!$A$8:$A$500=$A39)*('Budget original'!$C$3:$AO$3=F$2),'Budget original'!$C$8:$AO$500)</f>
        <v>0</v>
      </c>
      <c r="G39" s="302"/>
      <c r="H39" s="197">
        <f t="shared" si="34"/>
        <v>0</v>
      </c>
      <c r="I39" s="179">
        <f>+SUMPRODUCT(('Budget révisé'!$A$8:$A$500=$A39)*('Budget révisé'!$C$3:$AO$3=I$2),'Budget révisé'!$C$8:$AO$500)</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original'!$A$8:$A$500=$A40)*('Budget original'!$C$3:$AO$3=F$2),'Budget original'!$C$8:$AO$500)</f>
        <v>0</v>
      </c>
      <c r="G40" s="302"/>
      <c r="H40" s="197">
        <f t="shared" si="34"/>
        <v>0</v>
      </c>
      <c r="I40" s="179">
        <f>+SUMPRODUCT(('Budget révisé'!$A$8:$A$500=$A40)*('Budget révisé'!$C$3:$AO$3=I$2),'Budget révisé'!$C$8:$AO$500)</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0.53192055352194012</v>
      </c>
      <c r="F41" s="41">
        <f>SUM(F31:F40)</f>
        <v>57938.818514700397</v>
      </c>
      <c r="G41" s="42" t="s">
        <v>111</v>
      </c>
      <c r="H41" s="40">
        <f>I41/I$27</f>
        <v>0.53192055352194012</v>
      </c>
      <c r="I41" s="41">
        <f>SUM(I31:I40)</f>
        <v>57938.818514700397</v>
      </c>
      <c r="J41" s="42" t="s">
        <v>111</v>
      </c>
      <c r="K41" s="40">
        <f>L41/L$27</f>
        <v>0.44310079777662187</v>
      </c>
      <c r="L41" s="41">
        <f>SUM(L31:L40)</f>
        <v>85602.940000000017</v>
      </c>
      <c r="M41" s="583"/>
      <c r="N41" s="41">
        <f t="shared" si="29"/>
        <v>27664.12148529962</v>
      </c>
      <c r="O41" s="42" t="s">
        <v>111</v>
      </c>
      <c r="P41" s="40">
        <f>Q41/Q$27</f>
        <v>1.0417387334317669</v>
      </c>
      <c r="Q41" s="582">
        <f>SUM(Q31:Q40)</f>
        <v>48738.080000000002</v>
      </c>
      <c r="R41" s="44"/>
      <c r="S41" s="316">
        <f t="shared" si="31"/>
        <v>36864.860000000015</v>
      </c>
      <c r="T41" s="222"/>
      <c r="U41" s="1105">
        <f>H41/K41</f>
        <v>1.2004504532399747</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original'!$A$8:$A$500=$A42)*('Budget original'!$C$3:$AO$3=F$2),'Budget original'!$C$8:$AO$500)</f>
        <v>15359.233908045977</v>
      </c>
      <c r="G42" s="303"/>
      <c r="H42" s="178"/>
      <c r="I42" s="179">
        <f>+SUMPRODUCT(('Budget révisé'!$A$8:$A$500=$A42)*('Budget révisé'!$C$3:$AO$3=I$2),'Budget révisé'!$C$8:$AO$500)</f>
        <v>15359.233908045977</v>
      </c>
      <c r="J42" s="303"/>
      <c r="K42" s="178"/>
      <c r="L42" s="281">
        <f>SUMIFS(BV_Data_An_Cour!$P:$P,BV_Data_An_Cour!$U:$U,$B42,BV_Data_An_Cour!$V:$V,$C42,BV_Data_An_Cour!$W:$W,L$2)</f>
        <v>11574.55</v>
      </c>
      <c r="M42" s="303"/>
      <c r="N42" s="304">
        <f t="shared" si="29"/>
        <v>-3784.6839080459777</v>
      </c>
      <c r="O42" s="303"/>
      <c r="P42" s="178"/>
      <c r="Q42" s="180">
        <f>SUMIFS(BV_Data_An_Prec!$P:$P,BV_Data_An_Prec!$U:$U,$B42,BV_Data_An_Prec!$V:$V,$C42,BV_Data_An_Prec!$W:$W,Q$2)</f>
        <v>6384.14</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original'!$A$8:$A$500=$A43)*('Budget original'!$C$3:$AO$3=F$2),'Budget original'!$C$8:$AO$500)</f>
        <v>9386.1060598965523</v>
      </c>
      <c r="G43" s="302"/>
      <c r="H43" s="178"/>
      <c r="I43" s="177">
        <f>+SUMPRODUCT(('Budget révisé'!$A$8:$A$500=$A43)*('Budget révisé'!$C$3:$AO$3=I$2),'Budget révisé'!$C$8:$AO$500)</f>
        <v>9386.1060598965523</v>
      </c>
      <c r="J43" s="303"/>
      <c r="K43" s="1103"/>
      <c r="L43" s="281">
        <f>SUMIFS(BV_Data_An_Cour!$P:$P,BV_Data_An_Cour!$U:$U,$B43,BV_Data_An_Cour!$V:$V,$C43,BV_Data_An_Cour!$W:$W,L$2)</f>
        <v>7984.25</v>
      </c>
      <c r="M43" s="303"/>
      <c r="N43" s="304">
        <f t="shared" si="29"/>
        <v>-1401.8560598965523</v>
      </c>
      <c r="O43" s="303"/>
      <c r="P43" s="178"/>
      <c r="Q43" s="180">
        <f>SUMIFS(BV_Data_An_Prec!$P:$P,BV_Data_An_Prec!$U:$U,$B43,BV_Data_An_Prec!$V:$V,$C43,BV_Data_An_Prec!$W:$W,Q$2)</f>
        <v>5390.92</v>
      </c>
      <c r="R43" s="303"/>
      <c r="S43" s="199">
        <f t="shared" ref="S43:S53" si="39">L43-Q43</f>
        <v>2593.33</v>
      </c>
      <c r="T43" s="222"/>
      <c r="U43" s="1104"/>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original'!$A$8:$A$500=$A44)*('Budget original'!$C$3:$AO$3=F$2),'Budget original'!$C$8:$AO$500)</f>
        <v>8515.883889011493</v>
      </c>
      <c r="G44" s="393"/>
      <c r="H44" s="352"/>
      <c r="I44" s="179">
        <f>+SUMPRODUCT(('Budget révisé'!$A$8:$A$500=$A44)*('Budget révisé'!$C$3:$AO$3=I$2),'Budget révisé'!$C$8:$AO$500)</f>
        <v>8515.883889011493</v>
      </c>
      <c r="J44" s="368"/>
      <c r="K44" s="352"/>
      <c r="L44" s="181">
        <f>SUMIFS(BV_Data_An_Cour!$P:$P,BV_Data_An_Cour!$U:$U,$B44,BV_Data_An_Cour!$V:$V,$C44,BV_Data_An_Cour!$W:$W,L$2)</f>
        <v>3433.02</v>
      </c>
      <c r="M44" s="368"/>
      <c r="N44" s="356">
        <f t="shared" si="29"/>
        <v>-5082.8638890114926</v>
      </c>
      <c r="O44" s="368"/>
      <c r="P44" s="352"/>
      <c r="Q44" s="181">
        <f>SUMIFS(BV_Data_An_Prec!$P:$P,BV_Data_An_Prec!$U:$U,$B44,BV_Data_An_Prec!$V:$V,$C44,BV_Data_An_Prec!$W:$W,Q$2)</f>
        <v>4197.1099999999997</v>
      </c>
      <c r="R44" s="368"/>
      <c r="S44" s="201">
        <f t="shared" si="39"/>
        <v>-764.08999999999969</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original'!$A$8:$A$500=$A45)*('Budget original'!$C$3:$AO$3=F$2),'Budget original'!$C$8:$AO$500)</f>
        <v>0</v>
      </c>
      <c r="G45" s="302"/>
      <c r="H45" s="178"/>
      <c r="I45" s="179">
        <f>+SUMPRODUCT(('Budget révisé'!$A$8:$A$500=$A45)*('Budget révisé'!$C$3:$AO$3=I$2),'Budget révisé'!$C$8:$AO$500)</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original'!$A$8:$A$500=$A46)*('Budget original'!$C$3:$AO$3=F$2),'Budget original'!$C$8:$AO$500)</f>
        <v>0</v>
      </c>
      <c r="G46" s="302"/>
      <c r="H46" s="178"/>
      <c r="I46" s="179">
        <f>+SUMPRODUCT(('Budget révisé'!$A$8:$A$500=$A46)*('Budget révisé'!$C$3:$AO$3=I$2),'Budget révisé'!$C$8:$AO$500)</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original'!$A$8:$A$500=$A47)*('Budget original'!$C$3:$AO$3=F$2),'Budget original'!$C$8:$AO$500)</f>
        <v>0</v>
      </c>
      <c r="G47" s="302"/>
      <c r="H47" s="178"/>
      <c r="I47" s="179">
        <f>+SUMPRODUCT(('Budget révisé'!$A$8:$A$500=$A47)*('Budget révisé'!$C$3:$AO$3=I$2),'Budget révisé'!$C$8:$AO$500)</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original'!$A$8:$A$500=$A48)*('Budget original'!$C$3:$AO$3=F$2),'Budget original'!$C$8:$AO$500)</f>
        <v>0</v>
      </c>
      <c r="G48" s="302"/>
      <c r="H48" s="178"/>
      <c r="I48" s="179">
        <f>+SUMPRODUCT(('Budget révisé'!$A$8:$A$500=$A48)*('Budget révisé'!$C$3:$AO$3=I$2),'Budget révisé'!$C$8:$AO$500)</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original'!$A$8:$A$500=$A49)*('Budget original'!$C$3:$AO$3=F$2),'Budget original'!$C$8:$AO$500)</f>
        <v>8813.5959114031139</v>
      </c>
      <c r="G49" s="302"/>
      <c r="H49" s="178"/>
      <c r="I49" s="177">
        <f>+SUMPRODUCT(('Budget révisé'!$A$8:$A$500=$A49)*('Budget révisé'!$C$3:$AO$3=I$2),'Budget révisé'!$C$8:$AO$500)</f>
        <v>8813.5959114031139</v>
      </c>
      <c r="J49" s="303"/>
      <c r="K49" s="178"/>
      <c r="L49" s="177">
        <f>SUMIFS(BV_Data_An_Cour!$P:$P,BV_Data_An_Cour!$U:$U,$B49,BV_Data_An_Cour!$V:$V,$C49,BV_Data_An_Cour!$W:$W,L$2)</f>
        <v>8813.36</v>
      </c>
      <c r="M49" s="303"/>
      <c r="N49" s="304">
        <f t="shared" si="29"/>
        <v>-0.23591140311327763</v>
      </c>
      <c r="O49" s="303"/>
      <c r="P49" s="178"/>
      <c r="Q49" s="177">
        <f>SUMIFS(BV_Data_An_Prec!$P:$P,BV_Data_An_Prec!$U:$U,$B49,BV_Data_An_Prec!$V:$V,$C49,BV_Data_An_Prec!$W:$W,Q$2)</f>
        <v>7394.06</v>
      </c>
      <c r="R49" s="303"/>
      <c r="S49" s="199">
        <f t="shared" si="39"/>
        <v>1419.3000000000002</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original'!$A$8:$A$500=$A50)*('Budget original'!$C$3:$AO$3=F$2),'Budget original'!$C$8:$AO$500)</f>
        <v>7893.4785827371907</v>
      </c>
      <c r="G50" s="393"/>
      <c r="H50" s="352"/>
      <c r="I50" s="179">
        <f>+SUMPRODUCT(('Budget révisé'!$A$8:$A$500=$A50)*('Budget révisé'!$C$3:$AO$3=I$2),'Budget révisé'!$C$8:$AO$500)</f>
        <v>7893.4785827371907</v>
      </c>
      <c r="J50" s="368"/>
      <c r="K50" s="352"/>
      <c r="L50" s="180">
        <f>SUMIFS(BV_Data_An_Cour!$P:$P,BV_Data_An_Cour!$U:$U,$B50,BV_Data_An_Cour!$V:$V,$C50,BV_Data_An_Cour!$W:$W,L$2)</f>
        <v>11443.72</v>
      </c>
      <c r="M50" s="368"/>
      <c r="N50" s="356">
        <f t="shared" si="29"/>
        <v>3550.2414172628087</v>
      </c>
      <c r="O50" s="368"/>
      <c r="P50" s="352"/>
      <c r="Q50" s="180">
        <f>SUMIFS(BV_Data_An_Prec!$P:$P,BV_Data_An_Prec!$U:$U,$B50,BV_Data_An_Prec!$V:$V,$C50,BV_Data_An_Prec!$W:$W,Q$2)</f>
        <v>14260.56</v>
      </c>
      <c r="R50" s="368"/>
      <c r="S50" s="201">
        <f t="shared" si="39"/>
        <v>-2816.84</v>
      </c>
      <c r="T50" s="222"/>
      <c r="U50" s="968">
        <f>L50-Print_Mois!L50</f>
        <v>0</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original'!$A$8:$A$500=$A51)*('Budget original'!$C$3:$AO$3=F$2),'Budget original'!$C$8:$AO$500)</f>
        <v>6268.3506392324753</v>
      </c>
      <c r="G51" s="302"/>
      <c r="H51" s="178"/>
      <c r="I51" s="179">
        <f>+SUMPRODUCT(('Budget révisé'!$A$8:$A$500=$A51)*('Budget révisé'!$C$3:$AO$3=I$2),'Budget révisé'!$C$8:$AO$500)</f>
        <v>6268.3506392324753</v>
      </c>
      <c r="J51" s="303"/>
      <c r="K51" s="178"/>
      <c r="L51" s="180">
        <f>SUMIFS(BV_Data_An_Cour!$P:$P,BV_Data_An_Cour!$U:$U,$B51,BV_Data_An_Cour!$V:$V,$C51,BV_Data_An_Cour!$W:$W,L$2)</f>
        <v>6110.59</v>
      </c>
      <c r="M51" s="303"/>
      <c r="N51" s="304">
        <f t="shared" si="29"/>
        <v>-157.76063923247511</v>
      </c>
      <c r="O51" s="303"/>
      <c r="P51" s="178"/>
      <c r="Q51" s="180">
        <f>SUMIFS(BV_Data_An_Prec!$P:$P,BV_Data_An_Prec!$U:$U,$B51,BV_Data_An_Prec!$V:$V,$C51,BV_Data_An_Prec!$W:$W,Q$2)</f>
        <v>5856</v>
      </c>
      <c r="R51" s="303"/>
      <c r="S51" s="199">
        <f t="shared" si="39"/>
        <v>254.59000000000015</v>
      </c>
      <c r="T51" s="222"/>
      <c r="U51" s="968">
        <f>L51-Print_Mois!L51</f>
        <v>0</v>
      </c>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original'!$A$8:$A$500=$A52)*('Budget original'!$C$3:$AO$3=F$2),'Budget original'!$C$8:$AO$500)</f>
        <v>2553.7724826502681</v>
      </c>
      <c r="G52" s="302"/>
      <c r="H52" s="178"/>
      <c r="I52" s="179">
        <f>+SUMPRODUCT(('Budget révisé'!$A$8:$A$500=$A52)*('Budget révisé'!$C$3:$AO$3=I$2),'Budget révisé'!$C$8:$AO$500)</f>
        <v>2553.7724826502681</v>
      </c>
      <c r="J52" s="303"/>
      <c r="K52" s="178"/>
      <c r="L52" s="180">
        <f>SUMIFS(BV_Data_An_Cour!$P:$P,BV_Data_An_Cour!$U:$U,$B52,BV_Data_An_Cour!$V:$V,$C52,BV_Data_An_Cour!$W:$W,L$2)</f>
        <v>3312.72</v>
      </c>
      <c r="M52" s="303"/>
      <c r="N52" s="304">
        <f t="shared" si="29"/>
        <v>758.9475173497317</v>
      </c>
      <c r="O52" s="303"/>
      <c r="P52" s="178"/>
      <c r="Q52" s="180">
        <f>SUMIFS(BV_Data_An_Prec!$P:$P,BV_Data_An_Prec!$U:$U,$B52,BV_Data_An_Prec!$V:$V,$C52,BV_Data_An_Prec!$W:$W,Q$2)</f>
        <v>0</v>
      </c>
      <c r="R52" s="303"/>
      <c r="S52" s="199">
        <f t="shared" si="39"/>
        <v>3312.72</v>
      </c>
      <c r="T52" s="222"/>
      <c r="U52" s="968">
        <f>L52-Print_Mois!L52</f>
        <v>0</v>
      </c>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original'!$A$8:$A$500=$A53)*('Budget original'!$C$3:$AO$3=F$2),'Budget original'!$C$8:$AO$500)</f>
        <v>0</v>
      </c>
      <c r="G53" s="309"/>
      <c r="H53" s="308"/>
      <c r="I53" s="179">
        <f>+SUMPRODUCT(('Budget révisé'!$A$8:$A$500=$A53)*('Budget révisé'!$C$3:$AO$3=I$2),'Budget révisé'!$C$8:$AO$500)</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0.53973888894126731</v>
      </c>
      <c r="F54" s="41">
        <f>+SUM(F42:F53)</f>
        <v>58790.421472977068</v>
      </c>
      <c r="G54" s="42" t="s">
        <v>111</v>
      </c>
      <c r="H54" s="40">
        <f>I54/I$27</f>
        <v>0.53973888894126731</v>
      </c>
      <c r="I54" s="41">
        <f>+SUM(I42:I53)</f>
        <v>58790.421472977068</v>
      </c>
      <c r="J54" s="42" t="s">
        <v>111</v>
      </c>
      <c r="K54" s="40">
        <f>L54/L$27</f>
        <v>0.27264365302941418</v>
      </c>
      <c r="L54" s="41">
        <f>+SUM(L42:L53)</f>
        <v>52672.210000000006</v>
      </c>
      <c r="M54" s="44"/>
      <c r="N54" s="41">
        <f>+SUM(N42:N53)</f>
        <v>-6118.211472977071</v>
      </c>
      <c r="O54" s="42" t="s">
        <v>111</v>
      </c>
      <c r="P54" s="40">
        <f>Q54/Q$27</f>
        <v>0.92941097763144354</v>
      </c>
      <c r="Q54" s="41">
        <f>+SUM(Q42:Q53)</f>
        <v>43482.79</v>
      </c>
      <c r="R54" s="44"/>
      <c r="S54" s="316">
        <f>+SUM(S42:S53)</f>
        <v>3999.01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original'!$A$8:$A$500=$A55)*('Budget original'!$C$3:$AO$3=F$2),'Budget original'!$C$8:$AO$500)</f>
        <v>0</v>
      </c>
      <c r="G55" s="302"/>
      <c r="H55" s="178"/>
      <c r="I55" s="179">
        <f>+SUMPRODUCT(('Budget révisé'!$A$8:$A$500=$A55)*('Budget révisé'!$C$3:$AO$3=I$2),'Budget révisé'!$C$8:$AO$500)</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original'!$A$8:$A$500=$A56)*('Budget original'!$C$3:$AO$3=F$2),'Budget original'!$C$8:$AO$500)</f>
        <v>0</v>
      </c>
      <c r="G56" s="302"/>
      <c r="H56" s="178"/>
      <c r="I56" s="179">
        <f>+SUMPRODUCT(('Budget révisé'!$A$8:$A$500=$A56)*('Budget révisé'!$C$3:$AO$3=I$2),'Budget révisé'!$C$8:$AO$500)</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original'!$A$8:$A$500=$A57)*('Budget original'!$C$3:$AO$3=F$2),'Budget original'!$C$8:$AO$500)</f>
        <v>7322.9400000000005</v>
      </c>
      <c r="G57" s="309"/>
      <c r="H57" s="308"/>
      <c r="I57" s="177">
        <f>+SUMPRODUCT(('Budget révisé'!$A$8:$A$500=$A57)*('Budget révisé'!$C$3:$AO$3=I$2),'Budget révisé'!$C$8:$AO$500)</f>
        <v>7322.9400000000005</v>
      </c>
      <c r="J57" s="310"/>
      <c r="K57" s="308"/>
      <c r="L57" s="177">
        <f>SUMIFS(BV_Data_An_Cour!$P:$P,BV_Data_An_Cour!$U:$U,$B57,BV_Data_An_Cour!$V:$V,$C57,BV_Data_An_Cour!$W:$W,L$2)</f>
        <v>8073.06</v>
      </c>
      <c r="M57" s="310"/>
      <c r="N57" s="434">
        <f t="shared" si="43"/>
        <v>750.11999999999989</v>
      </c>
      <c r="O57" s="310"/>
      <c r="P57" s="308"/>
      <c r="Q57" s="177">
        <f>SUMIFS(BV_Data_An_Prec!$P:$P,BV_Data_An_Prec!$U:$U,$B57,BV_Data_An_Prec!$V:$V,$C57,BV_Data_An_Prec!$W:$W,Q$2)</f>
        <v>5359.43</v>
      </c>
      <c r="R57" s="310"/>
      <c r="S57" s="202">
        <f t="shared" si="44"/>
        <v>2713.63</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original'!$A$8:$A$500=$A58)*('Budget original'!$C$3:$AO$3=F$2),'Budget original'!$C$8:$AO$500)</f>
        <v>6834.1885933333333</v>
      </c>
      <c r="G58" s="302"/>
      <c r="H58" s="178"/>
      <c r="I58" s="179">
        <f>+SUMPRODUCT(('Budget révisé'!$A$8:$A$500=$A58)*('Budget révisé'!$C$3:$AO$3=I$2),'Budget révisé'!$C$8:$AO$500)</f>
        <v>6834.1885933333333</v>
      </c>
      <c r="J58" s="303"/>
      <c r="K58" s="178"/>
      <c r="L58" s="180">
        <f>SUMIFS(BV_Data_An_Cour!$P:$P,BV_Data_An_Cour!$U:$U,$B58,BV_Data_An_Cour!$V:$V,$C58,BV_Data_An_Cour!$W:$W,L$2)</f>
        <v>6629.17</v>
      </c>
      <c r="M58" s="303"/>
      <c r="N58" s="304">
        <f t="shared" si="43"/>
        <v>-205.01859333333323</v>
      </c>
      <c r="O58" s="303"/>
      <c r="P58" s="178"/>
      <c r="Q58" s="180">
        <f>SUMIFS(BV_Data_An_Prec!$P:$P,BV_Data_An_Prec!$U:$U,$B58,BV_Data_An_Prec!$V:$V,$C58,BV_Data_An_Prec!$W:$W,Q$2)</f>
        <v>5798.14</v>
      </c>
      <c r="R58" s="303"/>
      <c r="S58" s="199">
        <f t="shared" si="44"/>
        <v>831.02999999999975</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original'!$A$8:$A$500=$A59)*('Budget original'!$C$3:$AO$3=F$2),'Budget original'!$C$8:$AO$500)</f>
        <v>792.1418000000001</v>
      </c>
      <c r="G59" s="302"/>
      <c r="H59" s="178"/>
      <c r="I59" s="179">
        <f>+SUMPRODUCT(('Budget révisé'!$A$8:$A$500=$A59)*('Budget révisé'!$C$3:$AO$3=I$2),'Budget révisé'!$C$8:$AO$500)</f>
        <v>792.1418000000001</v>
      </c>
      <c r="J59" s="303"/>
      <c r="K59" s="178"/>
      <c r="L59" s="180">
        <f>SUMIFS(BV_Data_An_Cour!$P:$P,BV_Data_An_Cour!$U:$U,$B59,BV_Data_An_Cour!$V:$V,$C59,BV_Data_An_Cour!$W:$W,L$2)</f>
        <v>293.75</v>
      </c>
      <c r="M59" s="303"/>
      <c r="N59" s="304">
        <f t="shared" si="43"/>
        <v>-498.3918000000001</v>
      </c>
      <c r="O59" s="303"/>
      <c r="P59" s="178"/>
      <c r="Q59" s="180">
        <f>SUMIFS(BV_Data_An_Prec!$P:$P,BV_Data_An_Prec!$U:$U,$B59,BV_Data_An_Prec!$V:$V,$C59,BV_Data_An_Prec!$W:$W,Q$2)</f>
        <v>98.29</v>
      </c>
      <c r="R59" s="303"/>
      <c r="S59" s="199">
        <f t="shared" si="44"/>
        <v>195.45999999999998</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original'!$A$8:$A$500=$A60)*('Budget original'!$C$3:$AO$3=F$2),'Budget original'!$C$8:$AO$500)</f>
        <v>6763.7217777777787</v>
      </c>
      <c r="G60" s="309"/>
      <c r="H60" s="308"/>
      <c r="I60" s="177">
        <f>+SUMPRODUCT(('Budget révisé'!$A$8:$A$500=$A60)*('Budget révisé'!$C$3:$AO$3=I$2),'Budget révisé'!$C$8:$AO$500)</f>
        <v>6763.7217777777787</v>
      </c>
      <c r="J60" s="310"/>
      <c r="K60" s="308"/>
      <c r="L60" s="177">
        <f>SUMIFS(BV_Data_An_Cour!$P:$P,BV_Data_An_Cour!$U:$U,$B60,BV_Data_An_Cour!$V:$V,$C60,BV_Data_An_Cour!$W:$W,L$2)</f>
        <v>6418.22</v>
      </c>
      <c r="M60" s="310"/>
      <c r="N60" s="311">
        <f t="shared" si="43"/>
        <v>-345.50177777777844</v>
      </c>
      <c r="O60" s="310"/>
      <c r="P60" s="308"/>
      <c r="Q60" s="177">
        <f>SUMIFS(BV_Data_An_Prec!$P:$P,BV_Data_An_Prec!$U:$U,$B60,BV_Data_An_Prec!$V:$V,$C60,BV_Data_An_Prec!$W:$W,Q$2)</f>
        <v>6042.08</v>
      </c>
      <c r="R60" s="310"/>
      <c r="S60" s="202">
        <f t="shared" si="44"/>
        <v>376.14000000000033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original'!$A$8:$A$500=$A61)*('Budget original'!$C$3:$AO$3=F$2),'Budget original'!$C$8:$AO$500)</f>
        <v>50.536579190711528</v>
      </c>
      <c r="G61" s="302"/>
      <c r="H61" s="178"/>
      <c r="I61" s="179">
        <f>+SUMPRODUCT(('Budget révisé'!$A$8:$A$500=$A61)*('Budget révisé'!$C$3:$AO$3=I$2),'Budget révisé'!$C$8:$AO$500)</f>
        <v>50.536579190711528</v>
      </c>
      <c r="J61" s="303"/>
      <c r="K61" s="178"/>
      <c r="L61" s="180">
        <f>SUMIFS(BV_Data_An_Cour!$P:$P,BV_Data_An_Cour!$U:$U,$B61,BV_Data_An_Cour!$V:$V,$C61,BV_Data_An_Cour!$W:$W,L$2)</f>
        <v>9.59</v>
      </c>
      <c r="M61" s="303"/>
      <c r="N61" s="304">
        <f t="shared" si="43"/>
        <v>-40.946579190711532</v>
      </c>
      <c r="O61" s="303"/>
      <c r="P61" s="178"/>
      <c r="Q61" s="180">
        <f>SUMIFS(BV_Data_An_Prec!$P:$P,BV_Data_An_Prec!$U:$U,$B61,BV_Data_An_Prec!$V:$V,$C61,BV_Data_An_Prec!$W:$W,Q$2)</f>
        <v>0</v>
      </c>
      <c r="R61" s="303"/>
      <c r="S61" s="199">
        <f t="shared" si="44"/>
        <v>9.59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original'!$A$8:$A$500=$A62)*('Budget original'!$C$3:$AO$3=F$2),'Budget original'!$C$8:$AO$500)</f>
        <v>26.853809687373364</v>
      </c>
      <c r="G62" s="302"/>
      <c r="H62" s="178"/>
      <c r="I62" s="179">
        <f>+SUMPRODUCT(('Budget révisé'!$A$8:$A$500=$A62)*('Budget révisé'!$C$3:$AO$3=I$2),'Budget révisé'!$C$8:$AO$500)</f>
        <v>26.853809687373364</v>
      </c>
      <c r="J62" s="303"/>
      <c r="K62" s="178"/>
      <c r="L62" s="180">
        <f>SUMIFS(BV_Data_An_Cour!$P:$P,BV_Data_An_Cour!$U:$U,$B62,BV_Data_An_Cour!$V:$V,$C62,BV_Data_An_Cour!$W:$W,L$2)</f>
        <v>0</v>
      </c>
      <c r="M62" s="303"/>
      <c r="N62" s="304">
        <f t="shared" si="43"/>
        <v>-26.853809687373364</v>
      </c>
      <c r="O62" s="303"/>
      <c r="P62" s="178"/>
      <c r="Q62" s="180">
        <f>SUMIFS(BV_Data_An_Prec!$P:$P,BV_Data_An_Prec!$U:$U,$B62,BV_Data_An_Prec!$V:$V,$C62,BV_Data_An_Prec!$W:$W,Q$2)</f>
        <v>0</v>
      </c>
      <c r="R62" s="303"/>
      <c r="S62" s="199">
        <f t="shared" si="44"/>
        <v>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original'!$A$8:$A$500=$A63)*('Budget original'!$C$3:$AO$3=F$2),'Budget original'!$C$8:$AO$500)</f>
        <v>652.86432000000002</v>
      </c>
      <c r="G63" s="302"/>
      <c r="H63" s="178"/>
      <c r="I63" s="179">
        <f>+SUMPRODUCT(('Budget révisé'!$A$8:$A$500=$A63)*('Budget révisé'!$C$3:$AO$3=I$2),'Budget révisé'!$C$8:$AO$500)</f>
        <v>652.86432000000002</v>
      </c>
      <c r="J63" s="303"/>
      <c r="K63" s="178"/>
      <c r="L63" s="554">
        <f>SUMIFS(BV_Data_An_Cour!$P:$P,BV_Data_An_Cour!$U:$U,$B63,BV_Data_An_Cour!$V:$V,$C63,BV_Data_An_Cour!$W:$W,L$2)</f>
        <v>845.92</v>
      </c>
      <c r="M63" s="303"/>
      <c r="N63" s="304">
        <f t="shared" si="43"/>
        <v>193.05567999999994</v>
      </c>
      <c r="O63" s="303"/>
      <c r="P63" s="178"/>
      <c r="Q63" s="554">
        <f>SUMIFS(BV_Data_An_Prec!$P:$P,BV_Data_An_Prec!$U:$U,$B63,BV_Data_An_Prec!$V:$V,$C63,BV_Data_An_Prec!$W:$W,Q$2)</f>
        <v>248.87</v>
      </c>
      <c r="R63" s="303"/>
      <c r="S63" s="199">
        <f t="shared" si="44"/>
        <v>597.04999999999995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original'!$A$8:$A$500=$A64)*('Budget original'!$C$3:$AO$3=F$2),'Budget original'!$C$8:$AO$500)</f>
        <v>301.4645266666667</v>
      </c>
      <c r="G64" s="302"/>
      <c r="H64" s="178"/>
      <c r="I64" s="179">
        <f>+SUMPRODUCT(('Budget révisé'!$A$8:$A$500=$A64)*('Budget révisé'!$C$3:$AO$3=I$2),'Budget révisé'!$C$8:$AO$500)</f>
        <v>301.4645266666667</v>
      </c>
      <c r="J64" s="303"/>
      <c r="K64" s="178"/>
      <c r="L64" s="180">
        <f>SUMIFS(BV_Data_An_Cour!$P:$P,BV_Data_An_Cour!$U:$U,$B64,BV_Data_An_Cour!$V:$V,$C64,BV_Data_An_Cour!$W:$W,L$2)</f>
        <v>241.13</v>
      </c>
      <c r="M64" s="303"/>
      <c r="N64" s="304">
        <f t="shared" si="43"/>
        <v>-60.334526666666704</v>
      </c>
      <c r="O64" s="303"/>
      <c r="P64" s="178"/>
      <c r="Q64" s="180">
        <f>SUMIFS(BV_Data_An_Prec!$P:$P,BV_Data_An_Prec!$U:$U,$B64,BV_Data_An_Prec!$V:$V,$C64,BV_Data_An_Prec!$W:$W,Q$2)</f>
        <v>456.53</v>
      </c>
      <c r="R64" s="303"/>
      <c r="S64" s="199">
        <f t="shared" si="44"/>
        <v>-215.39999999999998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original'!$A$8:$A$500=$A65)*('Budget original'!$C$3:$AO$3=F$2),'Budget original'!$C$8:$AO$500)</f>
        <v>160.91707333333329</v>
      </c>
      <c r="G65" s="302"/>
      <c r="H65" s="178"/>
      <c r="I65" s="179">
        <f>+SUMPRODUCT(('Budget révisé'!$A$8:$A$500=$A65)*('Budget révisé'!$C$3:$AO$3=I$2),'Budget révisé'!$C$8:$AO$500)</f>
        <v>160.91707333333329</v>
      </c>
      <c r="J65" s="303"/>
      <c r="K65" s="178"/>
      <c r="L65" s="281">
        <f>SUMIFS(BV_Data_An_Cour!$P:$P,BV_Data_An_Cour!$U:$U,$B65,BV_Data_An_Cour!$V:$V,$C65,BV_Data_An_Cour!$W:$W,L$2)</f>
        <v>48.56</v>
      </c>
      <c r="M65" s="303"/>
      <c r="N65" s="304">
        <f t="shared" si="43"/>
        <v>-112.35707333333329</v>
      </c>
      <c r="O65" s="303"/>
      <c r="P65" s="178"/>
      <c r="Q65" s="180">
        <f>SUMIFS(BV_Data_An_Prec!$P:$P,BV_Data_An_Prec!$U:$U,$B65,BV_Data_An_Prec!$V:$V,$C65,BV_Data_An_Prec!$W:$W,Q$2)</f>
        <v>65.22</v>
      </c>
      <c r="R65" s="303"/>
      <c r="S65" s="199">
        <f t="shared" si="44"/>
        <v>-16.659999999999997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original'!$A$8:$A$500=$A66)*('Budget original'!$C$3:$AO$3=F$2),'Budget original'!$C$8:$AO$500)</f>
        <v>776.23359333333315</v>
      </c>
      <c r="G66" s="302"/>
      <c r="H66" s="178"/>
      <c r="I66" s="179">
        <f>+SUMPRODUCT(('Budget révisé'!$A$8:$A$500=$A66)*('Budget révisé'!$C$3:$AO$3=I$2),'Budget révisé'!$C$8:$AO$500)</f>
        <v>776.23359333333315</v>
      </c>
      <c r="J66" s="303"/>
      <c r="K66" s="178"/>
      <c r="L66" s="281">
        <f>SUMIFS(BV_Data_An_Cour!$P:$P,BV_Data_An_Cour!$U:$U,$B66,BV_Data_An_Cour!$V:$V,$C66,BV_Data_An_Cour!$W:$W,L$2)</f>
        <v>331.4</v>
      </c>
      <c r="M66" s="303"/>
      <c r="N66" s="304">
        <f t="shared" si="43"/>
        <v>-444.83359333333317</v>
      </c>
      <c r="O66" s="303"/>
      <c r="P66" s="178"/>
      <c r="Q66" s="180">
        <f>SUMIFS(BV_Data_An_Prec!$P:$P,BV_Data_An_Prec!$U:$U,$B66,BV_Data_An_Prec!$V:$V,$C66,BV_Data_An_Prec!$W:$W,Q$2)</f>
        <v>252.3</v>
      </c>
      <c r="R66" s="303"/>
      <c r="S66" s="199">
        <f t="shared" si="44"/>
        <v>79.099999999999966</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original'!$A$8:$A$500=$A67)*('Budget original'!$C$3:$AO$3=F$2),'Budget original'!$C$8:$AO$500)</f>
        <v>1153.2562666666668</v>
      </c>
      <c r="G67" s="302"/>
      <c r="H67" s="178"/>
      <c r="I67" s="179">
        <f>+SUMPRODUCT(('Budget révisé'!$A$8:$A$500=$A67)*('Budget révisé'!$C$3:$AO$3=I$2),'Budget révisé'!$C$8:$AO$500)</f>
        <v>1153.2562666666668</v>
      </c>
      <c r="J67" s="303"/>
      <c r="K67" s="178"/>
      <c r="L67" s="281">
        <f>SUMIFS(BV_Data_An_Cour!$P:$P,BV_Data_An_Cour!$U:$U,$B67,BV_Data_An_Cour!$V:$V,$C67,BV_Data_An_Cour!$W:$W,L$2)</f>
        <v>608.54</v>
      </c>
      <c r="M67" s="303"/>
      <c r="N67" s="304">
        <f t="shared" ref="N67" si="46">L67-I67</f>
        <v>-544.7162666666668</v>
      </c>
      <c r="O67" s="303"/>
      <c r="P67" s="178"/>
      <c r="Q67" s="180">
        <f>SUMIFS(BV_Data_An_Prec!$P:$P,BV_Data_An_Prec!$U:$U,$B67,BV_Data_An_Prec!$V:$V,$C67,BV_Data_An_Prec!$W:$W,Q$2)</f>
        <v>523.33000000000004</v>
      </c>
      <c r="R67" s="303"/>
      <c r="S67" s="199">
        <f t="shared" ref="S67" si="47">L67-Q67</f>
        <v>85.209999999999923</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original'!$A$8:$A$500=$A68)*('Budget original'!$C$3:$AO$3=F$2),'Budget original'!$C$8:$AO$500)</f>
        <v>1683.2372690061954</v>
      </c>
      <c r="G68" s="302"/>
      <c r="H68" s="178"/>
      <c r="I68" s="179">
        <f>+SUMPRODUCT(('Budget révisé'!$A$8:$A$500=$A68)*('Budget révisé'!$C$3:$AO$3=I$2),'Budget révisé'!$C$8:$AO$500)</f>
        <v>1683.2372690061954</v>
      </c>
      <c r="J68" s="303"/>
      <c r="K68" s="178"/>
      <c r="L68" s="974">
        <f>AF447*W3</f>
        <v>2241.4500000000003</v>
      </c>
      <c r="M68" s="303"/>
      <c r="N68" s="304">
        <f t="shared" ref="N68:N69" si="48">L68-I68</f>
        <v>558.21273099380483</v>
      </c>
      <c r="O68" s="303"/>
      <c r="P68" s="178"/>
      <c r="Q68" s="180">
        <f>AL447*W3</f>
        <v>1926.5490000000002</v>
      </c>
      <c r="R68" s="303"/>
      <c r="S68" s="199">
        <f t="shared" ref="S68:S69" si="49">L68-Q68</f>
        <v>314.90100000000007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original'!$A$8:$A$500=$A69)*('Budget original'!$C$3:$AO$3=F$2),'Budget original'!$C$8:$AO$500)</f>
        <v>0</v>
      </c>
      <c r="G69" s="302"/>
      <c r="H69" s="178"/>
      <c r="I69" s="179">
        <f>+SUMPRODUCT(('Budget révisé'!$A$8:$A$500=$A69)*('Budget révisé'!$C$3:$AO$3=I$2),'Budget révisé'!$C$8:$AO$500)</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original'!$A$8:$A$500=$A70)*('Budget original'!$C$3:$AO$3=F$2),'Budget original'!$C$8:$AO$500)</f>
        <v>0</v>
      </c>
      <c r="G70" s="302"/>
      <c r="H70" s="178"/>
      <c r="I70" s="179">
        <f>+SUMPRODUCT(('Budget révisé'!$A$8:$A$500=$A70)*('Budget révisé'!$C$3:$AO$3=I$2),'Budget révisé'!$C$8:$AO$500)</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original'!$A$8:$A$500=$A71)*('Budget original'!$C$3:$AO$3=F$2),'Budget original'!$C$8:$AO$500)</f>
        <v>0</v>
      </c>
      <c r="G71" s="302"/>
      <c r="H71" s="178"/>
      <c r="I71" s="179">
        <f>+SUMPRODUCT(('Budget révisé'!$A$8:$A$500=$A71)*('Budget révisé'!$C$3:$AO$3=I$2),'Budget révisé'!$C$8:$AO$500)</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0.24345781905182537</v>
      </c>
      <c r="F72" s="41">
        <f>+SUM(F55:F71)</f>
        <v>26518.355608995396</v>
      </c>
      <c r="G72" s="42" t="s">
        <v>111</v>
      </c>
      <c r="H72" s="40">
        <f>I72/I$27</f>
        <v>0.24345781905182537</v>
      </c>
      <c r="I72" s="41">
        <f>+SUM(I55:I71)</f>
        <v>26518.355608995396</v>
      </c>
      <c r="J72" s="42" t="s">
        <v>111</v>
      </c>
      <c r="K72" s="40">
        <f>L72/L$27</f>
        <v>0.13324033712394096</v>
      </c>
      <c r="L72" s="41">
        <f>+SUM(L55:L71)</f>
        <v>25740.790000000005</v>
      </c>
      <c r="M72" s="44"/>
      <c r="N72" s="41">
        <f>+SUM(N55:N71)</f>
        <v>-777.56560899539204</v>
      </c>
      <c r="O72" s="42" t="s">
        <v>111</v>
      </c>
      <c r="P72" s="40">
        <f>Q72/Q$27</f>
        <v>0.44395846816907453</v>
      </c>
      <c r="Q72" s="41">
        <f>+SUM(Q55:Q71)</f>
        <v>20770.739000000001</v>
      </c>
      <c r="R72" s="44"/>
      <c r="S72" s="316">
        <f>+SUM(S55:S71)</f>
        <v>4970.0510000000013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1.3151172615150328</v>
      </c>
      <c r="F74" s="41">
        <f>F41+F54+F72</f>
        <v>143247.59559667285</v>
      </c>
      <c r="G74" s="42" t="s">
        <v>111</v>
      </c>
      <c r="H74" s="40">
        <f>I74/I$27</f>
        <v>1.3151172615150328</v>
      </c>
      <c r="I74" s="41">
        <f>I41+I54+I72</f>
        <v>143247.59559667285</v>
      </c>
      <c r="J74" s="42" t="s">
        <v>111</v>
      </c>
      <c r="K74" s="40">
        <f>L74/L$27</f>
        <v>0.848984787929977</v>
      </c>
      <c r="L74" s="41">
        <f>L41+L54+L72</f>
        <v>164015.94000000003</v>
      </c>
      <c r="M74" s="44"/>
      <c r="N74" s="46">
        <f>L74-I74</f>
        <v>20768.344403327181</v>
      </c>
      <c r="O74" s="42" t="s">
        <v>111</v>
      </c>
      <c r="P74" s="40">
        <f>Q74/Q$27</f>
        <v>2.415108179232285</v>
      </c>
      <c r="Q74" s="41">
        <f>Q41+Q54+Q72</f>
        <v>112991.609</v>
      </c>
      <c r="R74" s="44"/>
      <c r="S74" s="299">
        <f>L74-Q74</f>
        <v>51024.331000000035</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original'!$A$8:$A$500=$A75)*('Budget original'!$C$3:$AO$3=F$2),'Budget original'!$C$8:$AO$500)</f>
        <v>0</v>
      </c>
      <c r="G75" s="302"/>
      <c r="H75" s="178"/>
      <c r="I75" s="179">
        <f>+SUMPRODUCT(('Budget révisé'!$A$8:$A$500=$A75)*('Budget révisé'!$C$3:$AO$3=I$2),'Budget révisé'!$C$8:$AO$500)</f>
        <v>0</v>
      </c>
      <c r="J75" s="303"/>
      <c r="K75" s="178"/>
      <c r="L75" s="554">
        <f>-SUMIFS(BV_Data_An_Cour!$P:$P,BV_Data_An_Cour!$U:$U,$B75,BV_Data_An_Cour!$V:$V,$C75,BV_Data_An_Cour!$W:$W,L$2)</f>
        <v>0</v>
      </c>
      <c r="M75" s="303"/>
      <c r="N75" s="304">
        <f>L75-I75</f>
        <v>0</v>
      </c>
      <c r="O75" s="303"/>
      <c r="P75" s="178"/>
      <c r="Q75" s="554">
        <f>-SUMIFS(BV_Data_An_Prec!$P:$P,BV_Data_An_Prec!$U:$U,$B75,BV_Data_An_Prec!$V:$V,$C75,BV_Data_An_Prec!$W:$W,Q$2)-Q155</f>
        <v>11500</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original'!$A$8:$A$500=$A76)*('Budget original'!$C$3:$AO$3=F$2),'Budget original'!$C$8:$AO$500)</f>
        <v>0</v>
      </c>
      <c r="G76" s="302"/>
      <c r="H76" s="178"/>
      <c r="I76" s="179">
        <f>+SUMPRODUCT(('Budget révisé'!$A$8:$A$500=$A76)*('Budget révisé'!$C$3:$AO$3=I$2),'Budget révisé'!$C$8:$AO$500)</f>
        <v>0</v>
      </c>
      <c r="J76" s="303"/>
      <c r="K76" s="178"/>
      <c r="L76" s="97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original'!$A$8:$A$500=$A77)*('Budget original'!$C$3:$AO$3=F$2),'Budget original'!$C$8:$AO$500)</f>
        <v>0</v>
      </c>
      <c r="G77" s="302"/>
      <c r="H77" s="178"/>
      <c r="I77" s="179">
        <f>+SUMPRODUCT(('Budget révisé'!$A$8:$A$500=$A77)*('Budget révisé'!$C$3:$AO$3=I$2),'Budget révisé'!$C$8:$AO$500)</f>
        <v>0</v>
      </c>
      <c r="J77" s="303"/>
      <c r="K77" s="178"/>
      <c r="L77" s="97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original'!$A$8:$A$500=$A78)*('Budget original'!$C$3:$AO$3=F$2),'Budget original'!$C$8:$AO$500)</f>
        <v>40795.839813252998</v>
      </c>
      <c r="G78" s="302"/>
      <c r="H78" s="178"/>
      <c r="I78" s="179">
        <f>+SUMPRODUCT(('Budget révisé'!$A$8:$A$500=$A78)*('Budget révisé'!$C$3:$AO$3=I$2),'Budget révisé'!$C$8:$AO$500)</f>
        <v>40795.839813252998</v>
      </c>
      <c r="J78" s="303"/>
      <c r="K78" s="178"/>
      <c r="L78" s="281">
        <f>-SUMIFS(BV_Data_An_Cour!$P:$P,BV_Data_An_Cour!$U:$U,$B78,BV_Data_An_Cour!$V:$V,$C78,BV_Data_An_Cour!$W:$W,L$2)</f>
        <v>55812.85</v>
      </c>
      <c r="M78" s="303"/>
      <c r="N78" s="304">
        <f t="shared" si="50"/>
        <v>15017.010186747</v>
      </c>
      <c r="O78" s="303"/>
      <c r="P78" s="178"/>
      <c r="Q78" s="554">
        <f>-SUMIFS(BV_Data_An_Prec!$P:$P,BV_Data_An_Prec!$U:$U,$B78,BV_Data_An_Prec!$V:$V,$C78,BV_Data_An_Prec!$W:$W,Q$2)</f>
        <v>22341</v>
      </c>
      <c r="R78" s="303"/>
      <c r="S78" s="199">
        <f t="shared" si="51"/>
        <v>33471.85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original'!$A$8:$A$500=$A79)*('Budget original'!$C$3:$AO$3=F$2),'Budget original'!$C$8:$AO$500)</f>
        <v>0</v>
      </c>
      <c r="G79" s="302"/>
      <c r="H79" s="178"/>
      <c r="I79" s="179">
        <f>+SUMPRODUCT(('Budget révisé'!$A$8:$A$500=$A79)*('Budget révisé'!$C$3:$AO$3=I$2),'Budget révisé'!$C$8:$AO$500)</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original'!$A$8:$A$500=$A80)*('Budget original'!$C$3:$AO$3=F$2),'Budget original'!$C$8:$AO$500)</f>
        <v>0</v>
      </c>
      <c r="G80" s="302"/>
      <c r="H80" s="178"/>
      <c r="I80" s="179">
        <f>+SUMPRODUCT(('Budget révisé'!$A$8:$A$500=$A80)*('Budget révisé'!$C$3:$AO$3=I$2),'Budget révisé'!$C$8:$AO$500)</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original'!$A$8:$A$500=$A81)*('Budget original'!$C$3:$AO$3=F$2),'Budget original'!$C$8:$AO$500)</f>
        <v>0</v>
      </c>
      <c r="G81" s="302"/>
      <c r="H81" s="178"/>
      <c r="I81" s="179">
        <f>+SUMPRODUCT(('Budget révisé'!$A$8:$A$500=$A81)*('Budget révisé'!$C$3:$AO$3=I$2),'Budget révisé'!$C$8:$AO$500)</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original'!$A$8:$A$500=$A82)*('Budget original'!$C$3:$AO$3=F$2),'Budget original'!$C$8:$AO$500)</f>
        <v>13802.419518072289</v>
      </c>
      <c r="G82" s="302"/>
      <c r="H82" s="178"/>
      <c r="I82" s="179">
        <f>+SUMPRODUCT(('Budget révisé'!$A$8:$A$500=$A82)*('Budget révisé'!$C$3:$AO$3=I$2),'Budget révisé'!$C$8:$AO$500)</f>
        <v>13802.419518072289</v>
      </c>
      <c r="J82" s="303"/>
      <c r="K82" s="178"/>
      <c r="L82" s="974">
        <f>-SUMIFS(BV_Data_An_Cour!$P:$P,BV_Data_An_Cour!$U:$U,$B82,BV_Data_An_Cour!$V:$V,$C82,BV_Data_An_Cour!$W:$W,L$2)-L158</f>
        <v>12544</v>
      </c>
      <c r="M82" s="303"/>
      <c r="N82" s="304">
        <f t="shared" si="50"/>
        <v>-1258.4195180722891</v>
      </c>
      <c r="O82" s="303"/>
      <c r="P82" s="178"/>
      <c r="Q82" s="554">
        <f>-SUMIFS(BV_Data_An_Prec!$P:$P,BV_Data_An_Prec!$U:$U,$B82,BV_Data_An_Prec!$V:$V,$C82,BV_Data_An_Prec!$W:$W,Q$2)-Q158</f>
        <v>6261</v>
      </c>
      <c r="R82" s="303"/>
      <c r="S82" s="199">
        <f t="shared" si="51"/>
        <v>6283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54598.259331325287</v>
      </c>
      <c r="G83" s="42"/>
      <c r="H83" s="40"/>
      <c r="I83" s="41">
        <f>+SUM(I75:I82)</f>
        <v>54598.259331325287</v>
      </c>
      <c r="J83" s="42"/>
      <c r="K83" s="40"/>
      <c r="L83" s="41">
        <f>+SUM(L75:L82)</f>
        <v>68356.850000000006</v>
      </c>
      <c r="M83" s="44"/>
      <c r="N83" s="41">
        <f>+SUM(N75:N82)</f>
        <v>13758.590668674711</v>
      </c>
      <c r="O83" s="42"/>
      <c r="P83" s="40"/>
      <c r="Q83" s="41">
        <f>+SUM(Q75:Q82)</f>
        <v>40102</v>
      </c>
      <c r="R83" s="44"/>
      <c r="S83" s="316">
        <f>+SUM(S75:S82)</f>
        <v>39754.85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20274.483525177959</v>
      </c>
      <c r="G85" s="436"/>
      <c r="H85" s="346"/>
      <c r="I85" s="343">
        <f>I27-I74+I83</f>
        <v>20274.483525177959</v>
      </c>
      <c r="J85" s="436"/>
      <c r="K85" s="342"/>
      <c r="L85" s="343">
        <f>L27-L74+L83</f>
        <v>97531.579999999813</v>
      </c>
      <c r="M85" s="436"/>
      <c r="N85" s="343">
        <f>N27-N41-N54-N72+N83</f>
        <v>77257.096474821868</v>
      </c>
      <c r="O85" s="436"/>
      <c r="P85" s="342"/>
      <c r="Q85" s="343">
        <f>Q27-Q74+Q83</f>
        <v>-26104.288999999917</v>
      </c>
      <c r="R85" s="436"/>
      <c r="S85" s="347">
        <f>S27-S41-S54-S72+S83</f>
        <v>140326.27899999972</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Janvier 2022</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287" t="s">
        <v>77</v>
      </c>
      <c r="E91" s="1288"/>
      <c r="F91" s="1289"/>
      <c r="G91" s="1290" t="s">
        <v>145</v>
      </c>
      <c r="H91" s="1288"/>
      <c r="I91" s="1289"/>
      <c r="J91" s="1290" t="s">
        <v>79</v>
      </c>
      <c r="K91" s="1288"/>
      <c r="L91" s="1289"/>
      <c r="M91" s="1290" t="s">
        <v>80</v>
      </c>
      <c r="N91" s="1289"/>
      <c r="O91" s="1287" t="s">
        <v>81</v>
      </c>
      <c r="P91" s="1288"/>
      <c r="Q91" s="1289"/>
      <c r="R91" s="1290" t="s">
        <v>82</v>
      </c>
      <c r="S91" s="129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original'!$A$8:$A$500=$A93)*('Budget original'!$C$3:$AO$3=F$2),'Budget original'!$C$8:$AO$500)</f>
        <v>849266.37829069817</v>
      </c>
      <c r="G93" s="183"/>
      <c r="H93" s="184"/>
      <c r="I93" s="177">
        <f>+SUMPRODUCT(('Budget révisé'!$A$8:$A$500=$A93)*('Budget révisé'!$C$3:$AO$3=I$2),'Budget révisé'!$C$8:$AO$500)</f>
        <v>849266.37829069817</v>
      </c>
      <c r="J93" s="568"/>
      <c r="K93" s="184"/>
      <c r="L93" s="177">
        <f>-SUMIFS(BV_Data_An_Cour!$P:$P,BV_Data_An_Cour!$X:$X,"Oui",BV_Data_An_Cour!$U:$U,$B93)</f>
        <v>680538.90999999992</v>
      </c>
      <c r="M93" s="395"/>
      <c r="N93" s="396"/>
      <c r="O93" s="568"/>
      <c r="P93" s="184"/>
      <c r="Q93" s="177">
        <f>-SUMIFS(BV_Data_An_Prec!$P:$P,BV_Data_An_Prec!$X:$X,"Oui",BV_Data_An_Prec!$U:$U,$B93)</f>
        <v>516369.14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original'!$A$8:$A$500=$A94)*('Budget original'!$C$3:$AO$3=D$2),'Budget original'!$C$8:$AO$500)</f>
        <v>25.922330097087379</v>
      </c>
      <c r="E94" s="179">
        <f>IF(D94=0,0,F94/D94)</f>
        <v>1300</v>
      </c>
      <c r="F94" s="179">
        <f>+SUMPRODUCT(('Budget original'!$A$8:$A$500=$A94)*('Budget original'!$C$3:$AO$3=F$2),'Budget original'!$C$8:$AO$500)</f>
        <v>33699.029126213594</v>
      </c>
      <c r="G94" s="182">
        <f>+SUMPRODUCT(('Budget révisé'!$A$8:$A$500=$A94)*('Budget révisé'!$C$3:$AO$3=G$2),'Budget révisé'!$C$8:$AO$500)</f>
        <v>25.922330097087379</v>
      </c>
      <c r="H94" s="179">
        <f>IF(G94=0,0,I94/G94)</f>
        <v>1300</v>
      </c>
      <c r="I94" s="179">
        <f>+SUMPRODUCT(('Budget révisé'!$A$8:$A$500=$A94)*('Budget révisé'!$C$3:$AO$3=I$2),'Budget révisé'!$C$8:$AO$500)</f>
        <v>33699.029126213594</v>
      </c>
      <c r="J94" s="569">
        <f>-SUMIFS(BV_Data_An_Cour!$P:$P,BV_Data_An_Cour!$U:$U,$B94,BV_Data_An_Cour!$V:$V,$C94,BV_Data_An_Cour!$W:$W,J$2)</f>
        <v>18</v>
      </c>
      <c r="K94" s="179">
        <f t="shared" ref="K94:K95" si="56">IF(J94=0,0,L94/J94)</f>
        <v>2809.9</v>
      </c>
      <c r="L94" s="180">
        <f>-SUMIFS(BV_Data_An_Cour!$P:$P,BV_Data_An_Cour!$U:$U,$B94,BV_Data_An_Cour!$V:$V,$C94,BV_Data_An_Cour!$W:$W,$L2)</f>
        <v>50578.200000000004</v>
      </c>
      <c r="M94" s="182">
        <f>J94-G94</f>
        <v>-7.9223300970873787</v>
      </c>
      <c r="N94" s="180">
        <f>L94-I94</f>
        <v>16879.17087378641</v>
      </c>
      <c r="O94" s="569">
        <f>-SUMIFS(BV_Data_An_Prec!$P:$P,BV_Data_An_Prec!$U:$U,$B94,BV_Data_An_Prec!$V:$V,$C94,BV_Data_An_Prec!$W:$W,O$2)</f>
        <v>14</v>
      </c>
      <c r="P94" s="179">
        <f t="shared" ref="P94:P95" si="57">IF(O94=0,0,Q94/O94)</f>
        <v>1047.6399999999994</v>
      </c>
      <c r="Q94" s="180">
        <f>-SUMIFS(BV_Data_An_Prec!$P:$P,BV_Data_An_Prec!$U:$U,$B94,BV_Data_An_Prec!$V:$V,$C94,BV_Data_An_Prec!$W:$W,$L2)</f>
        <v>14666.959999999992</v>
      </c>
      <c r="R94" s="182">
        <f t="shared" ref="R94:R95" si="58">J94-O94</f>
        <v>4</v>
      </c>
      <c r="S94" s="399">
        <f t="shared" ref="S94:S95" si="59">L94-Q94</f>
        <v>35911.240000000013</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original'!$A$8:$A$500=$A95)*('Budget original'!$C$3:$AO$3=D$2),'Budget original'!$C$8:$AO$500)</f>
        <v>1.4563106796116505</v>
      </c>
      <c r="E95" s="184">
        <f t="shared" ref="E95:E104" si="60">IF(D95=0,0,F95/D95)</f>
        <v>900</v>
      </c>
      <c r="F95" s="179">
        <f>+SUMPRODUCT(('Budget original'!$A$8:$A$500=$A95)*('Budget original'!$C$3:$AO$3=F$2),'Budget original'!$C$8:$AO$500)</f>
        <v>1310.6796116504854</v>
      </c>
      <c r="G95" s="182">
        <f>+SUMPRODUCT(('Budget révisé'!$A$8:$A$500=$A95)*('Budget révisé'!$C$3:$AO$3=G$2),'Budget révisé'!$C$8:$AO$500)</f>
        <v>1.4563106796116505</v>
      </c>
      <c r="H95" s="179">
        <f t="shared" ref="H95:H104" si="61">IF(G95=0,0,I95/G95)</f>
        <v>900</v>
      </c>
      <c r="I95" s="179">
        <f>+SUMPRODUCT(('Budget révisé'!$A$8:$A$500=$A95)*('Budget révisé'!$C$3:$AO$3=I$2),'Budget révisé'!$C$8:$AO$500)</f>
        <v>1310.6796116504854</v>
      </c>
      <c r="J95" s="182">
        <f>-SUMIFS(BV_Data_An_Cour!$P:$P,BV_Data_An_Cour!$U:$U,$B95,BV_Data_An_Cour!$V:$V,$C95,BV_Data_An_Cour!$W:$W,J$2)</f>
        <v>0</v>
      </c>
      <c r="K95" s="179">
        <f t="shared" si="56"/>
        <v>0</v>
      </c>
      <c r="L95" s="554">
        <f>-SUMIFS(BV_Data_An_Cour!$P:$P,BV_Data_An_Cour!$U:$U,$B95,BV_Data_An_Cour!$V:$V,$C95,BV_Data_An_Cour!$W:$W,$L2)</f>
        <v>0</v>
      </c>
      <c r="M95" s="182"/>
      <c r="N95" s="180"/>
      <c r="O95" s="182">
        <f>-SUMIFS(BV_Data_An_Prec!$P:$P,BV_Data_An_Prec!$U:$U,$B95,BV_Data_An_Prec!$V:$V,$C95,BV_Data_An_Prec!$W:$W,O$2)</f>
        <v>1</v>
      </c>
      <c r="P95" s="179">
        <f t="shared" si="57"/>
        <v>715</v>
      </c>
      <c r="Q95" s="554">
        <f>-SUMIFS(BV_Data_An_Prec!$P:$P,BV_Data_An_Prec!$U:$U,$B95,BV_Data_An_Prec!$V:$V,$C95,BV_Data_An_Prec!$W:$W,$L2)</f>
        <v>715</v>
      </c>
      <c r="R95" s="182">
        <f t="shared" si="58"/>
        <v>-1</v>
      </c>
      <c r="S95" s="399">
        <f t="shared" si="59"/>
        <v>-715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27.378640776699029</v>
      </c>
      <c r="E96" s="179">
        <f t="shared" si="60"/>
        <v>1278.7234042553191</v>
      </c>
      <c r="F96" s="402">
        <f t="shared" ref="F96" si="62">+F94+F95</f>
        <v>35009.708737864079</v>
      </c>
      <c r="G96" s="403">
        <f>+G95+G94</f>
        <v>27.378640776699029</v>
      </c>
      <c r="H96" s="401">
        <f t="shared" si="61"/>
        <v>1278.7234042553191</v>
      </c>
      <c r="I96" s="402">
        <f t="shared" ref="I96" si="63">+I94+I95</f>
        <v>35009.708737864079</v>
      </c>
      <c r="J96" s="403">
        <f t="shared" ref="J96" si="64">+J94+J95</f>
        <v>18</v>
      </c>
      <c r="K96" s="401">
        <f>IF(J96&lt;=0,0,L96/J96)</f>
        <v>2809.9</v>
      </c>
      <c r="L96" s="402">
        <f>+L94+L95</f>
        <v>50578.200000000004</v>
      </c>
      <c r="M96" s="403">
        <f>J96-G96</f>
        <v>-9.3786407766990294</v>
      </c>
      <c r="N96" s="402">
        <f>L96-I96</f>
        <v>15568.491262135925</v>
      </c>
      <c r="O96" s="403">
        <f t="shared" ref="O96" si="65">+O94+O95</f>
        <v>15</v>
      </c>
      <c r="P96" s="401">
        <f>IF(O96&lt;=0,0,Q96/O96)</f>
        <v>1025.4639999999995</v>
      </c>
      <c r="Q96" s="402">
        <f>+Q94+Q95</f>
        <v>15381.959999999992</v>
      </c>
      <c r="R96" s="403">
        <f t="shared" ref="R96:S96" si="66">R94+R95</f>
        <v>3</v>
      </c>
      <c r="S96" s="404">
        <f t="shared" si="66"/>
        <v>35196.240000000013</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-0.3425531914893617</v>
      </c>
      <c r="N97" s="332">
        <f>N96/I96</f>
        <v>0.4446906821963395</v>
      </c>
      <c r="O97" s="303"/>
      <c r="P97" s="178"/>
      <c r="Q97" s="312"/>
      <c r="R97" s="362">
        <f>R96/O96</f>
        <v>0.2</v>
      </c>
      <c r="S97" s="333">
        <f>IF(Q96=0,0,(S96/Q96))</f>
        <v>2.2881505347823055</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original'!$A$8:$A$500=$A98)*('Budget original'!$C$3:$AO$3=D$2),'Budget original'!$C$8:$AO$500)</f>
        <v>0</v>
      </c>
      <c r="E98" s="179">
        <f t="shared" si="60"/>
        <v>0</v>
      </c>
      <c r="F98" s="179">
        <f>+SUMPRODUCT(('Budget original'!$A$8:$A$500=$A98)*('Budget original'!$C$3:$AO$3=F$2),'Budget original'!$C$8:$AO$500)</f>
        <v>0</v>
      </c>
      <c r="G98" s="303">
        <f>+SUMPRODUCT(('Budget révisé'!$A$8:$A$500=$A98)*('Budget révisé'!$C$3:$AO$3=G$2),'Budget révisé'!$C$8:$AO$500)</f>
        <v>0</v>
      </c>
      <c r="H98" s="179">
        <f t="shared" si="61"/>
        <v>0</v>
      </c>
      <c r="I98" s="179">
        <f>+SUMPRODUCT(('Budget révisé'!$A$8:$A$500=$A98)*('Budget révisé'!$C$3:$AO$3=I$2),'Budget révisé'!$C$8:$AO$500)</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original'!$A$8:$A$500=$A99)*('Budget original'!$C$3:$AO$3=D$2),'Budget original'!$C$8:$AO$500)</f>
        <v>23.824699225917971</v>
      </c>
      <c r="E99" s="179">
        <f t="shared" si="60"/>
        <v>212</v>
      </c>
      <c r="F99" s="179">
        <f>+SUMPRODUCT(('Budget original'!$A$8:$A$500=$A99)*('Budget original'!$C$3:$AO$3=F$2),'Budget original'!$C$8:$AO$500)</f>
        <v>5050.8362358946097</v>
      </c>
      <c r="G99" s="303">
        <f>+SUMPRODUCT(('Budget révisé'!$A$8:$A$500=$A99)*('Budget révisé'!$C$3:$AO$3=G$2),'Budget révisé'!$C$8:$AO$500)</f>
        <v>23.824699225917971</v>
      </c>
      <c r="H99" s="179">
        <f t="shared" si="61"/>
        <v>212</v>
      </c>
      <c r="I99" s="179">
        <f>+SUMPRODUCT(('Budget révisé'!$A$8:$A$500=$A99)*('Budget révisé'!$C$3:$AO$3=I$2),'Budget révisé'!$C$8:$AO$500)</f>
        <v>5050.8362358946097</v>
      </c>
      <c r="J99" s="182">
        <f>-SUMIFS(BV_Data_An_Cour!$P:$P,BV_Data_An_Cour!$U:$U,$B99,BV_Data_An_Cour!$V:$V,$C99,BV_Data_An_Cour!$W:$W,J$2)</f>
        <v>18</v>
      </c>
      <c r="K99" s="179">
        <f t="shared" si="67"/>
        <v>435.46388888888919</v>
      </c>
      <c r="L99" s="180">
        <f>-SUMIFS(BV_Data_An_Cour!$P:$P,BV_Data_An_Cour!$U:$U,$B99,BV_Data_An_Cour!$V:$V,$C99,BV_Data_An_Cour!$W:$W,L$2)</f>
        <v>7838.3500000000058</v>
      </c>
      <c r="M99" s="182">
        <f t="shared" si="68"/>
        <v>-5.8246992259179713</v>
      </c>
      <c r="N99" s="180">
        <f t="shared" si="69"/>
        <v>2787.5137641053961</v>
      </c>
      <c r="O99" s="182">
        <f>-SUMIFS(BV_Data_An_Prec!$P:$P,BV_Data_An_Prec!$U:$U,$B99,BV_Data_An_Prec!$V:$V,$C99,BV_Data_An_Prec!$W:$W,O$2)</f>
        <v>20</v>
      </c>
      <c r="P99" s="179">
        <f t="shared" si="70"/>
        <v>-41.210000000000583</v>
      </c>
      <c r="Q99" s="180">
        <f>-SUMIFS(BV_Data_An_Prec!$P:$P,BV_Data_An_Prec!$U:$U,$B99,BV_Data_An_Prec!$V:$V,$C99,BV_Data_An_Prec!$W:$W,Q$2)</f>
        <v>-824.20000000001164</v>
      </c>
      <c r="R99" s="182">
        <f t="shared" si="71"/>
        <v>-2</v>
      </c>
      <c r="S99" s="399">
        <f t="shared" si="72"/>
        <v>8662.5500000000175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original'!$A$8:$A$500=$A101)*('Budget original'!$C$3:$AO$3=D$2),'Budget original'!$C$8:$AO$500)</f>
        <v>0</v>
      </c>
      <c r="E101" s="179">
        <f t="shared" si="60"/>
        <v>0</v>
      </c>
      <c r="F101" s="180">
        <f>+SUMPRODUCT(('Budget original'!$A$8:$A$500=$A101)*('Budget original'!$C$3:$AO$3=F$2),'Budget original'!$C$8:$AO$500)</f>
        <v>18041.454097932594</v>
      </c>
      <c r="G101" s="182">
        <f>+SUMPRODUCT(('Budget révisé'!$A$8:$A$500=$A101)*('Budget révisé'!$C$3:$AO$3=G$2),'Budget révisé'!$C$8:$AO$500)</f>
        <v>0</v>
      </c>
      <c r="H101" s="179">
        <f t="shared" si="61"/>
        <v>0</v>
      </c>
      <c r="I101" s="179">
        <f>+SUMPRODUCT(('Budget révisé'!$A$8:$A$500=$A101)*('Budget révisé'!$C$3:$AO$3=I$2),'Budget révisé'!$C$8:$AO$500)</f>
        <v>18041.454097932594</v>
      </c>
      <c r="J101" s="182"/>
      <c r="K101" s="179">
        <f>IF(J96=0,0,L101/J96)</f>
        <v>1149</v>
      </c>
      <c r="L101" s="180">
        <f>-SUMIFS(BV_Data_An_Cour!$P:$P,BV_Data_An_Cour!$U:$U,$B101,BV_Data_An_Cour!$V:$V,$C101,BV_Data_An_Cour!$W:$W,$L2)</f>
        <v>20682</v>
      </c>
      <c r="M101" s="182"/>
      <c r="N101" s="180">
        <f t="shared" ref="N101:N104" si="73">L101-I101</f>
        <v>2640.5459020674061</v>
      </c>
      <c r="O101" s="182"/>
      <c r="P101" s="179">
        <f>IF(O96=0,0,Q101/O96)</f>
        <v>309.40733333333333</v>
      </c>
      <c r="Q101" s="180">
        <f>-SUMIFS(BV_Data_An_Prec!$P:$P,BV_Data_An_Prec!$U:$U,$B101,BV_Data_An_Prec!$V:$V,$C101,BV_Data_An_Prec!$W:$W,$L2)</f>
        <v>4641.1099999999997</v>
      </c>
      <c r="R101" s="182">
        <f t="shared" ref="R101:R103" si="74">O101-K101</f>
        <v>-1149</v>
      </c>
      <c r="S101" s="399">
        <f t="shared" ref="S101:S104" si="75">L101-Q101</f>
        <v>16040.89</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original'!$A$8:$A$500=$A102)*('Budget original'!$C$3:$AO$3=D$2),'Budget original'!$C$8:$AO$500)</f>
        <v>0</v>
      </c>
      <c r="E102" s="179">
        <f t="shared" si="60"/>
        <v>0</v>
      </c>
      <c r="F102" s="180">
        <f>+SUMPRODUCT(('Budget original'!$A$8:$A$500=$A102)*('Budget original'!$C$3:$AO$3=F$2),'Budget original'!$C$8:$AO$500)</f>
        <v>31809.728130004747</v>
      </c>
      <c r="G102" s="182">
        <f>+SUMPRODUCT(('Budget révisé'!$A$8:$A$500=$A102)*('Budget révisé'!$C$3:$AO$3=G$2),'Budget révisé'!$C$8:$AO$500)</f>
        <v>0</v>
      </c>
      <c r="H102" s="179">
        <f t="shared" si="61"/>
        <v>0</v>
      </c>
      <c r="I102" s="179">
        <f>+SUMPRODUCT(('Budget révisé'!$A$8:$A$500=$A102)*('Budget révisé'!$C$3:$AO$3=I$2),'Budget révisé'!$C$8:$AO$500)</f>
        <v>31809.728130004747</v>
      </c>
      <c r="J102" s="182"/>
      <c r="K102" s="179">
        <f>IF(J96=0,0,L102/J96)</f>
        <v>1300.0072222222223</v>
      </c>
      <c r="L102" s="180">
        <f>-SUMIFS(BV_Data_An_Cour!$P:$P,BV_Data_An_Cour!$U:$U,$B102,BV_Data_An_Cour!$V:$V,$C102,BV_Data_An_Cour!$W:$W,$L2)</f>
        <v>23400.13</v>
      </c>
      <c r="M102" s="182"/>
      <c r="N102" s="180">
        <f t="shared" si="73"/>
        <v>-8409.5981300047461</v>
      </c>
      <c r="O102" s="182"/>
      <c r="P102" s="179">
        <f>IF(O96=0,0,Q102/O96)</f>
        <v>1352.4093333333333</v>
      </c>
      <c r="Q102" s="180">
        <f>-SUMIFS(BV_Data_An_Prec!$P:$P,BV_Data_An_Prec!$U:$U,$B102,BV_Data_An_Prec!$V:$V,$C102,BV_Data_An_Prec!$W:$W,$L2)</f>
        <v>20286.14</v>
      </c>
      <c r="R102" s="182">
        <f t="shared" si="74"/>
        <v>-1300.0072222222223</v>
      </c>
      <c r="S102" s="399">
        <f t="shared" si="75"/>
        <v>3113.9900000000016</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original'!$A$8:$A$500=$A103)*('Budget original'!$C$3:$AO$3=D$2),'Budget original'!$C$8:$AO$500)</f>
        <v>0</v>
      </c>
      <c r="E103" s="184">
        <f t="shared" si="60"/>
        <v>0</v>
      </c>
      <c r="F103" s="180">
        <f>+SUMPRODUCT(('Budget original'!$A$8:$A$500=$A103)*('Budget original'!$C$3:$AO$3=F$2),'Budget original'!$C$8:$AO$500)</f>
        <v>902.21403187396959</v>
      </c>
      <c r="G103" s="182">
        <f>+SUMPRODUCT(('Budget révisé'!$A$8:$A$500=$A103)*('Budget révisé'!$C$3:$AO$3=G$2),'Budget révisé'!$C$8:$AO$500)</f>
        <v>0</v>
      </c>
      <c r="H103" s="407">
        <f t="shared" si="61"/>
        <v>0</v>
      </c>
      <c r="I103" s="179">
        <f>+SUMPRODUCT(('Budget révisé'!$A$8:$A$500=$A103)*('Budget révisé'!$C$3:$AO$3=I$2),'Budget révisé'!$C$8:$AO$500)</f>
        <v>902.21403187396959</v>
      </c>
      <c r="J103" s="182"/>
      <c r="K103" s="407">
        <f>IF(J96=0,0,L103/J96)</f>
        <v>16.254999999999999</v>
      </c>
      <c r="L103" s="180">
        <f>-SUMIFS(BV_Data_An_Cour!$P:$P,BV_Data_An_Cour!$U:$U,$B103,BV_Data_An_Cour!$V:$V,$C103,BV_Data_An_Cour!$W:$W,$L$2)</f>
        <v>292.58999999999997</v>
      </c>
      <c r="M103" s="406"/>
      <c r="N103" s="180">
        <f t="shared" si="73"/>
        <v>-609.62403187396967</v>
      </c>
      <c r="O103" s="182"/>
      <c r="P103" s="407">
        <f>IF(O96=0,0,Q103/O96)</f>
        <v>43.192666666666668</v>
      </c>
      <c r="Q103" s="180">
        <f>-SUMIFS(BV_Data_An_Prec!$P:$P,BV_Data_An_Prec!$U:$U,$B103,BV_Data_An_Prec!$V:$V,$C103,BV_Data_An_Prec!$W:$W,$L$2)</f>
        <v>647.89</v>
      </c>
      <c r="R103" s="182">
        <f t="shared" si="74"/>
        <v>-16.254999999999999</v>
      </c>
      <c r="S103" s="399">
        <f t="shared" si="75"/>
        <v>-355.3</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27.378640776699029</v>
      </c>
      <c r="E104" s="179">
        <f t="shared" si="60"/>
        <v>1853.7587995604842</v>
      </c>
      <c r="F104" s="402">
        <f>F101+F102+F103</f>
        <v>50753.396259811314</v>
      </c>
      <c r="G104" s="403">
        <f>G96</f>
        <v>27.378640776699029</v>
      </c>
      <c r="H104" s="401">
        <f t="shared" si="61"/>
        <v>1853.7587995604842</v>
      </c>
      <c r="I104" s="402">
        <f>I101+I102+I103</f>
        <v>50753.396259811314</v>
      </c>
      <c r="J104" s="403">
        <f>J96</f>
        <v>18</v>
      </c>
      <c r="K104" s="401">
        <f>IF(J104&lt;=0,0,L104/J104)</f>
        <v>2465.2622222222221</v>
      </c>
      <c r="L104" s="402">
        <f>L101+L102+L103</f>
        <v>44374.720000000001</v>
      </c>
      <c r="M104" s="182">
        <f>J104-G104</f>
        <v>-9.3786407766990294</v>
      </c>
      <c r="N104" s="402">
        <f t="shared" si="73"/>
        <v>-6378.6762598113128</v>
      </c>
      <c r="O104" s="403">
        <f>O96</f>
        <v>15</v>
      </c>
      <c r="P104" s="401">
        <f>IF(O104&lt;=0,0,Q104/O104)</f>
        <v>1705.0093333333332</v>
      </c>
      <c r="Q104" s="402">
        <f>Q101+Q102+Q103</f>
        <v>25575.14</v>
      </c>
      <c r="R104" s="411"/>
      <c r="S104" s="404">
        <f t="shared" si="75"/>
        <v>18799.580000000002</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-0.12567979149923841</v>
      </c>
      <c r="O105" s="303"/>
      <c r="P105" s="178"/>
      <c r="Q105" s="304"/>
      <c r="R105" s="325"/>
      <c r="S105" s="333">
        <f>IF(Q104=0,0,(S104/Q104))</f>
        <v>0.73507241798089873</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51.203340002616997</v>
      </c>
      <c r="E107" s="30">
        <f>IF(D107&lt;=0,0,F107/D107)</f>
        <v>1773.5940903255239</v>
      </c>
      <c r="F107" s="28">
        <f>F96+F104+F99</f>
        <v>90813.941233570004</v>
      </c>
      <c r="G107" s="29">
        <f>G96+G99</f>
        <v>51.203340002616997</v>
      </c>
      <c r="H107" s="30">
        <f>IF(G107&lt;=0,0,I107/G107)</f>
        <v>1773.5940903255239</v>
      </c>
      <c r="I107" s="28">
        <f>I96+I104+I99</f>
        <v>90813.941233570004</v>
      </c>
      <c r="J107" s="29">
        <f>J96+J99</f>
        <v>36</v>
      </c>
      <c r="K107" s="30">
        <f>IF(J107&lt;=0,0,L107/J107)</f>
        <v>2855.3130555555563</v>
      </c>
      <c r="L107" s="28">
        <f>L96+L104+L99</f>
        <v>102791.27000000002</v>
      </c>
      <c r="M107" s="29">
        <f>J107-G107</f>
        <v>-15.203340002616997</v>
      </c>
      <c r="N107" s="28">
        <f>L107-I107</f>
        <v>11977.328766430015</v>
      </c>
      <c r="O107" s="29">
        <f>O96+O99</f>
        <v>35</v>
      </c>
      <c r="P107" s="30">
        <f>IF(O107&lt;=0,0,Q107/O107)</f>
        <v>1146.6542857142852</v>
      </c>
      <c r="Q107" s="28">
        <f>Q96+Q104+Q99</f>
        <v>40132.89999999998</v>
      </c>
      <c r="R107" s="29">
        <f>J107-O107</f>
        <v>1</v>
      </c>
      <c r="S107" s="363">
        <f>L107-Q107</f>
        <v>62658.370000000039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-0.29692086496388626</v>
      </c>
      <c r="N108" s="34">
        <f>N107/I107</f>
        <v>0.13188865722306645</v>
      </c>
      <c r="O108" s="31"/>
      <c r="P108" s="365"/>
      <c r="Q108" s="32"/>
      <c r="R108" s="33">
        <f>O107/R107</f>
        <v>35</v>
      </c>
      <c r="S108" s="412">
        <f>IF(Q107=0,0,(S107/Q107))</f>
        <v>1.561271924032404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569.42021276595744</v>
      </c>
      <c r="F111" s="179">
        <f>+SUMPRODUCT(('Budget original'!$A$8:$A$500=$A111)*('Budget original'!$C$3:$AO$3=F$2),'Budget original'!$C$8:$AO$500)</f>
        <v>15589.95145631068</v>
      </c>
      <c r="G111" s="302"/>
      <c r="H111" s="197">
        <f t="shared" ref="H111:H116" si="77">I111/G$96</f>
        <v>569.42021276595744</v>
      </c>
      <c r="I111" s="179">
        <f>+SUMPRODUCT(('Budget révisé'!$A$8:$A$500=$A111)*('Budget révisé'!$C$3:$AO$3=I$2),'Budget révisé'!$C$8:$AO$500)</f>
        <v>15589.95145631068</v>
      </c>
      <c r="J111" s="965"/>
      <c r="K111" s="197">
        <f t="shared" ref="K111:K116" si="78">IF($J$96=0,0,L111/(J$94+J$95))</f>
        <v>962.38722222222225</v>
      </c>
      <c r="L111" s="180">
        <f>SUMIFS(BV_Data_An_Cour!$P:$P,BV_Data_An_Cour!$U:$U,$B111,BV_Data_An_Cour!$V:$V,$C111,BV_Data_An_Cour!$W:$W,$L$2)</f>
        <v>17322.97</v>
      </c>
      <c r="M111" s="303"/>
      <c r="N111" s="304">
        <f t="shared" ref="N111:N121" si="79">L111-I111</f>
        <v>1733.0185436893207</v>
      </c>
      <c r="O111" s="303"/>
      <c r="P111" s="197">
        <f t="shared" ref="P111:P116" si="80">IF($J$96=0,0,Q111/(O$94+O$95))</f>
        <v>518.3846666666667</v>
      </c>
      <c r="Q111" s="180">
        <f>SUMIFS(BV_Data_An_Prec!$P:$P,BV_Data_An_Prec!$U:$U,$B111,BV_Data_An_Prec!$V:$V,$C111,BV_Data_An_Prec!$W:$W,$L$2)</f>
        <v>7775.77</v>
      </c>
      <c r="R111" s="303"/>
      <c r="S111" s="199">
        <f t="shared" ref="S111:S121" si="81">L111-Q111</f>
        <v>9547.2000000000007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556.12763986814525</v>
      </c>
      <c r="F112" s="177">
        <f>+SUMPRODUCT(('Budget original'!$A$8:$A$500=$A112)*('Budget original'!$C$3:$AO$3=F$2),'Budget original'!$C$8:$AO$500)</f>
        <v>15226.018877943394</v>
      </c>
      <c r="G112" s="309"/>
      <c r="H112" s="413">
        <f t="shared" si="77"/>
        <v>556.12763986814525</v>
      </c>
      <c r="I112" s="177">
        <f>+SUMPRODUCT(('Budget révisé'!$A$8:$A$500=$A112)*('Budget révisé'!$C$3:$AO$3=I$2),'Budget révisé'!$C$8:$AO$500)</f>
        <v>15226.018877943394</v>
      </c>
      <c r="J112" s="966">
        <f>L112/L104</f>
        <v>0.30601748022297381</v>
      </c>
      <c r="K112" s="413">
        <f t="shared" si="78"/>
        <v>754.41333333333341</v>
      </c>
      <c r="L112" s="180">
        <f>SUMIFS(BV_Data_An_Cour!$P:$P,BV_Data_An_Cour!$U:$U,$B112,BV_Data_An_Cour!$V:$V,$C112,BV_Data_An_Cour!$W:$W,$L$2)</f>
        <v>13579.44</v>
      </c>
      <c r="M112" s="310"/>
      <c r="N112" s="311">
        <f t="shared" si="79"/>
        <v>-1646.5788779433933</v>
      </c>
      <c r="O112" s="310"/>
      <c r="P112" s="413">
        <f t="shared" si="80"/>
        <v>492.9133333333333</v>
      </c>
      <c r="Q112" s="180">
        <f>SUMIFS(BV_Data_An_Prec!$P:$P,BV_Data_An_Prec!$U:$U,$B112,BV_Data_An_Prec!$V:$V,$C112,BV_Data_An_Prec!$W:$W,$L$2)</f>
        <v>7393.7</v>
      </c>
      <c r="R112" s="310"/>
      <c r="S112" s="202">
        <f t="shared" si="81"/>
        <v>6185.7400000000007</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69.809353301886787</v>
      </c>
      <c r="F113" s="179">
        <f>+SUMPRODUCT(('Budget original'!$A$8:$A$500=$A113)*('Budget original'!$C$3:$AO$3=F$2),'Budget original'!$C$8:$AO$500)</f>
        <v>1911.2852069060266</v>
      </c>
      <c r="G113" s="302"/>
      <c r="H113" s="197">
        <f t="shared" si="77"/>
        <v>69.809353301886787</v>
      </c>
      <c r="I113" s="179">
        <f>+SUMPRODUCT(('Budget révisé'!$A$8:$A$500=$A113)*('Budget révisé'!$C$3:$AO$3=I$2),'Budget révisé'!$C$8:$AO$500)</f>
        <v>1911.2852069060266</v>
      </c>
      <c r="J113" s="303"/>
      <c r="K113" s="197">
        <f t="shared" si="78"/>
        <v>67.162777777777777</v>
      </c>
      <c r="L113" s="181">
        <f>SUMIFS(BV_Data_An_Cour!$P:$P,BV_Data_An_Cour!$U:$U,$B113,BV_Data_An_Cour!$V:$V,$C113,BV_Data_An_Cour!$W:$W,$L$2)</f>
        <v>1208.93</v>
      </c>
      <c r="M113" s="303"/>
      <c r="N113" s="304">
        <f t="shared" si="79"/>
        <v>-702.35520690602652</v>
      </c>
      <c r="O113" s="303"/>
      <c r="P113" s="197">
        <f t="shared" si="80"/>
        <v>36.961999999999996</v>
      </c>
      <c r="Q113" s="181">
        <f>SUMIFS(BV_Data_An_Prec!$P:$P,BV_Data_An_Prec!$U:$U,$B113,BV_Data_An_Prec!$V:$V,$C113,BV_Data_An_Prec!$W:$W,$L$2)</f>
        <v>554.42999999999995</v>
      </c>
      <c r="R113" s="303"/>
      <c r="S113" s="199">
        <f t="shared" si="81"/>
        <v>654.50000000000011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33.51101497641509</v>
      </c>
      <c r="F114" s="179">
        <f>+SUMPRODUCT(('Budget original'!$A$8:$A$500=$A114)*('Budget original'!$C$3:$AO$3=F$2),'Budget original'!$C$8:$AO$500)</f>
        <v>917.48604110185011</v>
      </c>
      <c r="G114" s="302"/>
      <c r="H114" s="197">
        <f t="shared" si="77"/>
        <v>33.51101497641509</v>
      </c>
      <c r="I114" s="179">
        <f>+SUMPRODUCT(('Budget révisé'!$A$8:$A$500=$A114)*('Budget révisé'!$C$3:$AO$3=I$2),'Budget révisé'!$C$8:$AO$500)</f>
        <v>917.48604110185011</v>
      </c>
      <c r="J114" s="303"/>
      <c r="K114" s="197">
        <f t="shared" si="78"/>
        <v>41.167777777777779</v>
      </c>
      <c r="L114" s="180">
        <f>SUMIFS(BV_Data_An_Cour!$P:$P,BV_Data_An_Cour!$U:$U,$B114,BV_Data_An_Cour!$V:$V,$C114,BV_Data_An_Cour!$W:$W,$L$2)</f>
        <v>741.02</v>
      </c>
      <c r="M114" s="303"/>
      <c r="N114" s="304">
        <f t="shared" si="79"/>
        <v>-176.46604110185012</v>
      </c>
      <c r="O114" s="303"/>
      <c r="P114" s="197">
        <f t="shared" si="80"/>
        <v>135.06200000000001</v>
      </c>
      <c r="Q114" s="180">
        <f>SUMIFS(BV_Data_An_Prec!$P:$P,BV_Data_An_Prec!$U:$U,$B114,BV_Data_An_Prec!$V:$V,$C114,BV_Data_An_Prec!$W:$W,$L$2)</f>
        <v>2025.93</v>
      </c>
      <c r="R114" s="303"/>
      <c r="S114" s="199">
        <f t="shared" si="81"/>
        <v>-1284.9100000000001</v>
      </c>
      <c r="T114" s="222"/>
      <c r="U114" s="222"/>
      <c r="V114" s="222"/>
      <c r="W114" s="96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88.549952830188673</v>
      </c>
      <c r="F115" s="177">
        <f>+SUMPRODUCT(('Budget original'!$A$8:$A$500=$A115)*('Budget original'!$C$3:$AO$3=F$2),'Budget original'!$C$8:$AO$500)</f>
        <v>2424.3773493313793</v>
      </c>
      <c r="G115" s="309"/>
      <c r="H115" s="413">
        <f t="shared" si="77"/>
        <v>88.549952830188673</v>
      </c>
      <c r="I115" s="177">
        <f>+SUMPRODUCT(('Budget révisé'!$A$8:$A$500=$A115)*('Budget révisé'!$C$3:$AO$3=I$2),'Budget révisé'!$C$8:$AO$500)</f>
        <v>2424.3773493313793</v>
      </c>
      <c r="J115" s="310"/>
      <c r="K115" s="413">
        <f t="shared" si="78"/>
        <v>96.403888888888886</v>
      </c>
      <c r="L115" s="405">
        <f>SUMIFS(BV_Data_An_Cour!$P:$P,BV_Data_An_Cour!$U:$U,$B115,BV_Data_An_Cour!$V:$V,$C115,BV_Data_An_Cour!$W:$W,$L$2)</f>
        <v>1735.27</v>
      </c>
      <c r="M115" s="310"/>
      <c r="N115" s="311">
        <f t="shared" si="79"/>
        <v>-689.10734933137928</v>
      </c>
      <c r="O115" s="310"/>
      <c r="P115" s="413">
        <f t="shared" si="80"/>
        <v>127.66666666666667</v>
      </c>
      <c r="Q115" s="405">
        <f>SUMIFS(BV_Data_An_Prec!$P:$P,BV_Data_An_Prec!$U:$U,$B115,BV_Data_An_Prec!$V:$V,$C115,BV_Data_An_Prec!$W:$W,$L$2)</f>
        <v>1915</v>
      </c>
      <c r="R115" s="310"/>
      <c r="S115" s="202">
        <f t="shared" si="81"/>
        <v>-179.73000000000002</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42.755319148936188</v>
      </c>
      <c r="F116" s="179">
        <f>+SUMPRODUCT(('Budget original'!$A$8:$A$500=$A116)*('Budget original'!$C$3:$AO$3=F$2),'Budget original'!$C$8:$AO$500)</f>
        <v>1170.5825242718452</v>
      </c>
      <c r="G116" s="302"/>
      <c r="H116" s="197">
        <f t="shared" si="77"/>
        <v>42.755319148936188</v>
      </c>
      <c r="I116" s="179">
        <f>+SUMPRODUCT(('Budget révisé'!$A$8:$A$500=$A116)*('Budget révisé'!$C$3:$AO$3=I$2),'Budget révisé'!$C$8:$AO$500)</f>
        <v>1170.5825242718452</v>
      </c>
      <c r="J116" s="303"/>
      <c r="K116" s="197">
        <f t="shared" si="78"/>
        <v>76.487222222222215</v>
      </c>
      <c r="L116" s="180">
        <f>SUMIFS(BV_Data_An_Cour!$P:$P,BV_Data_An_Cour!$U:$U,$B116,BV_Data_An_Cour!$V:$V,$C116,BV_Data_An_Cour!$W:$W,$L$2)</f>
        <v>1376.77</v>
      </c>
      <c r="M116" s="303"/>
      <c r="N116" s="304">
        <f t="shared" si="79"/>
        <v>206.18747572815482</v>
      </c>
      <c r="O116" s="303"/>
      <c r="P116" s="197">
        <f t="shared" si="80"/>
        <v>187.96800000000002</v>
      </c>
      <c r="Q116" s="180">
        <f>SUMIFS(BV_Data_An_Prec!$P:$P,BV_Data_An_Prec!$U:$U,$B116,BV_Data_An_Prec!$V:$V,$C116,BV_Data_An_Prec!$W:$W,$L$2)</f>
        <v>2819.5200000000004</v>
      </c>
      <c r="R116" s="303"/>
      <c r="S116" s="199">
        <f t="shared" si="81"/>
        <v>-1442.7500000000005</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24.785639765065945</v>
      </c>
      <c r="F117" s="179">
        <f>+SUMPRODUCT(('Budget original'!$A$8:$A$500=$A117)*('Budget original'!$C$3:$AO$3=F$2),'Budget original'!$C$8:$AO$500)</f>
        <v>678.59712754840746</v>
      </c>
      <c r="G117" s="302"/>
      <c r="H117" s="197">
        <f t="shared" ref="H117:H119" si="84">I117/G$96</f>
        <v>24.785639765065945</v>
      </c>
      <c r="I117" s="179">
        <f>+SUMPRODUCT(('Budget révisé'!$A$8:$A$500=$A117)*('Budget révisé'!$C$3:$AO$3=I$2),'Budget révisé'!$C$8:$AO$500)</f>
        <v>678.59712754840746</v>
      </c>
      <c r="J117" s="303"/>
      <c r="K117" s="197">
        <f t="shared" ref="K117:K119" si="85">IF($J$96=0,0,L117/(J$94+J$95))</f>
        <v>79.443333333333328</v>
      </c>
      <c r="L117" s="180">
        <f>SUMIFS(BV_Data_An_Cour!$P:$P,BV_Data_An_Cour!$U:$U,$B117,BV_Data_An_Cour!$V:$V,$C117,BV_Data_An_Cour!$W:$W,$L$2)</f>
        <v>1429.98</v>
      </c>
      <c r="M117" s="303"/>
      <c r="N117" s="304">
        <f t="shared" ref="N117:N119" si="86">L117-I117</f>
        <v>751.38287245159256</v>
      </c>
      <c r="O117" s="303"/>
      <c r="P117" s="197">
        <f t="shared" ref="P117:P119" si="87">IF($J$96=0,0,Q117/(O$94+O$95))</f>
        <v>35.275333333333336</v>
      </c>
      <c r="Q117" s="180">
        <f>SUMIFS(BV_Data_An_Prec!$P:$P,BV_Data_An_Prec!$U:$U,$B117,BV_Data_An_Prec!$V:$V,$C117,BV_Data_An_Prec!$W:$W,$L$2)</f>
        <v>529.13</v>
      </c>
      <c r="R117" s="303"/>
      <c r="S117" s="199">
        <f t="shared" ref="S117:S119" si="88">L117-Q117</f>
        <v>900.85</v>
      </c>
      <c r="T117" s="222"/>
      <c r="U117" s="222"/>
      <c r="V117" s="222"/>
      <c r="W117" s="96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original'!$A$8:$A$500=$A118)*('Budget original'!$C$3:$AO$3=F$2),'Budget original'!$C$8:$AO$500)</f>
        <v>0</v>
      </c>
      <c r="G118" s="302"/>
      <c r="H118" s="197">
        <f t="shared" si="84"/>
        <v>0</v>
      </c>
      <c r="I118" s="179">
        <f>+SUMPRODUCT(('Budget révisé'!$A$8:$A$500=$A118)*('Budget révisé'!$C$3:$AO$3=I$2),'Budget révisé'!$C$8:$AO$500)</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original'!$A$8:$A$500=$A119)*('Budget original'!$C$3:$AO$3=F$2),'Budget original'!$C$8:$AO$500)</f>
        <v>0</v>
      </c>
      <c r="G119" s="302"/>
      <c r="H119" s="197">
        <f t="shared" si="84"/>
        <v>0</v>
      </c>
      <c r="I119" s="179">
        <f>+SUMPRODUCT(('Budget révisé'!$A$8:$A$500=$A119)*('Budget révisé'!$C$3:$AO$3=I$2),'Budget révisé'!$C$8:$AO$500)</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original'!$A$8:$A$500=$A120)*('Budget original'!$C$3:$AO$3=F$2),'Budget original'!$C$8:$AO$500)</f>
        <v>0</v>
      </c>
      <c r="G120" s="302"/>
      <c r="H120" s="197">
        <f>I120/G$96</f>
        <v>0</v>
      </c>
      <c r="I120" s="179">
        <f>+SUMPRODUCT(('Budget révisé'!$A$8:$A$500=$A120)*('Budget révisé'!$C$3:$AO$3=I$2),'Budget révisé'!$C$8:$AO$500)</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0.41753829938829717</v>
      </c>
      <c r="F121" s="41">
        <f>SUM(F111:F120)</f>
        <v>37918.298583413576</v>
      </c>
      <c r="G121" s="42" t="s">
        <v>111</v>
      </c>
      <c r="H121" s="40">
        <f>I121/I$107</f>
        <v>0.41753829938829717</v>
      </c>
      <c r="I121" s="41">
        <f>SUM(I111:I120)</f>
        <v>37918.298583413576</v>
      </c>
      <c r="J121" s="42" t="s">
        <v>111</v>
      </c>
      <c r="K121" s="40">
        <f>L121/L$107</f>
        <v>0.36378945410441949</v>
      </c>
      <c r="L121" s="41">
        <f>SUM(L111:L120)</f>
        <v>37394.379999999997</v>
      </c>
      <c r="M121" s="44"/>
      <c r="N121" s="41">
        <f t="shared" si="79"/>
        <v>-523.91858341357874</v>
      </c>
      <c r="O121" s="42" t="s">
        <v>111</v>
      </c>
      <c r="P121" s="40">
        <f>Q121/Q$107</f>
        <v>0.57343177293442571</v>
      </c>
      <c r="Q121" s="41">
        <f>SUM(Q111:Q120)</f>
        <v>23013.480000000003</v>
      </c>
      <c r="R121" s="44"/>
      <c r="S121" s="316">
        <f t="shared" si="81"/>
        <v>14380.899999999994</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original'!$A$8:$A$500=$A122)*('Budget original'!$C$3:$AO$3=F$2),'Budget original'!$C$8:$AO$500)</f>
        <v>7896.8540229885057</v>
      </c>
      <c r="G122" s="303"/>
      <c r="H122" s="178"/>
      <c r="I122" s="179">
        <f>+SUMPRODUCT(('Budget révisé'!$A$8:$A$500=$A122)*('Budget révisé'!$C$3:$AO$3=I$2),'Budget révisé'!$C$8:$AO$500)</f>
        <v>7896.8540229885057</v>
      </c>
      <c r="J122" s="303"/>
      <c r="K122" s="178"/>
      <c r="L122" s="281">
        <f>SUMIFS(BV_Data_An_Cour!$P:$P,BV_Data_An_Cour!$U:$U,$B122,BV_Data_An_Cour!$V:$V,$C122,BV_Data_An_Cour!$W:$W,$L$2)</f>
        <v>6950.18</v>
      </c>
      <c r="M122" s="303"/>
      <c r="N122" s="304">
        <f t="shared" ref="N122:N152" si="89">L122-I122</f>
        <v>-946.67402298850539</v>
      </c>
      <c r="O122" s="303"/>
      <c r="P122" s="178"/>
      <c r="Q122" s="180">
        <f>SUMIFS(BV_Data_An_Prec!$P:$P,BV_Data_An_Prec!$U:$U,$B122,BV_Data_An_Prec!$V:$V,$C122,BV_Data_An_Prec!$W:$W,$L$2)</f>
        <v>11571</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original'!$A$8:$A$500=$A123)*('Budget original'!$C$3:$AO$3=F$2),'Budget original'!$C$8:$AO$500)</f>
        <v>2085.8013466436782</v>
      </c>
      <c r="G123" s="302"/>
      <c r="H123" s="178"/>
      <c r="I123" s="177">
        <f>+SUMPRODUCT(('Budget révisé'!$A$8:$A$500=$A123)*('Budget révisé'!$C$3:$AO$3=I$2),'Budget révisé'!$C$8:$AO$500)</f>
        <v>2085.8013466436782</v>
      </c>
      <c r="J123" s="303"/>
      <c r="K123" s="178"/>
      <c r="L123" s="177">
        <f>SUMIFS(BV_Data_An_Cour!$P:$P,BV_Data_An_Cour!$U:$U,$B123,BV_Data_An_Cour!$V:$V,$C123,BV_Data_An_Cour!$W:$W,$L$2)</f>
        <v>1774.29</v>
      </c>
      <c r="M123" s="303"/>
      <c r="N123" s="304">
        <f t="shared" si="89"/>
        <v>-311.51134664367828</v>
      </c>
      <c r="O123" s="303"/>
      <c r="P123" s="178"/>
      <c r="Q123" s="177">
        <f>SUMIFS(BV_Data_An_Prec!$P:$P,BV_Data_An_Prec!$U:$U,$B123,BV_Data_An_Prec!$V:$V,$C123,BV_Data_An_Prec!$W:$W,$L$2)</f>
        <v>2021.59</v>
      </c>
      <c r="R123" s="303"/>
      <c r="S123" s="199">
        <f t="shared" ref="S123:S152" si="90">L123-Q123</f>
        <v>-247.29999999999995</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original'!$A$8:$A$500=$A124)*('Budget original'!$C$3:$AO$3=F$2),'Budget original'!$C$8:$AO$500)</f>
        <v>7817.5317199080455</v>
      </c>
      <c r="G124" s="393"/>
      <c r="H124" s="352"/>
      <c r="I124" s="179">
        <f>+SUMPRODUCT(('Budget révisé'!$A$8:$A$500=$A124)*('Budget révisé'!$C$3:$AO$3=I$2),'Budget révisé'!$C$8:$AO$500)</f>
        <v>7817.5317199080455</v>
      </c>
      <c r="J124" s="368"/>
      <c r="K124" s="352"/>
      <c r="L124" s="281">
        <f>SUMIFS(BV_Data_An_Cour!$P:$P,BV_Data_An_Cour!$U:$U,$B124,BV_Data_An_Cour!$V:$V,$C124,BV_Data_An_Cour!$W:$W,$L$2)</f>
        <v>6981.02</v>
      </c>
      <c r="M124" s="368"/>
      <c r="N124" s="356">
        <f t="shared" si="89"/>
        <v>-836.51171990804505</v>
      </c>
      <c r="O124" s="368"/>
      <c r="P124" s="352"/>
      <c r="Q124" s="180">
        <f>SUMIFS(BV_Data_An_Prec!$P:$P,BV_Data_An_Prec!$U:$U,$B124,BV_Data_An_Prec!$V:$V,$C124,BV_Data_An_Prec!$W:$W,$L$2)</f>
        <v>5454.29</v>
      </c>
      <c r="R124" s="368"/>
      <c r="S124" s="201">
        <f t="shared" si="90"/>
        <v>1526.7300000000005</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original'!$A$8:$A$500=$A125)*('Budget original'!$C$3:$AO$3=F$2),'Budget original'!$C$8:$AO$500)</f>
        <v>0</v>
      </c>
      <c r="G125" s="302"/>
      <c r="H125" s="178"/>
      <c r="I125" s="179">
        <f>+SUMPRODUCT(('Budget révisé'!$A$8:$A$500=$A125)*('Budget révisé'!$C$3:$AO$3=I$2),'Budget révisé'!$C$8:$AO$500)</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original'!$A$8:$A$500=$A126)*('Budget original'!$C$3:$AO$3=F$2),'Budget original'!$C$8:$AO$500)</f>
        <v>0</v>
      </c>
      <c r="G126" s="302"/>
      <c r="H126" s="178"/>
      <c r="I126" s="179">
        <f>+SUMPRODUCT(('Budget révisé'!$A$8:$A$500=$A126)*('Budget révisé'!$C$3:$AO$3=I$2),'Budget révisé'!$C$8:$AO$500)</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original'!$A$8:$A$500=$A127)*('Budget original'!$C$3:$AO$3=F$2),'Budget original'!$C$8:$AO$500)</f>
        <v>0</v>
      </c>
      <c r="G127" s="302"/>
      <c r="H127" s="178"/>
      <c r="I127" s="179">
        <f>+SUMPRODUCT(('Budget révisé'!$A$8:$A$500=$A127)*('Budget révisé'!$C$3:$AO$3=I$2),'Budget révisé'!$C$8:$AO$500)</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original'!$A$8:$A$500=$A128)*('Budget original'!$C$3:$AO$3=F$2),'Budget original'!$C$8:$AO$500)</f>
        <v>0</v>
      </c>
      <c r="G128" s="302"/>
      <c r="H128" s="178"/>
      <c r="I128" s="179">
        <f>+SUMPRODUCT(('Budget révisé'!$A$8:$A$500=$A128)*('Budget révisé'!$C$3:$AO$3=I$2),'Budget révisé'!$C$8:$AO$500)</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original'!$A$8:$A$500=$A129)*('Budget original'!$C$3:$AO$3=F$2),'Budget original'!$C$8:$AO$500)</f>
        <v>5708.2175695350834</v>
      </c>
      <c r="G129" s="302"/>
      <c r="H129" s="178"/>
      <c r="I129" s="179">
        <f>+SUMPRODUCT(('Budget révisé'!$A$8:$A$500=$A129)*('Budget révisé'!$C$3:$AO$3=I$2),'Budget révisé'!$C$8:$AO$500)</f>
        <v>5708.2175695350834</v>
      </c>
      <c r="J129" s="303"/>
      <c r="K129" s="178"/>
      <c r="L129" s="180">
        <f>SUMIFS(BV_Data_An_Cour!$P:$P,BV_Data_An_Cour!$U:$U,$B129,BV_Data_An_Cour!$V:$V,$C129,BV_Data_An_Cour!$W:$W,$L$2)</f>
        <v>5707.93</v>
      </c>
      <c r="M129" s="303"/>
      <c r="N129" s="304">
        <f t="shared" si="92"/>
        <v>-0.2875695350830938</v>
      </c>
      <c r="O129" s="303"/>
      <c r="P129" s="178"/>
      <c r="Q129" s="180">
        <f>SUMIFS(BV_Data_An_Prec!$P:$P,BV_Data_An_Prec!$U:$U,$B129,BV_Data_An_Prec!$V:$V,$C129,BV_Data_An_Prec!$W:$W,$L$2)</f>
        <v>2069.35</v>
      </c>
      <c r="R129" s="303"/>
      <c r="S129" s="199">
        <f t="shared" si="93"/>
        <v>3638.5800000000004</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original'!$A$8:$A$500=$A130)*('Budget original'!$C$3:$AO$3=F$2),'Budget original'!$C$8:$AO$500)</f>
        <v>5112.2939585230188</v>
      </c>
      <c r="G130" s="287"/>
      <c r="H130" s="286"/>
      <c r="I130" s="632">
        <f>+SUMPRODUCT(('Budget révisé'!$A$8:$A$500=$A130)*('Budget révisé'!$C$3:$AO$3=I$2),'Budget révisé'!$C$8:$AO$500)</f>
        <v>5112.2939585230188</v>
      </c>
      <c r="J130" s="288"/>
      <c r="K130" s="286"/>
      <c r="L130" s="633">
        <f>SUMIFS(BV_Data_An_Cour!$P:$P,BV_Data_An_Cour!$U:$U,$B130,BV_Data_An_Cour!$V:$V,$C130,BV_Data_An_Cour!$W:$W,$L$2)</f>
        <v>6041.59</v>
      </c>
      <c r="M130" s="288"/>
      <c r="N130" s="356">
        <f t="shared" si="89"/>
        <v>929.29604147698137</v>
      </c>
      <c r="O130" s="288"/>
      <c r="P130" s="286"/>
      <c r="Q130" s="633">
        <f>SUMIFS(BV_Data_An_Prec!$P:$P,BV_Data_An_Prec!$U:$U,$B130,BV_Data_An_Prec!$V:$V,$C130,BV_Data_An_Prec!$W:$W,$L$2)</f>
        <v>2743.13</v>
      </c>
      <c r="R130" s="288"/>
      <c r="S130" s="290">
        <f t="shared" si="90"/>
        <v>3298.46</v>
      </c>
      <c r="T130" s="222"/>
      <c r="U130" s="968">
        <f>L130-Print_Mois!L130</f>
        <v>0</v>
      </c>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original'!$A$8:$A$500=$A131)*('Budget original'!$C$3:$AO$3=F$2),'Budget original'!$C$8:$AO$500)</f>
        <v>4059.7628494153387</v>
      </c>
      <c r="G131" s="283"/>
      <c r="H131" s="233"/>
      <c r="I131" s="231">
        <f>+SUMPRODUCT(('Budget révisé'!$A$8:$A$500=$A131)*('Budget révisé'!$C$3:$AO$3=I$2),'Budget révisé'!$C$8:$AO$500)</f>
        <v>4059.7628494153387</v>
      </c>
      <c r="J131" s="227"/>
      <c r="K131" s="233"/>
      <c r="L131" s="281">
        <f>SUMIFS(BV_Data_An_Cour!$P:$P,BV_Data_An_Cour!$U:$U,$B131,BV_Data_An_Cour!$V:$V,$C131,BV_Data_An_Cour!$W:$W,$L$2)</f>
        <v>3226.35</v>
      </c>
      <c r="M131" s="227"/>
      <c r="N131" s="304">
        <f t="shared" si="89"/>
        <v>-833.41284941533877</v>
      </c>
      <c r="O131" s="227"/>
      <c r="P131" s="233"/>
      <c r="Q131" s="281">
        <f>SUMIFS(BV_Data_An_Prec!$P:$P,BV_Data_An_Prec!$U:$U,$B131,BV_Data_An_Prec!$V:$V,$C131,BV_Data_An_Prec!$W:$W,$L$2)</f>
        <v>2196</v>
      </c>
      <c r="R131" s="227"/>
      <c r="S131" s="284">
        <f t="shared" si="90"/>
        <v>1030.3499999999999</v>
      </c>
      <c r="T131" s="233"/>
      <c r="U131" s="968">
        <f>L131-Print_Mois!L131</f>
        <v>0</v>
      </c>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original'!$A$8:$A$500=$A132)*('Budget original'!$C$3:$AO$3=F$2),'Budget original'!$C$8:$AO$500)</f>
        <v>1653.9774571692121</v>
      </c>
      <c r="G132" s="283"/>
      <c r="H132" s="233"/>
      <c r="I132" s="231">
        <f>+SUMPRODUCT(('Budget révisé'!$A$8:$A$500=$A132)*('Budget révisé'!$C$3:$AO$3=I$2),'Budget révisé'!$C$8:$AO$500)</f>
        <v>1653.9774571692121</v>
      </c>
      <c r="J132" s="227"/>
      <c r="K132" s="233"/>
      <c r="L132" s="281">
        <f>SUMIFS(BV_Data_An_Cour!$P:$P,BV_Data_An_Cour!$U:$U,$B132,BV_Data_An_Cour!$V:$V,$C132,BV_Data_An_Cour!$W:$W,$L$2)</f>
        <v>1748.62</v>
      </c>
      <c r="M132" s="227"/>
      <c r="N132" s="304">
        <f t="shared" si="89"/>
        <v>94.642542830787761</v>
      </c>
      <c r="O132" s="227"/>
      <c r="P132" s="233"/>
      <c r="Q132" s="281">
        <f>SUMIFS(BV_Data_An_Prec!$P:$P,BV_Data_An_Prec!$U:$U,$B132,BV_Data_An_Prec!$V:$V,$C132,BV_Data_An_Prec!$W:$W,$L$2)</f>
        <v>0</v>
      </c>
      <c r="R132" s="227"/>
      <c r="S132" s="284">
        <f t="shared" si="90"/>
        <v>1748.62</v>
      </c>
      <c r="T132" s="233"/>
      <c r="U132" s="968">
        <f>L132-Print_Mois!L132</f>
        <v>0</v>
      </c>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original'!$A$8:$A$500=$A133)*('Budget original'!$C$3:$AO$3=F$2),'Budget original'!$C$8:$AO$500)</f>
        <v>0</v>
      </c>
      <c r="G133" s="294"/>
      <c r="H133" s="293"/>
      <c r="I133" s="231">
        <f>+SUMPRODUCT(('Budget révisé'!$A$8:$A$500=$A133)*('Budget révisé'!$C$3:$AO$3=I$2),'Budget révisé'!$C$8:$AO$500)</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0.37807453853231643</v>
      </c>
      <c r="F134" s="41">
        <f>+SUM(F122:F133)</f>
        <v>34334.438924182883</v>
      </c>
      <c r="G134" s="42" t="s">
        <v>111</v>
      </c>
      <c r="H134" s="40">
        <f>I134/I$107</f>
        <v>0.37807453853231643</v>
      </c>
      <c r="I134" s="41">
        <f>+SUM(I122:I133)</f>
        <v>34334.438924182883</v>
      </c>
      <c r="J134" s="42" t="s">
        <v>111</v>
      </c>
      <c r="K134" s="40">
        <f>L134/L$107</f>
        <v>0.31549352391501723</v>
      </c>
      <c r="L134" s="41">
        <f>SUM(L122:L133)</f>
        <v>32429.98</v>
      </c>
      <c r="M134" s="43"/>
      <c r="N134" s="46">
        <f t="shared" si="89"/>
        <v>-1904.4589241828835</v>
      </c>
      <c r="O134" s="42" t="s">
        <v>111</v>
      </c>
      <c r="P134" s="40">
        <f>Q134/Q$107</f>
        <v>0.64922694348028709</v>
      </c>
      <c r="Q134" s="41">
        <f>SUM(Q122:Q133)</f>
        <v>26055.360000000001</v>
      </c>
      <c r="R134" s="43"/>
      <c r="S134" s="299">
        <f t="shared" si="90"/>
        <v>6374.619999999999</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original'!$A$8:$A$500=$A135)*('Budget original'!$C$3:$AO$3=F$2),'Budget original'!$C$8:$AO$500)</f>
        <v>0</v>
      </c>
      <c r="G135" s="302"/>
      <c r="H135" s="178"/>
      <c r="I135" s="179">
        <f>+SUMPRODUCT(('Budget révisé'!$A$8:$A$500=$A135)*('Budget révisé'!$C$3:$AO$3=I$2),'Budget révisé'!$C$8:$AO$500)</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original'!$A$8:$A$500=$A136)*('Budget original'!$C$3:$AO$3=F$2),'Budget original'!$C$8:$AO$500)</f>
        <v>0</v>
      </c>
      <c r="G136" s="302"/>
      <c r="H136" s="178"/>
      <c r="I136" s="179">
        <f>+SUMPRODUCT(('Budget révisé'!$A$8:$A$500=$A136)*('Budget révisé'!$C$3:$AO$3=I$2),'Budget révisé'!$C$8:$AO$500)</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original'!$A$8:$A$500=$A137)*('Budget original'!$C$3:$AO$3=F$2),'Budget original'!$C$8:$AO$500)</f>
        <v>125.03999999999999</v>
      </c>
      <c r="G137" s="309"/>
      <c r="H137" s="308"/>
      <c r="I137" s="177">
        <f>+SUMPRODUCT(('Budget révisé'!$A$8:$A$500=$A137)*('Budget révisé'!$C$3:$AO$3=I$2),'Budget révisé'!$C$8:$AO$500)</f>
        <v>125.03999999999999</v>
      </c>
      <c r="J137" s="310"/>
      <c r="K137" s="308"/>
      <c r="L137" s="244">
        <f>SUMIFS(BV_Data_An_Cour!$P:$P,BV_Data_An_Cour!$U:$U,$B137,BV_Data_An_Cour!$V:$V,$C137,BV_Data_An_Cour!$W:$W,$L$2)</f>
        <v>132.36000000000001</v>
      </c>
      <c r="M137" s="310"/>
      <c r="N137" s="311">
        <f t="shared" si="89"/>
        <v>7.3200000000000216</v>
      </c>
      <c r="O137" s="310"/>
      <c r="P137" s="308"/>
      <c r="Q137" s="177">
        <f>SUMIFS(BV_Data_An_Prec!$P:$P,BV_Data_An_Prec!$U:$U,$B137,BV_Data_An_Prec!$V:$V,$C137,BV_Data_An_Prec!$W:$W,$L$2)</f>
        <v>-409.62</v>
      </c>
      <c r="R137" s="310"/>
      <c r="S137" s="202">
        <f t="shared" si="90"/>
        <v>541.98</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original'!$A$8:$A$500=$A138)*('Budget original'!$C$3:$AO$3=F$2),'Budget original'!$C$8:$AO$500)</f>
        <v>2428.3689099999997</v>
      </c>
      <c r="G138" s="302"/>
      <c r="H138" s="178"/>
      <c r="I138" s="179">
        <f>+SUMPRODUCT(('Budget révisé'!$A$8:$A$500=$A138)*('Budget révisé'!$C$3:$AO$3=I$2),'Budget révisé'!$C$8:$AO$500)</f>
        <v>2428.3689099999997</v>
      </c>
      <c r="J138" s="303"/>
      <c r="K138" s="178"/>
      <c r="L138" s="281">
        <f>SUMIFS(BV_Data_An_Cour!$P:$P,BV_Data_An_Cour!$U:$U,$B138,BV_Data_An_Cour!$V:$V,$C138,BV_Data_An_Cour!$W:$W,$L$2)</f>
        <v>2579.3000000000002</v>
      </c>
      <c r="M138" s="303"/>
      <c r="N138" s="304">
        <f t="shared" si="89"/>
        <v>150.93109000000049</v>
      </c>
      <c r="O138" s="303"/>
      <c r="P138" s="178"/>
      <c r="Q138" s="180">
        <f>SUMIFS(BV_Data_An_Prec!$P:$P,BV_Data_An_Prec!$U:$U,$B138,BV_Data_An_Prec!$V:$V,$C138,BV_Data_An_Prec!$W:$W,$L$2)</f>
        <v>2438.41</v>
      </c>
      <c r="R138" s="303"/>
      <c r="S138" s="199">
        <f t="shared" si="90"/>
        <v>140.89000000000033</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original'!$A$8:$A$500=$A139)*('Budget original'!$C$3:$AO$3=F$2),'Budget original'!$C$8:$AO$500)</f>
        <v>297.05317500000001</v>
      </c>
      <c r="G139" s="302"/>
      <c r="H139" s="178"/>
      <c r="I139" s="179">
        <f>+SUMPRODUCT(('Budget révisé'!$A$8:$A$500=$A139)*('Budget révisé'!$C$3:$AO$3=I$2),'Budget révisé'!$C$8:$AO$500)</f>
        <v>297.05317500000001</v>
      </c>
      <c r="J139" s="303"/>
      <c r="K139" s="178"/>
      <c r="L139" s="281">
        <f>SUMIFS(BV_Data_An_Cour!$P:$P,BV_Data_An_Cour!$U:$U,$B139,BV_Data_An_Cour!$V:$V,$C139,BV_Data_An_Cour!$W:$W,$L$2)</f>
        <v>110.15</v>
      </c>
      <c r="M139" s="303"/>
      <c r="N139" s="304">
        <f t="shared" si="89"/>
        <v>-186.903175</v>
      </c>
      <c r="O139" s="303"/>
      <c r="P139" s="178"/>
      <c r="Q139" s="180">
        <f>SUMIFS(BV_Data_An_Prec!$P:$P,BV_Data_An_Prec!$U:$U,$B139,BV_Data_An_Prec!$V:$V,$C139,BV_Data_An_Prec!$W:$W,$L$2)</f>
        <v>23.26</v>
      </c>
      <c r="R139" s="303"/>
      <c r="S139" s="199">
        <f t="shared" si="90"/>
        <v>86.89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original'!$A$8:$A$500=$A140)*('Budget original'!$C$3:$AO$3=F$2),'Budget original'!$C$8:$AO$500)</f>
        <v>1533.2706666666666</v>
      </c>
      <c r="G140" s="309"/>
      <c r="H140" s="308"/>
      <c r="I140" s="177">
        <f>+SUMPRODUCT(('Budget révisé'!$A$8:$A$500=$A140)*('Budget révisé'!$C$3:$AO$3=I$2),'Budget révisé'!$C$8:$AO$500)</f>
        <v>1533.2706666666666</v>
      </c>
      <c r="J140" s="310"/>
      <c r="K140" s="308"/>
      <c r="L140" s="244">
        <f>SUMIFS(BV_Data_An_Cour!$P:$P,BV_Data_An_Cour!$U:$U,$B140,BV_Data_An_Cour!$V:$V,$C140,BV_Data_An_Cour!$W:$W,$L$2)</f>
        <v>935.28</v>
      </c>
      <c r="M140" s="310"/>
      <c r="N140" s="311">
        <f t="shared" si="89"/>
        <v>-597.99066666666658</v>
      </c>
      <c r="O140" s="310"/>
      <c r="P140" s="308"/>
      <c r="Q140" s="177">
        <f>SUMIFS(BV_Data_An_Prec!$P:$P,BV_Data_An_Prec!$U:$U,$B140,BV_Data_An_Prec!$V:$V,$C140,BV_Data_An_Prec!$W:$W,$L$2)</f>
        <v>798.93</v>
      </c>
      <c r="R140" s="310"/>
      <c r="S140" s="202">
        <f t="shared" si="90"/>
        <v>136.35000000000002</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original'!$A$8:$A$500=$A141)*('Budget original'!$C$3:$AO$3=F$2),'Budget original'!$C$8:$AO$500)</f>
        <v>50.536579190711528</v>
      </c>
      <c r="G141" s="302"/>
      <c r="H141" s="178"/>
      <c r="I141" s="179">
        <f>+SUMPRODUCT(('Budget révisé'!$A$8:$A$500=$A141)*('Budget révisé'!$C$3:$AO$3=I$2),'Budget révisé'!$C$8:$AO$500)</f>
        <v>50.536579190711528</v>
      </c>
      <c r="J141" s="303"/>
      <c r="K141" s="178"/>
      <c r="L141" s="281">
        <f>SUMIFS(BV_Data_An_Cour!$P:$P,BV_Data_An_Cour!$U:$U,$B141,BV_Data_An_Cour!$V:$V,$C141,BV_Data_An_Cour!$W:$W,$L$2)</f>
        <v>130.66</v>
      </c>
      <c r="M141" s="303"/>
      <c r="N141" s="304">
        <f t="shared" si="89"/>
        <v>80.123420809288461</v>
      </c>
      <c r="O141" s="303"/>
      <c r="P141" s="178"/>
      <c r="Q141" s="180">
        <f>SUMIFS(BV_Data_An_Prec!$P:$P,BV_Data_An_Prec!$U:$U,$B141,BV_Data_An_Prec!$V:$V,$C141,BV_Data_An_Prec!$W:$W,$L$2)</f>
        <v>0</v>
      </c>
      <c r="R141" s="303"/>
      <c r="S141" s="199">
        <f t="shared" si="90"/>
        <v>130.66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original'!$A$8:$A$500=$A142)*('Budget original'!$C$3:$AO$3=F$2),'Budget original'!$C$8:$AO$500)</f>
        <v>26.853809687373364</v>
      </c>
      <c r="G142" s="302"/>
      <c r="H142" s="178"/>
      <c r="I142" s="179">
        <f>+SUMPRODUCT(('Budget révisé'!$A$8:$A$500=$A142)*('Budget révisé'!$C$3:$AO$3=I$2),'Budget révisé'!$C$8:$AO$500)</f>
        <v>26.853809687373364</v>
      </c>
      <c r="J142" s="303"/>
      <c r="K142" s="178"/>
      <c r="L142" s="281">
        <f>SUMIFS(BV_Data_An_Cour!$P:$P,BV_Data_An_Cour!$U:$U,$B142,BV_Data_An_Cour!$V:$V,$C142,BV_Data_An_Cour!$W:$W,$L$2)</f>
        <v>0</v>
      </c>
      <c r="M142" s="303"/>
      <c r="N142" s="304">
        <f t="shared" si="89"/>
        <v>-26.853809687373364</v>
      </c>
      <c r="O142" s="303"/>
      <c r="P142" s="178"/>
      <c r="Q142" s="180">
        <f>SUMIFS(BV_Data_An_Prec!$P:$P,BV_Data_An_Prec!$U:$U,$B142,BV_Data_An_Prec!$V:$V,$C142,BV_Data_An_Prec!$W:$W,$L$2)</f>
        <v>0</v>
      </c>
      <c r="R142" s="303"/>
      <c r="S142" s="199">
        <f t="shared" si="90"/>
        <v>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original'!$A$8:$A$500=$A143)*('Budget original'!$C$3:$AO$3=F$2),'Budget original'!$C$8:$AO$500)</f>
        <v>244.82411999999999</v>
      </c>
      <c r="G143" s="302"/>
      <c r="H143" s="178"/>
      <c r="I143" s="179">
        <f>+SUMPRODUCT(('Budget révisé'!$A$8:$A$500=$A143)*('Budget révisé'!$C$3:$AO$3=I$2),'Budget révisé'!$C$8:$AO$500)</f>
        <v>244.82411999999999</v>
      </c>
      <c r="J143" s="303"/>
      <c r="K143" s="178"/>
      <c r="L143" s="974">
        <f>SUMIFS(BV_Data_An_Cour!$P:$P,BV_Data_An_Cour!$U:$U,$B143,BV_Data_An_Cour!$V:$V,$C143,BV_Data_An_Cour!$W:$W,$L$2)</f>
        <v>317.22000000000003</v>
      </c>
      <c r="M143" s="303"/>
      <c r="N143" s="304">
        <f t="shared" si="89"/>
        <v>72.395880000000034</v>
      </c>
      <c r="O143" s="303"/>
      <c r="P143" s="178"/>
      <c r="Q143" s="554">
        <f>SUMIFS(BV_Data_An_Prec!$P:$P,BV_Data_An_Prec!$U:$U,$B143,BV_Data_An_Prec!$V:$V,$C143,BV_Data_An_Prec!$W:$W,$L$2)</f>
        <v>93.33</v>
      </c>
      <c r="R143" s="303"/>
      <c r="S143" s="199">
        <f t="shared" si="90"/>
        <v>223.89000000000004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original'!$A$8:$A$500=$A144)*('Budget original'!$C$3:$AO$3=F$2),'Budget original'!$C$8:$AO$500)</f>
        <v>113.04919750000001</v>
      </c>
      <c r="G144" s="302"/>
      <c r="H144" s="178"/>
      <c r="I144" s="179">
        <f>+SUMPRODUCT(('Budget révisé'!$A$8:$A$500=$A144)*('Budget révisé'!$C$3:$AO$3=I$2),'Budget révisé'!$C$8:$AO$500)</f>
        <v>113.04919750000001</v>
      </c>
      <c r="J144" s="303"/>
      <c r="K144" s="178"/>
      <c r="L144" s="281">
        <f>SUMIFS(BV_Data_An_Cour!$P:$P,BV_Data_An_Cour!$U:$U,$B144,BV_Data_An_Cour!$V:$V,$C144,BV_Data_An_Cour!$W:$W,$L$2)</f>
        <v>39.049999999999997</v>
      </c>
      <c r="M144" s="303"/>
      <c r="N144" s="304">
        <f t="shared" si="89"/>
        <v>-73.999197500000008</v>
      </c>
      <c r="O144" s="303"/>
      <c r="P144" s="178"/>
      <c r="Q144" s="180">
        <f>SUMIFS(BV_Data_An_Prec!$P:$P,BV_Data_An_Prec!$U:$U,$B144,BV_Data_An_Prec!$V:$V,$C144,BV_Data_An_Prec!$W:$W,$L$2)</f>
        <v>123.27</v>
      </c>
      <c r="R144" s="303"/>
      <c r="S144" s="199">
        <f t="shared" si="90"/>
        <v>-84.22</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original'!$A$8:$A$500=$A145)*('Budget original'!$C$3:$AO$3=F$2),'Budget original'!$C$8:$AO$500)</f>
        <v>60.343902499999984</v>
      </c>
      <c r="G145" s="302"/>
      <c r="H145" s="178"/>
      <c r="I145" s="179">
        <f>+SUMPRODUCT(('Budget révisé'!$A$8:$A$500=$A145)*('Budget révisé'!$C$3:$AO$3=I$2),'Budget révisé'!$C$8:$AO$500)</f>
        <v>60.343902499999984</v>
      </c>
      <c r="J145" s="303"/>
      <c r="K145" s="178"/>
      <c r="L145" s="281">
        <f>SUMIFS(BV_Data_An_Cour!$P:$P,BV_Data_An_Cour!$U:$U,$B145,BV_Data_An_Cour!$V:$V,$C145,BV_Data_An_Cour!$W:$W,$L$2)</f>
        <v>18.21</v>
      </c>
      <c r="M145" s="303"/>
      <c r="N145" s="304">
        <f t="shared" si="89"/>
        <v>-42.133902499999984</v>
      </c>
      <c r="O145" s="303"/>
      <c r="P145" s="178"/>
      <c r="Q145" s="180">
        <f>SUMIFS(BV_Data_An_Prec!$P:$P,BV_Data_An_Prec!$U:$U,$B145,BV_Data_An_Prec!$V:$V,$C145,BV_Data_An_Prec!$W:$W,$L$2)</f>
        <v>38.65</v>
      </c>
      <c r="R145" s="303"/>
      <c r="S145" s="199">
        <f t="shared" si="90"/>
        <v>-20.439999999999998</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original'!$A$8:$A$500=$A146)*('Budget original'!$C$3:$AO$3=F$2),'Budget original'!$C$8:$AO$500)</f>
        <v>291.0875974999999</v>
      </c>
      <c r="G146" s="302"/>
      <c r="H146" s="178"/>
      <c r="I146" s="179">
        <f>+SUMPRODUCT(('Budget révisé'!$A$8:$A$500=$A146)*('Budget révisé'!$C$3:$AO$3=I$2),'Budget révisé'!$C$8:$AO$500)</f>
        <v>291.0875974999999</v>
      </c>
      <c r="J146" s="303"/>
      <c r="K146" s="178"/>
      <c r="L146" s="281">
        <f>SUMIFS(BV_Data_An_Cour!$P:$P,BV_Data_An_Cour!$U:$U,$B146,BV_Data_An_Cour!$V:$V,$C146,BV_Data_An_Cour!$W:$W,$L$2)</f>
        <v>124.27</v>
      </c>
      <c r="M146" s="303"/>
      <c r="N146" s="304">
        <f t="shared" si="89"/>
        <v>-166.81759749999992</v>
      </c>
      <c r="O146" s="303"/>
      <c r="P146" s="178"/>
      <c r="Q146" s="180">
        <f>SUMIFS(BV_Data_An_Prec!$P:$P,BV_Data_An_Prec!$U:$U,$B146,BV_Data_An_Prec!$V:$V,$C146,BV_Data_An_Prec!$W:$W,$L$2)</f>
        <v>94.62</v>
      </c>
      <c r="R146" s="303"/>
      <c r="S146" s="199">
        <f t="shared" si="90"/>
        <v>29.649999999999991</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original'!$A$8:$A$500=$A147)*('Budget original'!$C$3:$AO$3=F$2),'Budget original'!$C$8:$AO$500)</f>
        <v>432.47109999999998</v>
      </c>
      <c r="G147" s="302"/>
      <c r="H147" s="178"/>
      <c r="I147" s="179">
        <f>+SUMPRODUCT(('Budget révisé'!$A$8:$A$500=$A147)*('Budget révisé'!$C$3:$AO$3=I$2),'Budget révisé'!$C$8:$AO$500)</f>
        <v>432.47109999999998</v>
      </c>
      <c r="J147" s="303"/>
      <c r="K147" s="178"/>
      <c r="L147" s="281">
        <f>SUMIFS(BV_Data_An_Cour!$P:$P,BV_Data_An_Cour!$U:$U,$B147,BV_Data_An_Cour!$V:$V,$C147,BV_Data_An_Cour!$W:$W,$L$2)</f>
        <v>38.28</v>
      </c>
      <c r="M147" s="303"/>
      <c r="N147" s="304">
        <f t="shared" si="89"/>
        <v>-394.19110000000001</v>
      </c>
      <c r="O147" s="303"/>
      <c r="P147" s="178"/>
      <c r="Q147" s="180">
        <f>SUMIFS(BV_Data_An_Prec!$P:$P,BV_Data_An_Prec!$U:$U,$B147,BV_Data_An_Prec!$V:$V,$C147,BV_Data_An_Prec!$W:$W,$L$2)</f>
        <v>10.62</v>
      </c>
      <c r="R147" s="303"/>
      <c r="S147" s="199">
        <f t="shared" si="90"/>
        <v>27.660000000000004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original'!$A$8:$A$500=$A148)*('Budget original'!$C$3:$AO$3=F$2),'Budget original'!$C$8:$AO$500)</f>
        <v>631.21397587732326</v>
      </c>
      <c r="G148" s="302"/>
      <c r="H148" s="178"/>
      <c r="I148" s="179">
        <f>+SUMPRODUCT(('Budget révisé'!$A$8:$A$500=$A148)*('Budget révisé'!$C$3:$AO$3=I$2),'Budget révisé'!$C$8:$AO$500)</f>
        <v>631.21397587732326</v>
      </c>
      <c r="J148" s="303"/>
      <c r="K148" s="178"/>
      <c r="L148" s="281">
        <f>AF447*W4</f>
        <v>498.1</v>
      </c>
      <c r="M148" s="303"/>
      <c r="N148" s="304">
        <f t="shared" ref="N148:N151" si="95">L148-I148</f>
        <v>-133.11397587732324</v>
      </c>
      <c r="O148" s="303"/>
      <c r="P148" s="178"/>
      <c r="Q148" s="180">
        <f>AL447*W4</f>
        <v>428.12200000000007</v>
      </c>
      <c r="R148" s="303"/>
      <c r="S148" s="199">
        <f t="shared" ref="S148:S151" si="96">L148-Q148</f>
        <v>69.977999999999952</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original'!$A$8:$A$500=$A149)*('Budget original'!$C$3:$AO$3=F$2),'Budget original'!$C$8:$AO$500)</f>
        <v>0</v>
      </c>
      <c r="G149" s="302"/>
      <c r="H149" s="178"/>
      <c r="I149" s="179">
        <f>+SUMPRODUCT(('Budget révisé'!$A$8:$A$500=$A149)*('Budget révisé'!$C$3:$AO$3=I$2),'Budget révisé'!$C$8:$AO$500)</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original'!$A$8:$A$500=$A150)*('Budget original'!$C$3:$AO$3=F$2),'Budget original'!$C$8:$AO$500)</f>
        <v>0</v>
      </c>
      <c r="G150" s="302"/>
      <c r="H150" s="178"/>
      <c r="I150" s="179">
        <f>+SUMPRODUCT(('Budget révisé'!$A$8:$A$500=$A150)*('Budget révisé'!$C$3:$AO$3=I$2),'Budget révisé'!$C$8:$AO$500)</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original'!$A$8:$A$500=$A151)*('Budget original'!$C$3:$AO$3=F$2),'Budget original'!$C$8:$AO$500)</f>
        <v>0</v>
      </c>
      <c r="G151" s="302"/>
      <c r="H151" s="178"/>
      <c r="I151" s="179">
        <f>+SUMPRODUCT(('Budget révisé'!$A$8:$A$500=$A151)*('Budget révisé'!$C$3:$AO$3=I$2),'Budget révisé'!$C$8:$AO$500)</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6.864709260760056E-2</v>
      </c>
      <c r="F152" s="41">
        <f>+SUM(F135:F151)</f>
        <v>6234.1130339220745</v>
      </c>
      <c r="G152" s="42" t="s">
        <v>111</v>
      </c>
      <c r="H152" s="40">
        <f>I152/I$107</f>
        <v>6.864709260760056E-2</v>
      </c>
      <c r="I152" s="41">
        <f>+SUM(I135:I151)</f>
        <v>6234.1130339220745</v>
      </c>
      <c r="J152" s="42" t="s">
        <v>111</v>
      </c>
      <c r="K152" s="40">
        <f>L152/L$107</f>
        <v>4.7892004836597508E-2</v>
      </c>
      <c r="L152" s="41">
        <f>+SUM(L135:L151)</f>
        <v>4922.880000000001</v>
      </c>
      <c r="M152" s="44"/>
      <c r="N152" s="41">
        <f t="shared" si="89"/>
        <v>-1311.2330339220734</v>
      </c>
      <c r="O152" s="42" t="s">
        <v>111</v>
      </c>
      <c r="P152" s="40">
        <f>Q152/Q$107</f>
        <v>9.0688487500280357E-2</v>
      </c>
      <c r="Q152" s="41">
        <f>+SUM(Q135:Q151)</f>
        <v>3639.5919999999996</v>
      </c>
      <c r="R152" s="44"/>
      <c r="S152" s="316">
        <f t="shared" si="90"/>
        <v>1283.2880000000014</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0.86425993052821415</v>
      </c>
      <c r="F154" s="41">
        <f>F121+F134+F152</f>
        <v>78486.850541518535</v>
      </c>
      <c r="G154" s="42" t="s">
        <v>111</v>
      </c>
      <c r="H154" s="40">
        <f>I154/I$107</f>
        <v>0.86425993052821415</v>
      </c>
      <c r="I154" s="41">
        <f>I121+I134+I152</f>
        <v>78486.850541518535</v>
      </c>
      <c r="J154" s="42" t="s">
        <v>111</v>
      </c>
      <c r="K154" s="40">
        <f>L154/L$107</f>
        <v>0.72717498285603432</v>
      </c>
      <c r="L154" s="41">
        <f>L121+L134+L152</f>
        <v>74747.240000000005</v>
      </c>
      <c r="M154" s="44"/>
      <c r="N154" s="46">
        <f>L154-I154</f>
        <v>-3739.6105415185302</v>
      </c>
      <c r="O154" s="42" t="s">
        <v>111</v>
      </c>
      <c r="P154" s="40">
        <f>Q154/Q$107</f>
        <v>1.3133472039149932</v>
      </c>
      <c r="Q154" s="41">
        <f>Q121+Q134+Q152</f>
        <v>52708.432000000001</v>
      </c>
      <c r="R154" s="44"/>
      <c r="S154" s="299">
        <f>L154-Q154</f>
        <v>22038.808000000005</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original'!$A$8:$A$500=$A155)*('Budget original'!$C$3:$AO$3=F$2),'Budget original'!$C$8:$AO$500)</f>
        <v>0</v>
      </c>
      <c r="G155" s="416"/>
      <c r="H155" s="415"/>
      <c r="I155" s="179">
        <f>+SUMPRODUCT(('Budget révisé'!$A$8:$A$500=$A155)*('Budget révisé'!$C$3:$AO$3=I$2),'Budget révisé'!$C$8:$AO$500)</f>
        <v>0</v>
      </c>
      <c r="J155" s="416"/>
      <c r="K155" s="975"/>
      <c r="L155" s="974">
        <v>0</v>
      </c>
      <c r="M155" s="303"/>
      <c r="N155" s="304">
        <f t="shared" ref="N155:N157" si="97">L155-I155</f>
        <v>0</v>
      </c>
      <c r="O155" s="416"/>
      <c r="P155" s="415"/>
      <c r="Q155" s="180">
        <f>-SUMIFS(BV_Data_An_Prec!$P:$P,BV_Data_An_Prec!$U:$U,$B155,BV_Data_An_Prec!$V:$V,$C155,BV_Data_An_Prec!$W:$W,$L$2)</f>
        <v>0</v>
      </c>
      <c r="R155" s="303"/>
      <c r="S155" s="199">
        <f t="shared" ref="S155:S157" si="98">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original'!$A$8:$A$500=$A156)*('Budget original'!$C$3:$AO$3=F$2),'Budget original'!$C$8:$AO$500)</f>
        <v>0</v>
      </c>
      <c r="G156" s="416"/>
      <c r="H156" s="415"/>
      <c r="I156" s="179">
        <f>+SUMPRODUCT(('Budget révisé'!$A$8:$A$500=$A156)*('Budget révisé'!$C$3:$AO$3=I$2),'Budget révisé'!$C$8:$AO$500)</f>
        <v>0</v>
      </c>
      <c r="J156" s="416"/>
      <c r="K156" s="97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original'!$A$8:$A$500=$A157)*('Budget original'!$C$3:$AO$3=F$2),'Budget original'!$C$8:$AO$500)</f>
        <v>0</v>
      </c>
      <c r="G157" s="302"/>
      <c r="H157" s="178"/>
      <c r="I157" s="179">
        <f>+SUMPRODUCT(('Budget révisé'!$A$8:$A$500=$A157)*('Budget révisé'!$C$3:$AO$3=I$2),'Budget révisé'!$C$8:$AO$500)</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original'!$A$8:$A$500=$A158)*('Budget original'!$C$3:$AO$3=F$2),'Budget original'!$C$8:$AO$500)</f>
        <v>9831.6699029126212</v>
      </c>
      <c r="G158" s="302"/>
      <c r="H158" s="178"/>
      <c r="I158" s="179">
        <f>+SUMPRODUCT(('Budget révisé'!$A$8:$A$500=$A158)*('Budget révisé'!$C$3:$AO$3=I$2),'Budget révisé'!$C$8:$AO$500)</f>
        <v>9831.6699029126212</v>
      </c>
      <c r="J158" s="303"/>
      <c r="K158" s="233"/>
      <c r="L158" s="974">
        <f>349*J96</f>
        <v>6282</v>
      </c>
      <c r="M158" s="303"/>
      <c r="N158" s="304">
        <f t="shared" ref="N158" si="100">L158-I158</f>
        <v>-3549.6699029126212</v>
      </c>
      <c r="O158" s="303"/>
      <c r="P158" s="178"/>
      <c r="Q158" s="180">
        <f>349*O96</f>
        <v>5235</v>
      </c>
      <c r="R158" s="303"/>
      <c r="S158" s="199">
        <f t="shared" ref="S158" si="101">L158-Q158</f>
        <v>1047</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original'!$A$8:$A$500=$A159)*('Budget original'!$C$3:$AO$3=F$2),'Budget original'!$C$8:$AO$500)</f>
        <v>0</v>
      </c>
      <c r="G159" s="302"/>
      <c r="H159" s="178"/>
      <c r="I159" s="179">
        <f>+SUMPRODUCT(('Budget révisé'!$A$8:$A$500=$A159)*('Budget révisé'!$C$3:$AO$3=I$2),'Budget révisé'!$C$8:$AO$500)</f>
        <v>0</v>
      </c>
      <c r="J159" s="303"/>
      <c r="K159" s="233"/>
      <c r="L159" s="97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original'!$A$8:$A$500=$A160)*('Budget original'!$C$3:$AO$3=F$2),'Budget original'!$C$8:$AO$500)</f>
        <v>0</v>
      </c>
      <c r="G160" s="302"/>
      <c r="H160" s="178"/>
      <c r="I160" s="179">
        <f>+SUMPRODUCT(('Budget révisé'!$A$8:$A$500=$A160)*('Budget révisé'!$C$3:$AO$3=I$2),'Budget révisé'!$C$8:$AO$500)</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original'!$A$8:$A$500=$A161)*('Budget original'!$C$3:$AO$3=F$2),'Budget original'!$C$8:$AO$500)</f>
        <v>0</v>
      </c>
      <c r="G161" s="302"/>
      <c r="H161" s="178"/>
      <c r="I161" s="179">
        <f>+SUMPRODUCT(('Budget révisé'!$A$8:$A$500=$A161)*('Budget révisé'!$C$3:$AO$3=I$2),'Budget révisé'!$C$8:$AO$500)</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9831.6699029126212</v>
      </c>
      <c r="G162" s="42"/>
      <c r="H162" s="40"/>
      <c r="I162" s="41">
        <f>+SUM(I155:I161)</f>
        <v>9831.6699029126212</v>
      </c>
      <c r="J162" s="42"/>
      <c r="K162" s="40"/>
      <c r="L162" s="41">
        <f>+SUM(L155:L161)</f>
        <v>6282</v>
      </c>
      <c r="M162" s="44"/>
      <c r="N162" s="41">
        <f>SUM(N157:N157)</f>
        <v>0</v>
      </c>
      <c r="O162" s="42"/>
      <c r="P162" s="40"/>
      <c r="Q162" s="41">
        <f>+SUM(Q155:Q161)</f>
        <v>5235</v>
      </c>
      <c r="R162" s="44"/>
      <c r="S162" s="316">
        <f>+SUM(S155:S161)</f>
        <v>1047</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22158.760594964089</v>
      </c>
      <c r="G164" s="344"/>
      <c r="H164" s="342"/>
      <c r="I164" s="343">
        <f>I107-I154+I162</f>
        <v>22158.760594964089</v>
      </c>
      <c r="J164" s="345"/>
      <c r="K164" s="346"/>
      <c r="L164" s="343">
        <f>L107-L154+L162</f>
        <v>34326.030000000013</v>
      </c>
      <c r="M164" s="345"/>
      <c r="N164" s="343">
        <f>L164-I164</f>
        <v>12167.269405035924</v>
      </c>
      <c r="O164" s="345"/>
      <c r="P164" s="346"/>
      <c r="Q164" s="343">
        <f>Q107-Q154+Q162</f>
        <v>-7340.5320000000211</v>
      </c>
      <c r="R164" s="345"/>
      <c r="S164" s="347">
        <f>L164-Q164</f>
        <v>41666.562000000034</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Janvier 2022</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287" t="s">
        <v>77</v>
      </c>
      <c r="E169" s="1288"/>
      <c r="F169" s="1289"/>
      <c r="G169" s="1290" t="s">
        <v>145</v>
      </c>
      <c r="H169" s="1288"/>
      <c r="I169" s="1289"/>
      <c r="J169" s="1290" t="s">
        <v>79</v>
      </c>
      <c r="K169" s="1288"/>
      <c r="L169" s="1289"/>
      <c r="M169" s="1290" t="s">
        <v>80</v>
      </c>
      <c r="N169" s="1289"/>
      <c r="O169" s="1287" t="s">
        <v>81</v>
      </c>
      <c r="P169" s="1288"/>
      <c r="Q169" s="1289"/>
      <c r="R169" s="1290" t="s">
        <v>82</v>
      </c>
      <c r="S169" s="129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original'!$A$8:$A$500=$A171)*('Budget original'!$C$3:$AO$3=D$2),'Budget original'!$C$8:$AO$500)</f>
        <v>273.14254073210458</v>
      </c>
      <c r="E171" s="197">
        <f>+SUMPRODUCT(('Budget original'!$A$8:$A$500=$A171)*('Budget original'!$C$3:$AO$3=E$2),'Budget original'!$C$8:$AO$500)</f>
        <v>67739.35010156194</v>
      </c>
      <c r="F171" s="197">
        <f>+SUMPRODUCT(('Budget original'!$A$8:$A$500=$A171)*('Budget original'!$C$3:$AO$3=F$2),'Budget original'!$C$8:$AO$500)</f>
        <v>50872.25192627302</v>
      </c>
      <c r="G171" s="348">
        <f>+SUMPRODUCT(('Budget révisé'!$A$8:$A$500=$A171)*('Budget révisé'!$C$3:$AO$3=G$2),'Budget révisé'!$C$8:$AO$500)</f>
        <v>273.14254073210458</v>
      </c>
      <c r="H171" s="197">
        <f>+SUMPRODUCT(('Budget révisé'!$A$8:$A$500=$A171)*('Budget révisé'!$C$3:$AO$3=H$2),'Budget révisé'!$C$8:$AO$500)</f>
        <v>67739.35010156194</v>
      </c>
      <c r="I171" s="197">
        <f>+SUMPRODUCT(('Budget révisé'!$A$8:$A$500=$A171)*('Budget révisé'!$C$3:$AO$3=I$2),'Budget révisé'!$C$8:$AO$500)</f>
        <v>50872.25192627302</v>
      </c>
      <c r="J171" s="325">
        <f>-SUMIFS(BV_Data_An_Cour!$P:$P,BV_Data_An_Cour!$U:$U,$B171,BV_Data_An_Cour!$V:$V,$C171,BV_Data_An_Cour!$W:$W,J$2)</f>
        <v>261</v>
      </c>
      <c r="K171" s="179">
        <f>-SUMIFS(BV_Data_An_Cour!$P:$P,BV_Data_An_Cour!$X:$X,"Oui",BV_Data_An_Cour!$U:$U,$B171,BV_Data_An_Cour!$V:$V,$C171)</f>
        <v>76125.66</v>
      </c>
      <c r="L171" s="180">
        <f>-SUMIFS(BV_Data_An_Cour!$P:$P,BV_Data_An_Cour!$U:$U,$B171,BV_Data_An_Cour!$V:$V,$C171,BV_Data_An_Cour!$W:$W,$L$2)</f>
        <v>59744.700000000004</v>
      </c>
      <c r="M171" s="324">
        <f>(K171-H171)/H171</f>
        <v>0.1238026329727762</v>
      </c>
      <c r="N171" s="304">
        <f>L171-I171</f>
        <v>8872.4480737269841</v>
      </c>
      <c r="O171" s="325">
        <f>-SUMIFS(BV_Data_An_Prec!$P:$P,BV_Data_An_Prec!$U:$U,$B171,BV_Data_An_Prec!$V:$V,$C171,BV_Data_An_Prec!$W:$W,O$2)</f>
        <v>214</v>
      </c>
      <c r="P171" s="179">
        <f>-SUMIFS(BV_Data_An_Prec!$P:$P,BV_Data_An_Prec!$X:$X,"Oui",BV_Data_An_Prec!$U:$U,$B171,BV_Data_An_Prec!$V:$V,$C171)</f>
        <v>51348.31</v>
      </c>
      <c r="Q171" s="180">
        <f>-SUMIFS(BV_Data_An_Prec!$P:$P,BV_Data_An_Prec!$U:$U,$B171,BV_Data_An_Prec!$V:$V,$C171,BV_Data_An_Prec!$W:$W,$L$2)</f>
        <v>37938.269999999997</v>
      </c>
      <c r="R171" s="324">
        <f>IF(O171=0,0,J171/O171)</f>
        <v>1.219626168224299</v>
      </c>
      <c r="S171" s="199">
        <f>L171-Q171</f>
        <v>21806.430000000008</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0.751</v>
      </c>
      <c r="G172" s="303"/>
      <c r="H172" s="349"/>
      <c r="I172" s="350">
        <f>I171/H171</f>
        <v>0.751</v>
      </c>
      <c r="J172" s="325"/>
      <c r="K172" s="178"/>
      <c r="L172" s="350">
        <f>IF(L171=0,0,L171/K171)</f>
        <v>0.78481684099684657</v>
      </c>
      <c r="M172" s="324"/>
      <c r="N172" s="304"/>
      <c r="O172" s="325"/>
      <c r="P172" s="178"/>
      <c r="Q172" s="350">
        <f>IF(Q171=0,0,Q171/P171)</f>
        <v>0.73884164834246735</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248.00000000000003</v>
      </c>
      <c r="F173" s="359"/>
      <c r="G173" s="310"/>
      <c r="H173" s="358">
        <f t="shared" ref="H173" si="106">IFERROR(H171/G171,0)</f>
        <v>248.00000000000003</v>
      </c>
      <c r="I173" s="359"/>
      <c r="J173" s="339"/>
      <c r="K173" s="573">
        <f t="shared" ref="K173" si="107">IFERROR(K171/J171,0)</f>
        <v>291.66919540229884</v>
      </c>
      <c r="L173" s="359"/>
      <c r="M173" s="361"/>
      <c r="N173" s="311"/>
      <c r="O173" s="339"/>
      <c r="P173" s="573">
        <f t="shared" ref="P173" si="108">IFERROR(P171/O171,0)</f>
        <v>239.9453738317757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original'!$A$8:$A$500=$A174)*('Budget original'!$C$3:$AO$3=D$2),'Budget original'!$C$8:$AO$500)</f>
        <v>307.76786631526647</v>
      </c>
      <c r="E174" s="197">
        <f>+SUMPRODUCT(('Budget original'!$A$8:$A$500=$A174)*('Budget original'!$C$3:$AO$3=E$2),'Budget original'!$C$8:$AO$500)</f>
        <v>60968.084203081962</v>
      </c>
      <c r="F174" s="197">
        <f>+SUMPRODUCT(('Budget original'!$A$8:$A$500=$A174)*('Budget original'!$C$3:$AO$3=F$2),'Budget original'!$C$8:$AO$500)</f>
        <v>42949.034538655244</v>
      </c>
      <c r="G174" s="354">
        <f>+SUMPRODUCT(('Budget révisé'!$A$8:$A$500=$A174)*('Budget révisé'!$C$3:$AO$3=G$2),'Budget révisé'!$C$8:$AO$500)</f>
        <v>307.76786631526647</v>
      </c>
      <c r="H174" s="197">
        <f>+SUMPRODUCT(('Budget révisé'!$A$8:$A$500=$A174)*('Budget révisé'!$C$3:$AO$3=H$2),'Budget révisé'!$C$8:$AO$500)</f>
        <v>60968.084203081962</v>
      </c>
      <c r="I174" s="197">
        <f>+SUMPRODUCT(('Budget révisé'!$A$8:$A$500=$A174)*('Budget révisé'!$C$3:$AO$3=I$2),'Budget révisé'!$C$8:$AO$500)</f>
        <v>42949.034538655244</v>
      </c>
      <c r="J174" s="354">
        <f>-SUMIFS(BV_Data_An_Cour!$P:$P,BV_Data_An_Cour!$U:$U,$B174,BV_Data_An_Cour!$V:$V,$C174,BV_Data_An_Cour!$W:$W,J$2)</f>
        <v>276</v>
      </c>
      <c r="K174" s="186">
        <f>-SUMIFS(BV_Data_An_Cour!$P:$P,BV_Data_An_Cour!$X:$X,"Oui",BV_Data_An_Cour!$U:$U,$B174,BV_Data_An_Cour!$V:$V,$C174)</f>
        <v>49441.32</v>
      </c>
      <c r="L174" s="180">
        <f>-SUMIFS(BV_Data_An_Cour!$P:$P,BV_Data_An_Cour!$U:$U,$B174,BV_Data_An_Cour!$V:$V,$C174,BV_Data_An_Cour!$W:$W,$L$2)</f>
        <v>34069.379999999997</v>
      </c>
      <c r="M174" s="324">
        <f>(K174-H174)/H174</f>
        <v>-0.18906226681958427</v>
      </c>
      <c r="N174" s="356">
        <f>L174-I174</f>
        <v>-8879.6545386552461</v>
      </c>
      <c r="O174" s="354">
        <f>-SUMIFS(BV_Data_An_Prec!$P:$P,BV_Data_An_Prec!$U:$U,$B174,BV_Data_An_Prec!$V:$V,$C174,BV_Data_An_Prec!$W:$W,O$2)</f>
        <v>294</v>
      </c>
      <c r="P174" s="186">
        <f>-SUMIFS(BV_Data_An_Prec!$P:$P,BV_Data_An_Prec!$X:$X,"Oui",BV_Data_An_Prec!$U:$U,$B174,BV_Data_An_Prec!$V:$V,$C174)</f>
        <v>68701.34</v>
      </c>
      <c r="Q174" s="180">
        <f>-SUMIFS(BV_Data_An_Prec!$P:$P,BV_Data_An_Prec!$U:$U,$B174,BV_Data_An_Prec!$V:$V,$C174,BV_Data_An_Prec!$W:$W,$L$2)</f>
        <v>47449.869999999995</v>
      </c>
      <c r="R174" s="324">
        <f>IF(O174=0,0,J174/O174)</f>
        <v>0.93877551020408168</v>
      </c>
      <c r="S174" s="199">
        <f>L174-Q174</f>
        <v>-13380.489999999998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0.70445110913431253</v>
      </c>
      <c r="G175" s="303"/>
      <c r="H175" s="178"/>
      <c r="I175" s="350">
        <f>I174/H174</f>
        <v>0.70445110913431253</v>
      </c>
      <c r="J175" s="303"/>
      <c r="K175" s="178"/>
      <c r="L175" s="350">
        <f>IF(L174=0,0,L174/K174)</f>
        <v>0.68908718456546059</v>
      </c>
      <c r="M175" s="362"/>
      <c r="N175" s="332"/>
      <c r="O175" s="303"/>
      <c r="P175" s="178"/>
      <c r="Q175" s="350">
        <f>IF(Q174=0,0,Q174/P174)</f>
        <v>0.69066877007056915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original'!$A$8:$A$500=$A177)*('Budget original'!$C$3:$AO$3=D$2),'Budget original'!$C$8:$AO$500)</f>
        <v>199.93155012383974</v>
      </c>
      <c r="E177" s="197">
        <f>+SUMPRODUCT(('Budget original'!$A$8:$A$500=$A177)*('Budget original'!$C$3:$AO$3=E$2),'Budget original'!$C$8:$AO$500)</f>
        <v>43062.608493239539</v>
      </c>
      <c r="F177" s="197">
        <f>+SUMPRODUCT(('Budget original'!$A$8:$A$500=$A177)*('Budget original'!$C$3:$AO$3=F$2),'Budget original'!$C$8:$AO$500)</f>
        <v>31769.097813302134</v>
      </c>
      <c r="G177" s="303">
        <f>+SUMPRODUCT(('Budget révisé'!$A$8:$A$500=$A177)*('Budget révisé'!$C$3:$AO$3=G$2),'Budget révisé'!$C$8:$AO$500)</f>
        <v>199.93155012383974</v>
      </c>
      <c r="H177" s="197">
        <f>+SUMPRODUCT(('Budget révisé'!$A$8:$A$500=$A177)*('Budget révisé'!$C$3:$AO$3=H$2),'Budget révisé'!$C$8:$AO$500)</f>
        <v>43062.608493239539</v>
      </c>
      <c r="I177" s="197">
        <f>+SUMPRODUCT(('Budget révisé'!$A$8:$A$500=$A177)*('Budget révisé'!$C$3:$AO$3=I$2),'Budget révisé'!$C$8:$AO$500)</f>
        <v>31769.097813302134</v>
      </c>
      <c r="J177" s="325">
        <f>-SUMIFS(BV_Data_An_Cour!$P:$P,BV_Data_An_Cour!$U:$U,$B177,BV_Data_An_Cour!$V:$V,$C177,BV_Data_An_Cour!$W:$W,J$2)</f>
        <v>155</v>
      </c>
      <c r="K177" s="186">
        <f>-SUMIFS(BV_Data_An_Cour!$P:$P,BV_Data_An_Cour!$X:$X,"Oui",BV_Data_An_Cour!$U:$U,$B177,BV_Data_An_Cour!$V:$V,$C177)</f>
        <v>44592.72</v>
      </c>
      <c r="L177" s="180">
        <f>-SUMIFS(BV_Data_An_Cour!$P:$P,BV_Data_An_Cour!$U:$U,$B177,BV_Data_An_Cour!$V:$V,$C177,BV_Data_An_Cour!$W:$W,$L$2)</f>
        <v>31031.370000000003</v>
      </c>
      <c r="M177" s="324">
        <f>(K177-H177)/H177</f>
        <v>3.5532253161131122E-2</v>
      </c>
      <c r="N177" s="304">
        <f t="shared" ref="N177:N178" si="109">L177-I177</f>
        <v>-737.72781330213184</v>
      </c>
      <c r="O177" s="325">
        <f>-SUMIFS(BV_Data_An_Prec!$P:$P,BV_Data_An_Prec!$U:$U,$B177,BV_Data_An_Prec!$V:$V,$C177,BV_Data_An_Prec!$W:$W,O$2)</f>
        <v>166</v>
      </c>
      <c r="P177" s="186">
        <f>-SUMIFS(BV_Data_An_Prec!$P:$P,BV_Data_An_Prec!$X:$X,"Oui",BV_Data_An_Prec!$U:$U,$B177,BV_Data_An_Prec!$V:$V,$C177)</f>
        <v>31066.5</v>
      </c>
      <c r="Q177" s="180">
        <f>-SUMIFS(BV_Data_An_Prec!$P:$P,BV_Data_An_Prec!$U:$U,$B177,BV_Data_An_Prec!$V:$V,$C177,BV_Data_An_Prec!$W:$W,$L$2)</f>
        <v>22455.839999999997</v>
      </c>
      <c r="R177" s="324">
        <f>IF(O177=0,0,J177/O177)</f>
        <v>0.9337349397590361</v>
      </c>
      <c r="S177" s="199">
        <f>L177-Q177</f>
        <v>8575.5300000000061</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0.73774206730392589</v>
      </c>
      <c r="G178" s="303"/>
      <c r="H178" s="349"/>
      <c r="I178" s="350">
        <f>I177/H177</f>
        <v>0.73774206730392589</v>
      </c>
      <c r="J178" s="325"/>
      <c r="K178" s="349"/>
      <c r="L178" s="350">
        <f>IF(L177=0,0,L177/K177)</f>
        <v>0.69588421607831952</v>
      </c>
      <c r="M178" s="324"/>
      <c r="N178" s="304">
        <f t="shared" si="109"/>
        <v>-4.1857851225606368E-2</v>
      </c>
      <c r="O178" s="325"/>
      <c r="P178" s="349"/>
      <c r="Q178" s="350">
        <f>IF(Q177=0,0,Q177/P177)</f>
        <v>0.72283134566172558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original'!$A$8:$A$500=$A180)*('Budget original'!$C$3:$AO$3=D$2),'Budget original'!$C$8:$AO$500)</f>
        <v>0</v>
      </c>
      <c r="E180" s="197">
        <f>+SUMPRODUCT(('Budget original'!$A$8:$A$500=$A180)*('Budget original'!$C$3:$AO$3=E$2),'Budget original'!$C$8:$AO$500)</f>
        <v>0</v>
      </c>
      <c r="F180" s="197">
        <f>+SUMPRODUCT(('Budget original'!$A$8:$A$500=$A180)*('Budget original'!$C$3:$AO$3=F$2),'Budget original'!$C$8:$AO$500)</f>
        <v>0</v>
      </c>
      <c r="G180" s="368">
        <f>+SUMPRODUCT(('Budget révisé'!$A$8:$A$500=$A180)*('Budget révisé'!$C$3:$AO$3=G$2),'Budget révisé'!$C$8:$AO$500)</f>
        <v>0</v>
      </c>
      <c r="H180" s="197">
        <f>+SUMPRODUCT(('Budget révisé'!$A$8:$A$500=$A180)*('Budget révisé'!$C$3:$AO$3=H$2),'Budget révisé'!$C$8:$AO$500)</f>
        <v>0</v>
      </c>
      <c r="I180" s="197">
        <f>+SUMPRODUCT(('Budget révisé'!$A$8:$A$500=$A180)*('Budget révisé'!$C$3:$AO$3=I$2),'Budget révisé'!$C$8:$AO$500)</f>
        <v>0</v>
      </c>
      <c r="J180" s="354">
        <f>-SUMIFS(BV_Data_An_Cour!$P:$P,BV_Data_An_Cour!$U:$U,$B180,BV_Data_An_Cour!$V:$V,$C180,BV_Data_An_Cour!$W:$W,J$2)</f>
        <v>0</v>
      </c>
      <c r="K180" s="186">
        <f>-SUMIFS(BV_Data_An_Cour!$P:$P,BV_Data_An_Cour!$X:$X,"Oui",BV_Data_An_Cour!$U:$U,$B180,BV_Data_An_Cour!$V:$V,$C180)</f>
        <v>80.98</v>
      </c>
      <c r="L180" s="181">
        <f>-SUMIFS(BV_Data_An_Cour!$P:$P,BV_Data_An_Cour!$U:$U,$B180,BV_Data_An_Cour!$V:$V,$C180,BV_Data_An_Cour!$W:$W,$L$2)</f>
        <v>68.48</v>
      </c>
      <c r="M180" s="355">
        <f>IF(H180=0,0,(K180-H180)/H180)</f>
        <v>0</v>
      </c>
      <c r="N180" s="356">
        <f>L180-I180</f>
        <v>68.48</v>
      </c>
      <c r="O180" s="354">
        <f>-SUMIFS(BV_Data_An_Prec!$P:$P,BV_Data_An_Prec!$U:$U,$B180,BV_Data_An_Prec!$V:$V,$C180,BV_Data_An_Prec!$W:$W,O$2)</f>
        <v>0</v>
      </c>
      <c r="P180" s="186">
        <f>-SUMIFS(BV_Data_An_Prec!$P:$P,BV_Data_An_Prec!$X:$X,"Oui",BV_Data_An_Prec!$U:$U,$B180,BV_Data_An_Prec!$V:$V,$C180)</f>
        <v>0</v>
      </c>
      <c r="Q180" s="181">
        <f>-SUMIFS(BV_Data_An_Prec!$P:$P,BV_Data_An_Prec!$U:$U,$B180,BV_Data_An_Prec!$V:$V,$C180,BV_Data_An_Prec!$W:$W,$L$2)</f>
        <v>0</v>
      </c>
      <c r="R180" s="324">
        <f>IF(O180=0,0,J180/O180)</f>
        <v>0</v>
      </c>
      <c r="S180" s="201">
        <f>L180-Q180</f>
        <v>68.48</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v>
      </c>
      <c r="G181" s="313"/>
      <c r="H181" s="370"/>
      <c r="I181" s="350">
        <f>IFERROR(I180/H180,0)</f>
        <v>0</v>
      </c>
      <c r="J181" s="371"/>
      <c r="K181" s="370">
        <f>IF(J181&lt;=0,0,L181/J181)</f>
        <v>0</v>
      </c>
      <c r="L181" s="350">
        <f>IF(L180=0,0,L180/K180)</f>
        <v>0.84564089898740435</v>
      </c>
      <c r="M181" s="325">
        <f>J181-G181</f>
        <v>0</v>
      </c>
      <c r="N181" s="372"/>
      <c r="O181" s="371"/>
      <c r="P181" s="370">
        <f>IF(O181&lt;=0,0,Q181/O181)</f>
        <v>0</v>
      </c>
      <c r="Q181" s="350">
        <f>IF(Q180=0,0,Q180/P180)</f>
        <v>0</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original'!$A$8:$A$500=$A183)*('Budget original'!$C$3:$AO$3=F$2),'Budget original'!$C$8:$AO$500)</f>
        <v>-2695.2577797007798</v>
      </c>
      <c r="G183" s="303"/>
      <c r="H183" s="197"/>
      <c r="I183" s="197">
        <f>+SUMPRODUCT(('Budget révisé'!$A$8:$A$500=$A183)*('Budget révisé'!$C$3:$AO$3=I$2),'Budget révisé'!$C$8:$AO$500)</f>
        <v>-2695.2577797007798</v>
      </c>
      <c r="J183" s="325"/>
      <c r="K183" s="197"/>
      <c r="L183" s="197">
        <f>-SUMIFS(BV_Data_An_Cour!$P:$P,BV_Data_An_Cour!$U:$U,$B183,BV_Data_An_Cour!$V:$V,$C183,BV_Data_An_Cour!$W:$W,$L$2)</f>
        <v>-1913.67</v>
      </c>
      <c r="M183" s="371"/>
      <c r="N183" s="304">
        <f t="shared" ref="N183:N184" si="110">L183-I183</f>
        <v>781.58777970077972</v>
      </c>
      <c r="O183" s="325"/>
      <c r="P183" s="197"/>
      <c r="Q183" s="180">
        <f>-SUMIFS(BV_Data_An_Prec!$P:$P,BV_Data_An_Prec!$U:$U,$B183,BV_Data_An_Prec!$V:$V,$C183,BV_Data_An_Prec!$W:$W,$L$2)</f>
        <v>-868.59</v>
      </c>
      <c r="R183" s="209"/>
      <c r="S183" s="199">
        <f t="shared" ref="S183:S184" si="111">L183-Q183</f>
        <v>-1045.08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171770.04279788345</v>
      </c>
      <c r="F184" s="59">
        <f t="shared" si="112"/>
        <v>122895.12649852961</v>
      </c>
      <c r="G184" s="60"/>
      <c r="H184" s="58">
        <f t="shared" ref="H184:L184" si="113">H171+H174+H177+H180+H183</f>
        <v>171770.04279788345</v>
      </c>
      <c r="I184" s="59">
        <f t="shared" si="113"/>
        <v>122895.12649852961</v>
      </c>
      <c r="J184" s="60">
        <f t="shared" si="113"/>
        <v>692</v>
      </c>
      <c r="K184" s="58">
        <f t="shared" si="113"/>
        <v>170240.68000000002</v>
      </c>
      <c r="L184" s="59">
        <f t="shared" si="113"/>
        <v>123000.26000000001</v>
      </c>
      <c r="M184" s="61">
        <f>(K184-H184)/H184</f>
        <v>-8.9035478653456523E-3</v>
      </c>
      <c r="N184" s="59">
        <f t="shared" si="110"/>
        <v>105.13350147039455</v>
      </c>
      <c r="O184" s="60">
        <f t="shared" ref="O184:Q184" si="114">O171+O174+O177+O180+O183</f>
        <v>674</v>
      </c>
      <c r="P184" s="58">
        <f t="shared" si="114"/>
        <v>151116.15</v>
      </c>
      <c r="Q184" s="59">
        <f t="shared" si="114"/>
        <v>106975.38999999998</v>
      </c>
      <c r="R184" s="381">
        <f>IF(O184=0,0,J184/O184)</f>
        <v>1.0267062314540059</v>
      </c>
      <c r="S184" s="382">
        <f t="shared" si="111"/>
        <v>16024.870000000024</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0.71546309529151453</v>
      </c>
      <c r="G185" s="64"/>
      <c r="H185" s="62"/>
      <c r="I185" s="332">
        <f>I184/H184</f>
        <v>0.71546309529151453</v>
      </c>
      <c r="J185" s="64"/>
      <c r="K185" s="65">
        <f>IF(J184=0,0,K184/J184)</f>
        <v>246.0125433526012</v>
      </c>
      <c r="L185" s="332">
        <f>IF(L184=0,0,L184/K184)</f>
        <v>0.7225080397940139</v>
      </c>
      <c r="M185" s="64"/>
      <c r="N185" s="63">
        <f>N184/I184</f>
        <v>8.5547331668723594E-4</v>
      </c>
      <c r="O185" s="64"/>
      <c r="P185" s="65">
        <f>IF(O184=0,0,P184/O184)</f>
        <v>224.20793768545994</v>
      </c>
      <c r="Q185" s="332">
        <f>IF(Q184=0,0,Q184/P184)</f>
        <v>0.7079017695990798</v>
      </c>
      <c r="R185" s="64"/>
      <c r="S185" s="333">
        <f>IF(R184=0,0,S184/R184)</f>
        <v>15608.038121387308</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original'!$A$8:$A$500=$A187)*('Budget original'!$C$3:$AO$3=E$2),'Budget original'!$C$8:$AO$500)</f>
        <v>14155.861843538976</v>
      </c>
      <c r="F187" s="228">
        <f>+SUMPRODUCT(('Budget original'!$A$8:$A$500=$A187)*('Budget original'!$C$3:$AO$3=F$2),'Budget original'!$C$8:$AO$500)</f>
        <v>3101.9130508272219</v>
      </c>
      <c r="G187" s="230"/>
      <c r="H187" s="228">
        <f>+SUMPRODUCT(('Budget révisé'!$A$8:$A$500=$A187)*('Budget révisé'!$C$3:$AO$3=H$2),'Budget révisé'!$C$8:$AO$500)</f>
        <v>14155.861843538976</v>
      </c>
      <c r="I187" s="228">
        <f>+SUMPRODUCT(('Budget révisé'!$A$8:$A$500=$A187)*('Budget révisé'!$C$3:$AO$3=I$2),'Budget révisé'!$C$8:$AO$500)</f>
        <v>3101.9130508272219</v>
      </c>
      <c r="J187" s="230"/>
      <c r="K187" s="231">
        <f>-SUMIFS(BV_Data_An_Cour!$P:$P,BV_Data_An_Cour!$X:$X,"Oui",BV_Data_An_Cour!$U:$U,$B187,BV_Data_An_Cour!$V:$V,$C187)</f>
        <v>16668.439999999999</v>
      </c>
      <c r="L187" s="281">
        <f>-SUMIFS(BV_Data_An_Cour!$P:$P,BV_Data_An_Cour!$U:$U,$B187,BV_Data_An_Cour!$V:$V,$C187,BV_Data_An_Cour!$W:$W,$L$2)</f>
        <v>3276.9499999999989</v>
      </c>
      <c r="M187" s="511">
        <f>IF(H187=0,0,(K187-H187)/H187)</f>
        <v>0.17749383147645045</v>
      </c>
      <c r="N187" s="232">
        <f>L187-I187</f>
        <v>175.03694917277699</v>
      </c>
      <c r="O187" s="230"/>
      <c r="P187" s="231">
        <f>-SUMIFS(BV_Data_An_Prec!$P:$P,BV_Data_An_Prec!$X:$X,"Oui",BV_Data_An_Prec!$U:$U,$B187,BV_Data_An_Prec!$V:$V,$C187)</f>
        <v>7855.2</v>
      </c>
      <c r="Q187" s="281">
        <f>-SUMIFS(BV_Data_An_Prec!$P:$P,BV_Data_An_Prec!$U:$U,$B187,BV_Data_An_Prec!$V:$V,$C187,BV_Data_An_Prec!$W:$W,$L$2)</f>
        <v>1100.75</v>
      </c>
      <c r="R187" s="386">
        <f>IF(O187=0,0,J187/O187)</f>
        <v>0</v>
      </c>
      <c r="S187" s="284">
        <f>L187-Q187</f>
        <v>2176.1999999999989</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0.21912569401367804</v>
      </c>
      <c r="G188" s="227"/>
      <c r="H188" s="234"/>
      <c r="I188" s="235">
        <f>IFERROR(I187/H187,0)</f>
        <v>0.21912569401367804</v>
      </c>
      <c r="J188" s="236"/>
      <c r="K188" s="237"/>
      <c r="L188" s="235">
        <f>IF(L187=0,0,L187/K187)</f>
        <v>0.19659608217685634</v>
      </c>
      <c r="M188" s="236"/>
      <c r="N188" s="238"/>
      <c r="O188" s="236"/>
      <c r="P188" s="237"/>
      <c r="Q188" s="235">
        <f>IF(Q187=0,0,Q187/P187)</f>
        <v>0.14013010489866584</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original'!$A$8:$A$500=$A190)*('Budget original'!$C$3:$AO$3=E$2),'Budget original'!$C$8:$AO$500)</f>
        <v>0</v>
      </c>
      <c r="F190" s="228">
        <f>+SUMPRODUCT(('Budget original'!$A$8:$A$500=$A190)*('Budget original'!$C$3:$AO$3=F$2),'Budget original'!$C$8:$AO$500)</f>
        <v>0</v>
      </c>
      <c r="G190" s="227"/>
      <c r="H190" s="228">
        <f>+SUMPRODUCT(('Budget révisé'!$A$8:$A$500=$A190)*('Budget révisé'!$C$3:$AO$3=H$2),'Budget révisé'!$C$8:$AO$500)</f>
        <v>0</v>
      </c>
      <c r="I190" s="228">
        <f>+SUMPRODUCT(('Budget révisé'!$A$8:$A$500=$A190)*('Budget révisé'!$C$3:$AO$3=I$2),'Budget révisé'!$C$8:$AO$500)</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185925.90464142241</v>
      </c>
      <c r="F193" s="28">
        <f t="shared" si="115"/>
        <v>125997.03954935684</v>
      </c>
      <c r="G193" s="29"/>
      <c r="H193" s="26">
        <f t="shared" ref="H193:I193" si="116">H184+H187+H190</f>
        <v>185925.90464142241</v>
      </c>
      <c r="I193" s="28">
        <f t="shared" si="116"/>
        <v>125997.03954935684</v>
      </c>
      <c r="J193" s="29"/>
      <c r="K193" s="26">
        <f>K184+K187+K190</f>
        <v>186909.12000000002</v>
      </c>
      <c r="L193" s="28">
        <f t="shared" ref="L193" si="117">L184+L187+L190</f>
        <v>126277.21</v>
      </c>
      <c r="M193" s="70">
        <f>L194-I194</f>
        <v>-2.0658619666955591E-3</v>
      </c>
      <c r="N193" s="28">
        <f>L193-I193</f>
        <v>280.17045064317062</v>
      </c>
      <c r="O193" s="29"/>
      <c r="P193" s="26">
        <f>P184+P187+P190</f>
        <v>158971.35</v>
      </c>
      <c r="Q193" s="28">
        <f t="shared" ref="Q193" si="118">Q184+Q187+Q190</f>
        <v>108076.13999999998</v>
      </c>
      <c r="R193" s="70">
        <f>L194-Q194</f>
        <v>-4.239115715979902E-3</v>
      </c>
      <c r="S193" s="363">
        <f>L193-Q193</f>
        <v>18201.070000000022</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0.67767339786435532</v>
      </c>
      <c r="G194" s="31"/>
      <c r="H194" s="365"/>
      <c r="I194" s="34">
        <f>I193/H193</f>
        <v>0.67767339786435532</v>
      </c>
      <c r="J194" s="31"/>
      <c r="K194" s="365"/>
      <c r="L194" s="34">
        <f>L193/K193</f>
        <v>0.67560753589765976</v>
      </c>
      <c r="M194" s="33"/>
      <c r="N194" s="34">
        <f>N193/I193</f>
        <v>2.2236272506499601E-3</v>
      </c>
      <c r="O194" s="31"/>
      <c r="P194" s="365"/>
      <c r="Q194" s="34">
        <f>Q193/P193</f>
        <v>0.67984665161363966</v>
      </c>
      <c r="R194" s="33"/>
      <c r="S194" s="272">
        <f>L193/S193</f>
        <v>6.9379003542099369</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original'!$A$8:$A$500=$A197)*('Budget original'!$C$3:$AO$3=F$2),'Budget original'!$C$8:$AO$500)</f>
        <v>11204.70316091954</v>
      </c>
      <c r="G197" s="303"/>
      <c r="H197" s="178"/>
      <c r="I197" s="179">
        <f>+SUMPRODUCT(('Budget révisé'!$A$8:$A$500=$A197)*('Budget révisé'!$C$3:$AO$3=I$2),'Budget révisé'!$C$8:$AO$500)</f>
        <v>11204.70316091954</v>
      </c>
      <c r="J197" s="303"/>
      <c r="K197" s="178"/>
      <c r="L197" s="180">
        <f>SUMIFS(BV_Data_An_Cour!$P:$P,BV_Data_An_Cour!$U:$U,$B197,BV_Data_An_Cour!$V:$V,$C197,BV_Data_An_Cour!$W:$W,$L$2)</f>
        <v>11297.58</v>
      </c>
      <c r="M197" s="303"/>
      <c r="N197" s="304">
        <f t="shared" ref="N197:N228" si="119">L197-I197</f>
        <v>92.876839080459831</v>
      </c>
      <c r="O197" s="303"/>
      <c r="P197" s="178"/>
      <c r="Q197" s="180">
        <f>SUMIFS(BV_Data_An_Prec!$P:$P,BV_Data_An_Prec!$U:$U,$B197,BV_Data_An_Prec!$V:$V,$C197,BV_Data_An_Prec!$W:$W,$L$2)</f>
        <v>12230.15</v>
      </c>
      <c r="R197" s="303"/>
      <c r="S197" s="399">
        <f>L197-Q197</f>
        <v>-932.56999999999971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original'!$A$8:$A$500=$A198)*('Budget original'!$C$3:$AO$3=F$2),'Budget original'!$C$8:$AO$500)</f>
        <v>9403.9419058103449</v>
      </c>
      <c r="G198" s="302"/>
      <c r="H198" s="178"/>
      <c r="I198" s="177">
        <f>+SUMPRODUCT(('Budget révisé'!$A$8:$A$500=$A198)*('Budget révisé'!$C$3:$AO$3=I$2),'Budget révisé'!$C$8:$AO$500)</f>
        <v>9403.9419058103449</v>
      </c>
      <c r="J198" s="303"/>
      <c r="K198" s="178"/>
      <c r="L198" s="180">
        <f>SUMIFS(BV_Data_An_Cour!$P:$P,BV_Data_An_Cour!$U:$U,$B198,BV_Data_An_Cour!$V:$V,$C198,BV_Data_An_Cour!$W:$W,$L$2)</f>
        <v>7868.75</v>
      </c>
      <c r="M198" s="303"/>
      <c r="N198" s="304">
        <f t="shared" si="119"/>
        <v>-1535.1919058103449</v>
      </c>
      <c r="O198" s="303"/>
      <c r="P198" s="178"/>
      <c r="Q198" s="180">
        <f>SUMIFS(BV_Data_An_Prec!$P:$P,BV_Data_An_Prec!$U:$U,$B198,BV_Data_An_Prec!$V:$V,$C198,BV_Data_An_Prec!$W:$W,$L$2)</f>
        <v>8211.75</v>
      </c>
      <c r="R198" s="303"/>
      <c r="S198" s="199">
        <f t="shared" ref="S198:S228" si="120">L198-Q198</f>
        <v>-343</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original'!$A$8:$A$500=$A199)*('Budget original'!$C$3:$AO$3=F$2),'Budget original'!$C$8:$AO$500)</f>
        <v>14137.223567494253</v>
      </c>
      <c r="G199" s="393"/>
      <c r="H199" s="352"/>
      <c r="I199" s="179">
        <f>+SUMPRODUCT(('Budget révisé'!$A$8:$A$500=$A199)*('Budget révisé'!$C$3:$AO$3=I$2),'Budget révisé'!$C$8:$AO$500)</f>
        <v>14137.223567494253</v>
      </c>
      <c r="J199" s="368"/>
      <c r="K199" s="352"/>
      <c r="L199" s="181">
        <f>SUMIFS(BV_Data_An_Cour!$P:$P,BV_Data_An_Cour!$U:$U,$B199,BV_Data_An_Cour!$V:$V,$C199,BV_Data_An_Cour!$W:$W,$L$2)</f>
        <v>15758.61</v>
      </c>
      <c r="M199" s="368"/>
      <c r="N199" s="356">
        <f t="shared" si="119"/>
        <v>1621.3864325057475</v>
      </c>
      <c r="O199" s="368"/>
      <c r="P199" s="352"/>
      <c r="Q199" s="181">
        <f>SUMIFS(BV_Data_An_Prec!$P:$P,BV_Data_An_Prec!$U:$U,$B199,BV_Data_An_Prec!$V:$V,$C199,BV_Data_An_Prec!$W:$W,$L$2)</f>
        <v>14193.45</v>
      </c>
      <c r="R199" s="368"/>
      <c r="S199" s="201">
        <f t="shared" si="120"/>
        <v>1565.1599999999999</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original'!$A$8:$A$500=$A200)*('Budget original'!$C$3:$AO$3=F$2),'Budget original'!$C$8:$AO$500)</f>
        <v>24149.299286743022</v>
      </c>
      <c r="G200" s="302"/>
      <c r="H200" s="178"/>
      <c r="I200" s="179">
        <f>+SUMPRODUCT(('Budget révisé'!$A$8:$A$500=$A200)*('Budget révisé'!$C$3:$AO$3=I$2),'Budget révisé'!$C$8:$AO$500)</f>
        <v>24149.299286743022</v>
      </c>
      <c r="J200" s="303"/>
      <c r="K200" s="178"/>
      <c r="L200" s="180">
        <f>SUMIFS(BV_Data_An_Cour!$P:$P,BV_Data_An_Cour!$U:$U,$B200,BV_Data_An_Cour!$V:$V,$C200,BV_Data_An_Cour!$W:$W,$L$2)</f>
        <v>19008.14</v>
      </c>
      <c r="M200" s="303"/>
      <c r="N200" s="304">
        <f t="shared" si="119"/>
        <v>-5141.1592867430227</v>
      </c>
      <c r="O200" s="303"/>
      <c r="P200" s="178"/>
      <c r="Q200" s="180">
        <f>SUMIFS(BV_Data_An_Prec!$P:$P,BV_Data_An_Prec!$U:$U,$B200,BV_Data_An_Prec!$V:$V,$C200,BV_Data_An_Prec!$W:$W,$L$2)</f>
        <v>21182.68</v>
      </c>
      <c r="R200" s="303"/>
      <c r="S200" s="199">
        <f t="shared" si="120"/>
        <v>-2174.5400000000009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original'!$A$8:$A$500=$A201)*('Budget original'!$C$3:$AO$3=F$2),'Budget original'!$C$8:$AO$500)</f>
        <v>0</v>
      </c>
      <c r="G201" s="302"/>
      <c r="H201" s="178"/>
      <c r="I201" s="179">
        <f>+SUMPRODUCT(('Budget révisé'!$A$8:$A$500=$A201)*('Budget révisé'!$C$3:$AO$3=I$2),'Budget révisé'!$C$8:$AO$500)</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original'!$A$8:$A$500=$A202)*('Budget original'!$C$3:$AO$3=F$2),'Budget original'!$C$8:$AO$500)</f>
        <v>0</v>
      </c>
      <c r="G202" s="302"/>
      <c r="H202" s="178"/>
      <c r="I202" s="179">
        <f>+SUMPRODUCT(('Budget révisé'!$A$8:$A$500=$A202)*('Budget révisé'!$C$3:$AO$3=I$2),'Budget révisé'!$C$8:$AO$500)</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original'!$A$8:$A$500=$A203)*('Budget original'!$C$3:$AO$3=F$2),'Budget original'!$C$8:$AO$500)</f>
        <v>0</v>
      </c>
      <c r="G203" s="302"/>
      <c r="H203" s="178"/>
      <c r="I203" s="179">
        <f>+SUMPRODUCT(('Budget révisé'!$A$8:$A$500=$A203)*('Budget révisé'!$C$3:$AO$3=I$2),'Budget révisé'!$C$8:$AO$500)</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original'!$A$8:$A$500=$A204)*('Budget original'!$C$3:$AO$3=F$2),'Budget original'!$C$8:$AO$500)</f>
        <v>15629.769783256188</v>
      </c>
      <c r="G204" s="302"/>
      <c r="H204" s="178"/>
      <c r="I204" s="179">
        <f>+SUMPRODUCT(('Budget révisé'!$A$8:$A$500=$A204)*('Budget révisé'!$C$3:$AO$3=I$2),'Budget révisé'!$C$8:$AO$500)</f>
        <v>15629.769783256188</v>
      </c>
      <c r="J204" s="303"/>
      <c r="K204" s="178"/>
      <c r="L204" s="180">
        <f>SUMIFS(BV_Data_An_Cour!$P:$P,BV_Data_An_Cour!$U:$U,$B204,BV_Data_An_Cour!$V:$V,$C204,BV_Data_An_Cour!$W:$W,$L$2)</f>
        <v>15629.74</v>
      </c>
      <c r="M204" s="303"/>
      <c r="N204" s="304">
        <f t="shared" si="121"/>
        <v>-2.9783256188238738E-2</v>
      </c>
      <c r="O204" s="303"/>
      <c r="P204" s="178"/>
      <c r="Q204" s="180">
        <f>SUMIFS(BV_Data_An_Prec!$P:$P,BV_Data_An_Prec!$U:$U,$B204,BV_Data_An_Prec!$V:$V,$C204,BV_Data_An_Prec!$W:$W,$L$2)</f>
        <v>9419.06</v>
      </c>
      <c r="R204" s="303"/>
      <c r="S204" s="199">
        <f t="shared" si="122"/>
        <v>6210.68</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original'!$A$8:$A$500=$A205)*('Budget original'!$C$3:$AO$3=F$2),'Budget original'!$C$8:$AO$500)</f>
        <v>13998.060981854651</v>
      </c>
      <c r="G205" s="393"/>
      <c r="H205" s="352"/>
      <c r="I205" s="429">
        <f>+SUMPRODUCT(('Budget révisé'!$A$8:$A$500=$A205)*('Budget révisé'!$C$3:$AO$3=I$2),'Budget révisé'!$C$8:$AO$500)</f>
        <v>13998.060981854651</v>
      </c>
      <c r="J205" s="368"/>
      <c r="K205" s="352"/>
      <c r="L205" s="181">
        <f>SUMIFS(BV_Data_An_Cour!$P:$P,BV_Data_An_Cour!$U:$U,$B205,BV_Data_An_Cour!$V:$V,$C205,BV_Data_An_Cour!$W:$W,$L$2)</f>
        <v>14850.73</v>
      </c>
      <c r="M205" s="368"/>
      <c r="N205" s="356">
        <f t="shared" si="119"/>
        <v>852.66901814534867</v>
      </c>
      <c r="O205" s="368"/>
      <c r="P205" s="352"/>
      <c r="Q205" s="181">
        <f>SUMIFS(BV_Data_An_Prec!$P:$P,BV_Data_An_Prec!$U:$U,$B205,BV_Data_An_Prec!$V:$V,$C205,BV_Data_An_Prec!$W:$W,$L$2)</f>
        <v>13265.27</v>
      </c>
      <c r="R205" s="368"/>
      <c r="S205" s="201">
        <f t="shared" si="120"/>
        <v>1585.4599999999991</v>
      </c>
      <c r="T205" s="222"/>
      <c r="U205" s="968">
        <f>L205-Print_Mois!L205</f>
        <v>0</v>
      </c>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original'!$A$8:$A$500=$A206)*('Budget original'!$C$3:$AO$3=F$2),'Budget original'!$C$8:$AO$500)</f>
        <v>11116.107250296342</v>
      </c>
      <c r="G206" s="302"/>
      <c r="H206" s="178"/>
      <c r="I206" s="179">
        <f>+SUMPRODUCT(('Budget révisé'!$A$8:$A$500=$A206)*('Budget révisé'!$C$3:$AO$3=I$2),'Budget révisé'!$C$8:$AO$500)</f>
        <v>11116.107250296342</v>
      </c>
      <c r="J206" s="303"/>
      <c r="K206" s="178"/>
      <c r="L206" s="180">
        <f>SUMIFS(BV_Data_An_Cour!$P:$P,BV_Data_An_Cour!$U:$U,$B206,BV_Data_An_Cour!$V:$V,$C206,BV_Data_An_Cour!$W:$W,$L$2)</f>
        <v>7929.69</v>
      </c>
      <c r="M206" s="303"/>
      <c r="N206" s="304">
        <f t="shared" si="119"/>
        <v>-3186.417250296342</v>
      </c>
      <c r="O206" s="303"/>
      <c r="P206" s="178"/>
      <c r="Q206" s="180">
        <f>SUMIFS(BV_Data_An_Prec!$P:$P,BV_Data_An_Prec!$U:$U,$B206,BV_Data_An_Prec!$V:$V,$C206,BV_Data_An_Prec!$W:$W,$L$2)</f>
        <v>4597.8499999999995</v>
      </c>
      <c r="R206" s="303"/>
      <c r="S206" s="199">
        <f t="shared" si="120"/>
        <v>3331.84</v>
      </c>
      <c r="T206" s="222"/>
      <c r="U206" s="968">
        <f>L206-Print_Mois!L206</f>
        <v>0</v>
      </c>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original'!$A$8:$A$500=$A207)*('Budget original'!$C$3:$AO$3=F$2),'Budget original'!$C$8:$AO$500)</f>
        <v>4528.7844353059172</v>
      </c>
      <c r="G207" s="302"/>
      <c r="H207" s="178"/>
      <c r="I207" s="179">
        <f>+SUMPRODUCT(('Budget révisé'!$A$8:$A$500=$A207)*('Budget révisé'!$C$3:$AO$3=I$2),'Budget révisé'!$C$8:$AO$500)</f>
        <v>4528.7844353059172</v>
      </c>
      <c r="J207" s="303"/>
      <c r="K207" s="178"/>
      <c r="L207" s="180">
        <f>SUMIFS(BV_Data_An_Cour!$P:$P,BV_Data_An_Cour!$U:$U,$B207,BV_Data_An_Cour!$V:$V,$C207,BV_Data_An_Cour!$W:$W,$L$2)</f>
        <v>4298.3</v>
      </c>
      <c r="M207" s="303"/>
      <c r="N207" s="304">
        <f t="shared" si="119"/>
        <v>-230.48443530591703</v>
      </c>
      <c r="O207" s="303"/>
      <c r="P207" s="178"/>
      <c r="Q207" s="180">
        <f>SUMIFS(BV_Data_An_Prec!$P:$P,BV_Data_An_Prec!$U:$U,$B207,BV_Data_An_Prec!$V:$V,$C207,BV_Data_An_Prec!$W:$W,$L$2)</f>
        <v>0</v>
      </c>
      <c r="R207" s="303"/>
      <c r="S207" s="199">
        <f t="shared" si="120"/>
        <v>4298.3</v>
      </c>
      <c r="T207" s="222"/>
      <c r="U207" s="968">
        <f>L207-Print_Mois!L207</f>
        <v>0</v>
      </c>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original'!$A$8:$A$500=$A208)*('Budget original'!$C$3:$AO$3=F$2),'Budget original'!$C$8:$AO$500)</f>
        <v>0</v>
      </c>
      <c r="G208" s="309"/>
      <c r="H208" s="308"/>
      <c r="I208" s="179">
        <f>+SUMPRODUCT(('Budget révisé'!$A$8:$A$500=$A208)*('Budget révisé'!$C$3:$AO$3=I$2),'Budget révisé'!$C$8:$AO$500)</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0.82674871365429625</v>
      </c>
      <c r="F209" s="41">
        <f>+SUM(F197:F208)</f>
        <v>104167.89037168026</v>
      </c>
      <c r="G209" s="42" t="s">
        <v>170</v>
      </c>
      <c r="H209" s="40">
        <f>I209/I$193</f>
        <v>0.82674871365429625</v>
      </c>
      <c r="I209" s="41">
        <f>+SUM(I197:I208)</f>
        <v>104167.89037168026</v>
      </c>
      <c r="J209" s="42" t="s">
        <v>170</v>
      </c>
      <c r="K209" s="40">
        <f>L209/L$193</f>
        <v>0.76531260074561358</v>
      </c>
      <c r="L209" s="41">
        <f>+SUM(L197:L208)</f>
        <v>96641.540000000008</v>
      </c>
      <c r="M209" s="43"/>
      <c r="N209" s="46">
        <f t="shared" si="119"/>
        <v>-7526.3503716802516</v>
      </c>
      <c r="O209" s="42" t="s">
        <v>170</v>
      </c>
      <c r="P209" s="40">
        <f>Q209/Q$193</f>
        <v>0.76890431134938775</v>
      </c>
      <c r="Q209" s="41">
        <f>+SUM(Q197:Q208)</f>
        <v>83100.210000000006</v>
      </c>
      <c r="R209" s="43"/>
      <c r="S209" s="299">
        <f t="shared" si="120"/>
        <v>13541.330000000002</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original'!$A$8:$A$500=$A210)*('Budget original'!$C$3:$AO$3=F$2),'Budget original'!$C$8:$AO$500)</f>
        <v>6918.7625000000007</v>
      </c>
      <c r="G210" s="302"/>
      <c r="H210" s="178"/>
      <c r="I210" s="179">
        <f>+SUMPRODUCT(('Budget révisé'!$A$8:$A$500=$A210)*('Budget révisé'!$C$3:$AO$3=I$2),'Budget révisé'!$C$8:$AO$500)</f>
        <v>6918.7625000000007</v>
      </c>
      <c r="J210" s="303"/>
      <c r="K210" s="178"/>
      <c r="L210" s="180">
        <f>SUMIFS(BV_Data_An_Cour!$P:$P,BV_Data_An_Cour!$U:$U,$B210,BV_Data_An_Cour!$V:$V,$C210,BV_Data_An_Cour!$W:$W,$L$2)</f>
        <v>6918.89</v>
      </c>
      <c r="M210" s="303"/>
      <c r="N210" s="304">
        <f t="shared" si="119"/>
        <v>0.12749999999959982</v>
      </c>
      <c r="O210" s="303"/>
      <c r="P210" s="178"/>
      <c r="Q210" s="180">
        <f>SUMIFS(BV_Data_An_Prec!$P:$P,BV_Data_An_Prec!$U:$U,$B210,BV_Data_An_Prec!$V:$V,$C210,BV_Data_An_Prec!$W:$W,$L$2)</f>
        <v>5848.16</v>
      </c>
      <c r="R210" s="303"/>
      <c r="S210" s="199">
        <f t="shared" si="120"/>
        <v>1070.7300000000005</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original'!$A$8:$A$500=$A211)*('Budget original'!$C$3:$AO$3=F$2),'Budget original'!$C$8:$AO$500)</f>
        <v>1689.1255826109561</v>
      </c>
      <c r="G211" s="302"/>
      <c r="H211" s="178"/>
      <c r="I211" s="179">
        <f>+SUMPRODUCT(('Budget révisé'!$A$8:$A$500=$A211)*('Budget révisé'!$C$3:$AO$3=I$2),'Budget révisé'!$C$8:$AO$500)</f>
        <v>1689.1255826109561</v>
      </c>
      <c r="J211" s="303"/>
      <c r="K211" s="178"/>
      <c r="L211" s="969">
        <f>SUMIFS(BV_Data_An_Cour!$P:$P,BV_Data_An_Cour!$U:$U,$B211,BV_Data_An_Cour!$V:$V,$C211,BV_Data_An_Cour!$W:$W,$L$2)</f>
        <v>2046.25</v>
      </c>
      <c r="M211" s="303"/>
      <c r="N211" s="304">
        <f t="shared" si="119"/>
        <v>357.12441738904386</v>
      </c>
      <c r="O211" s="303"/>
      <c r="P211" s="178"/>
      <c r="Q211" s="180">
        <f>SUMIFS(BV_Data_An_Prec!$P:$P,BV_Data_An_Prec!$U:$U,$B211,BV_Data_An_Prec!$V:$V,$C211,BV_Data_An_Prec!$W:$W,$L$2)</f>
        <v>166.99</v>
      </c>
      <c r="R211" s="303"/>
      <c r="S211" s="199">
        <f t="shared" si="120"/>
        <v>1879.26</v>
      </c>
      <c r="T211" s="233"/>
      <c r="U211" s="222" t="s">
        <v>2904</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original'!$A$8:$A$500=$A212)*('Budget original'!$C$3:$AO$3=F$2),'Budget original'!$C$8:$AO$500)</f>
        <v>9419.0644444444442</v>
      </c>
      <c r="G212" s="309"/>
      <c r="H212" s="308"/>
      <c r="I212" s="177">
        <f>+SUMPRODUCT(('Budget révisé'!$A$8:$A$500=$A212)*('Budget révisé'!$C$3:$AO$3=I$2),'Budget révisé'!$C$8:$AO$500)</f>
        <v>9419.0644444444442</v>
      </c>
      <c r="J212" s="310"/>
      <c r="K212" s="308"/>
      <c r="L212" s="180">
        <f>SUMIFS(BV_Data_An_Cour!$P:$P,BV_Data_An_Cour!$U:$U,$B212,BV_Data_An_Cour!$V:$V,$C212,BV_Data_An_Cour!$W:$W,$L$2)</f>
        <v>8878.3700000000008</v>
      </c>
      <c r="M212" s="310"/>
      <c r="N212" s="311">
        <f t="shared" si="119"/>
        <v>-540.69444444444343</v>
      </c>
      <c r="O212" s="310"/>
      <c r="P212" s="308"/>
      <c r="Q212" s="180">
        <f>SUMIFS(BV_Data_An_Prec!$P:$P,BV_Data_An_Prec!$U:$U,$B212,BV_Data_An_Prec!$V:$V,$C212,BV_Data_An_Prec!$W:$W,$L$2)</f>
        <v>12067.73</v>
      </c>
      <c r="R212" s="310"/>
      <c r="S212" s="202">
        <f t="shared" si="120"/>
        <v>-3189.3599999999988</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original'!$A$8:$A$500=$A213)*('Budget original'!$C$3:$AO$3=F$2),'Budget original'!$C$8:$AO$500)</f>
        <v>5968.7398199999989</v>
      </c>
      <c r="G213" s="302"/>
      <c r="H213" s="178"/>
      <c r="I213" s="179">
        <f>+SUMPRODUCT(('Budget révisé'!$A$8:$A$500=$A213)*('Budget révisé'!$C$3:$AO$3=I$2),'Budget révisé'!$C$8:$AO$500)</f>
        <v>5968.7398199999989</v>
      </c>
      <c r="J213" s="303"/>
      <c r="K213" s="178"/>
      <c r="L213" s="181">
        <f>SUMIFS(BV_Data_An_Cour!$P:$P,BV_Data_An_Cour!$U:$U,$B213,BV_Data_An_Cour!$V:$V,$C213,BV_Data_An_Cour!$W:$W,$L$2)</f>
        <v>5969.17</v>
      </c>
      <c r="M213" s="303"/>
      <c r="N213" s="304">
        <f t="shared" si="119"/>
        <v>0.43018000000120082</v>
      </c>
      <c r="O213" s="303"/>
      <c r="P213" s="178"/>
      <c r="Q213" s="181">
        <f>SUMIFS(BV_Data_An_Prec!$P:$P,BV_Data_An_Prec!$U:$U,$B213,BV_Data_An_Prec!$V:$V,$C213,BV_Data_An_Prec!$W:$W,$L$2)</f>
        <v>3947.31</v>
      </c>
      <c r="R213" s="303"/>
      <c r="S213" s="199">
        <f t="shared" si="120"/>
        <v>2021.8600000000001</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original'!$A$8:$A$500=$A214)*('Budget original'!$C$3:$AO$3=F$2),'Budget original'!$C$8:$AO$500)</f>
        <v>594.10635000000002</v>
      </c>
      <c r="G214" s="302"/>
      <c r="H214" s="178"/>
      <c r="I214" s="179">
        <f>+SUMPRODUCT(('Budget révisé'!$A$8:$A$500=$A214)*('Budget révisé'!$C$3:$AO$3=I$2),'Budget révisé'!$C$8:$AO$500)</f>
        <v>594.10635000000002</v>
      </c>
      <c r="J214" s="303"/>
      <c r="K214" s="178"/>
      <c r="L214" s="180">
        <f>SUMIFS(BV_Data_An_Cour!$P:$P,BV_Data_An_Cour!$U:$U,$B214,BV_Data_An_Cour!$V:$V,$C214,BV_Data_An_Cour!$W:$W,$L$2)</f>
        <v>220.32</v>
      </c>
      <c r="M214" s="303"/>
      <c r="N214" s="304">
        <f t="shared" si="119"/>
        <v>-373.78635000000003</v>
      </c>
      <c r="O214" s="303"/>
      <c r="P214" s="178"/>
      <c r="Q214" s="180">
        <f>SUMIFS(BV_Data_An_Prec!$P:$P,BV_Data_An_Prec!$U:$U,$B214,BV_Data_An_Prec!$V:$V,$C214,BV_Data_An_Prec!$W:$W,$L$2)</f>
        <v>46.51</v>
      </c>
      <c r="R214" s="303"/>
      <c r="S214" s="199">
        <f t="shared" si="120"/>
        <v>173.81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original'!$A$8:$A$500=$A215)*('Budget original'!$C$3:$AO$3=F$2),'Budget original'!$C$8:$AO$500)</f>
        <v>3066.5413333333331</v>
      </c>
      <c r="G215" s="309"/>
      <c r="H215" s="308"/>
      <c r="I215" s="177">
        <f>+SUMPRODUCT(('Budget révisé'!$A$8:$A$500=$A215)*('Budget révisé'!$C$3:$AO$3=I$2),'Budget révisé'!$C$8:$AO$500)</f>
        <v>3066.5413333333331</v>
      </c>
      <c r="J215" s="310"/>
      <c r="K215" s="308"/>
      <c r="L215" s="180">
        <f>SUMIFS(BV_Data_An_Cour!$P:$P,BV_Data_An_Cour!$U:$U,$B215,BV_Data_An_Cour!$V:$V,$C215,BV_Data_An_Cour!$W:$W,$L$2)</f>
        <v>3066.56</v>
      </c>
      <c r="M215" s="310"/>
      <c r="N215" s="311">
        <f t="shared" si="119"/>
        <v>1.8666666666831588E-2</v>
      </c>
      <c r="O215" s="310"/>
      <c r="P215" s="308"/>
      <c r="Q215" s="180">
        <f>SUMIFS(BV_Data_An_Prec!$P:$P,BV_Data_An_Prec!$U:$U,$B215,BV_Data_An_Prec!$V:$V,$C215,BV_Data_An_Prec!$W:$W,$L$2)</f>
        <v>1597.88</v>
      </c>
      <c r="R215" s="310"/>
      <c r="S215" s="202">
        <f t="shared" si="120"/>
        <v>1468.6799999999998</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1993</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original'!$A$8:$A$500=$A217)*('Budget original'!$C$3:$AO$3=F$2),'Budget original'!$C$8:$AO$500)</f>
        <v>676.75071264083272</v>
      </c>
      <c r="G217" s="302"/>
      <c r="H217" s="178"/>
      <c r="I217" s="179">
        <f>+SUMPRODUCT(('Budget révisé'!$A$8:$A$500=$A217)*('Budget révisé'!$C$3:$AO$3=I$2),'Budget révisé'!$C$8:$AO$500)</f>
        <v>676.75071264083272</v>
      </c>
      <c r="J217" s="303"/>
      <c r="K217" s="178"/>
      <c r="L217" s="180">
        <f>SUMIFS(BV_Data_An_Cour!$P:$P,BV_Data_An_Cour!$U:$U,$B217,BV_Data_An_Cour!$V:$V,$C217,BV_Data_An_Cour!$W:$W,$L$2)</f>
        <v>2303.73</v>
      </c>
      <c r="M217" s="303"/>
      <c r="N217" s="304">
        <f t="shared" si="119"/>
        <v>1626.9792873591673</v>
      </c>
      <c r="O217" s="303"/>
      <c r="P217" s="178"/>
      <c r="Q217" s="180">
        <f>SUMIFS(BV_Data_An_Prec!$P:$P,BV_Data_An_Prec!$U:$U,$B217,BV_Data_An_Prec!$V:$V,$C217,BV_Data_An_Prec!$W:$W,$L$2)</f>
        <v>2168.02</v>
      </c>
      <c r="R217" s="303"/>
      <c r="S217" s="199">
        <f t="shared" si="120"/>
        <v>135.71000000000004</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original'!$A$8:$A$500=$A218)*('Budget original'!$C$3:$AO$3=F$2),'Budget original'!$C$8:$AO$500)</f>
        <v>359.60753842221726</v>
      </c>
      <c r="G218" s="302"/>
      <c r="H218" s="178"/>
      <c r="I218" s="179">
        <f>+SUMPRODUCT(('Budget révisé'!$A$8:$A$500=$A218)*('Budget révisé'!$C$3:$AO$3=I$2),'Budget révisé'!$C$8:$AO$500)</f>
        <v>359.60753842221726</v>
      </c>
      <c r="J218" s="303"/>
      <c r="K218" s="178"/>
      <c r="L218" s="180">
        <f>SUMIFS(BV_Data_An_Cour!$P:$P,BV_Data_An_Cour!$U:$U,$B218,BV_Data_An_Cour!$V:$V,$C218,BV_Data_An_Cour!$W:$W,$L$2)</f>
        <v>635.27</v>
      </c>
      <c r="M218" s="303"/>
      <c r="N218" s="304">
        <f t="shared" si="119"/>
        <v>275.66246157778272</v>
      </c>
      <c r="O218" s="303"/>
      <c r="P218" s="178"/>
      <c r="Q218" s="180">
        <f>SUMIFS(BV_Data_An_Prec!$P:$P,BV_Data_An_Prec!$U:$U,$B218,BV_Data_An_Prec!$V:$V,$C218,BV_Data_An_Prec!$W:$W,$L$2)</f>
        <v>509.73</v>
      </c>
      <c r="R218" s="303"/>
      <c r="S218" s="199">
        <f t="shared" si="120"/>
        <v>125.53999999999996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original'!$A$8:$A$500=$A219)*('Budget original'!$C$3:$AO$3=F$2),'Budget original'!$C$8:$AO$500)</f>
        <v>489.64823999999999</v>
      </c>
      <c r="G219" s="302"/>
      <c r="H219" s="178"/>
      <c r="I219" s="179">
        <f>+SUMPRODUCT(('Budget révisé'!$A$8:$A$500=$A219)*('Budget révisé'!$C$3:$AO$3=I$2),'Budget révisé'!$C$8:$AO$500)</f>
        <v>489.64823999999999</v>
      </c>
      <c r="J219" s="303"/>
      <c r="K219" s="178"/>
      <c r="L219" s="554">
        <f>SUMIFS(BV_Data_An_Cour!$P:$P,BV_Data_An_Cour!$U:$U,$B219,BV_Data_An_Cour!$V:$V,$C219,BV_Data_An_Cour!$W:$W,$L$2)</f>
        <v>634.44000000000005</v>
      </c>
      <c r="M219" s="303"/>
      <c r="N219" s="304">
        <f t="shared" si="119"/>
        <v>144.79176000000007</v>
      </c>
      <c r="O219" s="303"/>
      <c r="P219" s="178"/>
      <c r="Q219" s="554">
        <f>SUMIFS(BV_Data_An_Prec!$P:$P,BV_Data_An_Prec!$U:$U,$B219,BV_Data_An_Prec!$V:$V,$C219,BV_Data_An_Prec!$W:$W,$L$2)</f>
        <v>186.65</v>
      </c>
      <c r="R219" s="303"/>
      <c r="S219" s="199">
        <f t="shared" si="120"/>
        <v>447.79000000000008</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original'!$A$8:$A$500=$A220)*('Budget original'!$C$3:$AO$3=F$2),'Budget original'!$C$8:$AO$500)</f>
        <v>226.09839500000001</v>
      </c>
      <c r="G220" s="302"/>
      <c r="H220" s="178"/>
      <c r="I220" s="179">
        <f>+SUMPRODUCT(('Budget révisé'!$A$8:$A$500=$A220)*('Budget révisé'!$C$3:$AO$3=I$2),'Budget révisé'!$C$8:$AO$500)</f>
        <v>226.09839500000001</v>
      </c>
      <c r="J220" s="303"/>
      <c r="K220" s="178"/>
      <c r="L220" s="281">
        <f>SUMIFS(BV_Data_An_Cour!$P:$P,BV_Data_An_Cour!$U:$U,$B220,BV_Data_An_Cour!$V:$V,$C220,BV_Data_An_Cour!$W:$W,$L$2)</f>
        <v>255.6</v>
      </c>
      <c r="M220" s="303"/>
      <c r="N220" s="304">
        <f t="shared" si="119"/>
        <v>29.501604999999984</v>
      </c>
      <c r="O220" s="303"/>
      <c r="P220" s="178"/>
      <c r="Q220" s="180">
        <f>SUMIFS(BV_Data_An_Prec!$P:$P,BV_Data_An_Prec!$U:$U,$B220,BV_Data_An_Prec!$V:$V,$C220,BV_Data_An_Prec!$W:$W,$L$2)</f>
        <v>404.01</v>
      </c>
      <c r="R220" s="303"/>
      <c r="S220" s="199">
        <f t="shared" si="120"/>
        <v>-148.41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original'!$A$8:$A$500=$A221)*('Budget original'!$C$3:$AO$3=F$2),'Budget original'!$C$8:$AO$500)</f>
        <v>120.68780499999997</v>
      </c>
      <c r="G221" s="302"/>
      <c r="H221" s="178"/>
      <c r="I221" s="179">
        <f>+SUMPRODUCT(('Budget révisé'!$A$8:$A$500=$A221)*('Budget révisé'!$C$3:$AO$3=I$2),'Budget révisé'!$C$8:$AO$500)</f>
        <v>120.68780499999997</v>
      </c>
      <c r="J221" s="303"/>
      <c r="K221" s="178"/>
      <c r="L221" s="281">
        <f>SUMIFS(BV_Data_An_Cour!$P:$P,BV_Data_An_Cour!$U:$U,$B221,BV_Data_An_Cour!$V:$V,$C221,BV_Data_An_Cour!$W:$W,$L$2)</f>
        <v>36.42</v>
      </c>
      <c r="M221" s="303"/>
      <c r="N221" s="304">
        <f t="shared" si="119"/>
        <v>-84.267804999999967</v>
      </c>
      <c r="O221" s="303"/>
      <c r="P221" s="178"/>
      <c r="Q221" s="180">
        <f>SUMIFS(BV_Data_An_Prec!$P:$P,BV_Data_An_Prec!$U:$U,$B221,BV_Data_An_Prec!$V:$V,$C221,BV_Data_An_Prec!$W:$W,$L$2)</f>
        <v>48.91</v>
      </c>
      <c r="R221" s="303"/>
      <c r="S221" s="199">
        <f t="shared" si="120"/>
        <v>-12.489999999999995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original'!$A$8:$A$500=$A222)*('Budget original'!$C$3:$AO$3=F$2),'Budget original'!$C$8:$AO$500)</f>
        <v>582.1751949999998</v>
      </c>
      <c r="G222" s="302"/>
      <c r="H222" s="178"/>
      <c r="I222" s="179">
        <f>+SUMPRODUCT(('Budget révisé'!$A$8:$A$500=$A222)*('Budget révisé'!$C$3:$AO$3=I$2),'Budget révisé'!$C$8:$AO$500)</f>
        <v>582.1751949999998</v>
      </c>
      <c r="J222" s="303"/>
      <c r="K222" s="178"/>
      <c r="L222" s="281">
        <f>SUMIFS(BV_Data_An_Cour!$P:$P,BV_Data_An_Cour!$U:$U,$B222,BV_Data_An_Cour!$V:$V,$C222,BV_Data_An_Cour!$W:$W,$L$2)</f>
        <v>248.54</v>
      </c>
      <c r="M222" s="303"/>
      <c r="N222" s="304">
        <f t="shared" si="119"/>
        <v>-333.63519499999984</v>
      </c>
      <c r="O222" s="303"/>
      <c r="P222" s="178"/>
      <c r="Q222" s="180">
        <f>SUMIFS(BV_Data_An_Prec!$P:$P,BV_Data_An_Prec!$U:$U,$B222,BV_Data_An_Prec!$V:$V,$C222,BV_Data_An_Prec!$W:$W,$L$2)</f>
        <v>189.22</v>
      </c>
      <c r="R222" s="303"/>
      <c r="S222" s="199">
        <f t="shared" si="120"/>
        <v>59.319999999999993</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original'!$A$8:$A$500=$A223)*('Budget original'!$C$3:$AO$3=F$2),'Budget original'!$C$8:$AO$500)</f>
        <v>864.94219999999996</v>
      </c>
      <c r="G223" s="302"/>
      <c r="H223" s="178"/>
      <c r="I223" s="179">
        <f>+SUMPRODUCT(('Budget révisé'!$A$8:$A$500=$A223)*('Budget révisé'!$C$3:$AO$3=I$2),'Budget révisé'!$C$8:$AO$500)</f>
        <v>864.94219999999996</v>
      </c>
      <c r="J223" s="303"/>
      <c r="K223" s="178"/>
      <c r="L223" s="281">
        <f>SUMIFS(BV_Data_An_Cour!$P:$P,BV_Data_An_Cour!$U:$U,$B223,BV_Data_An_Cour!$V:$V,$C223,BV_Data_An_Cour!$W:$W,$L$2)</f>
        <v>76.56</v>
      </c>
      <c r="M223" s="303"/>
      <c r="N223" s="304">
        <f t="shared" si="119"/>
        <v>-788.38220000000001</v>
      </c>
      <c r="O223" s="303"/>
      <c r="P223" s="178"/>
      <c r="Q223" s="180">
        <f>SUMIFS(BV_Data_An_Prec!$P:$P,BV_Data_An_Prec!$U:$U,$B223,BV_Data_An_Prec!$V:$V,$C223,BV_Data_An_Prec!$W:$W,$L$2)</f>
        <v>708.75</v>
      </c>
      <c r="R223" s="303"/>
      <c r="S223" s="199">
        <f t="shared" si="120"/>
        <v>-632.19000000000005</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original'!$A$8:$A$500=$A224)*('Budget original'!$C$3:$AO$3=F$2),'Budget original'!$C$8:$AO$500)</f>
        <v>1262.4279517546465</v>
      </c>
      <c r="G224" s="302"/>
      <c r="H224" s="178"/>
      <c r="I224" s="179">
        <f>+SUMPRODUCT(('Budget révisé'!$A$8:$A$500=$A224)*('Budget révisé'!$C$3:$AO$3=I$2),'Budget révisé'!$C$8:$AO$500)</f>
        <v>1262.4279517546465</v>
      </c>
      <c r="J224" s="303"/>
      <c r="K224" s="178"/>
      <c r="L224" s="281">
        <f>AF447*W5</f>
        <v>1120.7250000000001</v>
      </c>
      <c r="M224" s="303"/>
      <c r="N224" s="304">
        <f t="shared" si="119"/>
        <v>-141.70295175464639</v>
      </c>
      <c r="O224" s="303"/>
      <c r="P224" s="178"/>
      <c r="Q224" s="180">
        <f>AL447*W5</f>
        <v>963.2745000000001</v>
      </c>
      <c r="R224" s="303"/>
      <c r="S224" s="199">
        <f t="shared" si="120"/>
        <v>157.45050000000003</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original'!$A$8:$A$500=$A225)*('Budget original'!$C$3:$AO$3=F$2),'Budget original'!$C$8:$AO$500)</f>
        <v>0</v>
      </c>
      <c r="G225" s="302"/>
      <c r="H225" s="178"/>
      <c r="I225" s="179">
        <f>+SUMPRODUCT(('Budget révisé'!$A$8:$A$500=$A225)*('Budget révisé'!$C$3:$AO$3=I$2),'Budget révisé'!$C$8:$AO$500)</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original'!$A$8:$A$500=$A226)*('Budget original'!$C$3:$AO$3=F$2),'Budget original'!$C$8:$AO$500)</f>
        <v>0</v>
      </c>
      <c r="G226" s="302"/>
      <c r="H226" s="178"/>
      <c r="I226" s="179">
        <f>+SUMPRODUCT(('Budget révisé'!$A$8:$A$500=$A226)*('Budget révisé'!$C$3:$AO$3=I$2),'Budget révisé'!$C$8:$AO$500)</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original'!$A$8:$A$500=$A227)*('Budget original'!$C$3:$AO$3=F$2),'Budget original'!$C$8:$AO$500)</f>
        <v>0</v>
      </c>
      <c r="G227" s="302"/>
      <c r="H227" s="178"/>
      <c r="I227" s="179">
        <f>+SUMPRODUCT(('Budget révisé'!$A$8:$A$500=$A227)*('Budget révisé'!$C$3:$AO$3=I$2),'Budget révisé'!$C$8:$AO$500)</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0.25586853614586369</v>
      </c>
      <c r="F228" s="41">
        <f>+SUM(F210:F227)</f>
        <v>32238.678068206427</v>
      </c>
      <c r="G228" s="42" t="s">
        <v>170</v>
      </c>
      <c r="H228" s="40">
        <f>I228/I$193</f>
        <v>0.25586853614586369</v>
      </c>
      <c r="I228" s="41">
        <f>+SUM(I210:I227)</f>
        <v>32238.678068206427</v>
      </c>
      <c r="J228" s="42" t="s">
        <v>170</v>
      </c>
      <c r="K228" s="40">
        <f>L228/L$193</f>
        <v>0.25666424685816225</v>
      </c>
      <c r="L228" s="41">
        <f>+SUM(L210:L227)</f>
        <v>32410.844999999998</v>
      </c>
      <c r="M228" s="44"/>
      <c r="N228" s="41">
        <f t="shared" si="119"/>
        <v>172.16693179357026</v>
      </c>
      <c r="O228" s="42" t="s">
        <v>170</v>
      </c>
      <c r="P228" s="40">
        <f>Q228/Q$193</f>
        <v>0.26697053114591252</v>
      </c>
      <c r="Q228" s="41">
        <f>+SUM(Q210:Q227)</f>
        <v>28853.144499999999</v>
      </c>
      <c r="R228" s="44"/>
      <c r="S228" s="316">
        <f t="shared" si="120"/>
        <v>3557.700499999999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1.0826172498001598</v>
      </c>
      <c r="F230" s="41">
        <f>F209+F228</f>
        <v>136406.56843988667</v>
      </c>
      <c r="G230" s="42" t="s">
        <v>111</v>
      </c>
      <c r="H230" s="40">
        <f>I230/I$193</f>
        <v>1.0826172498001598</v>
      </c>
      <c r="I230" s="41">
        <f>I209+I228</f>
        <v>136406.56843988667</v>
      </c>
      <c r="J230" s="42" t="s">
        <v>111</v>
      </c>
      <c r="K230" s="40">
        <f>L230/L$193</f>
        <v>1.0219768476037758</v>
      </c>
      <c r="L230" s="41">
        <f>L209+L228</f>
        <v>129052.38500000001</v>
      </c>
      <c r="M230" s="44"/>
      <c r="N230" s="46">
        <f t="shared" ref="N230:N232" si="129">L230-I230</f>
        <v>-7354.1834398866631</v>
      </c>
      <c r="O230" s="42" t="s">
        <v>111</v>
      </c>
      <c r="P230" s="40">
        <f>Q230/Q$193</f>
        <v>1.0358748424953002</v>
      </c>
      <c r="Q230" s="41">
        <f>Q209+Q228</f>
        <v>111953.3545</v>
      </c>
      <c r="R230" s="44"/>
      <c r="S230" s="299">
        <f>L230-Q230</f>
        <v>17099.030500000008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-10409.528890529837</v>
      </c>
      <c r="G232" s="344"/>
      <c r="H232" s="342"/>
      <c r="I232" s="343">
        <f>I193-I230</f>
        <v>-10409.528890529837</v>
      </c>
      <c r="J232" s="345"/>
      <c r="K232" s="346"/>
      <c r="L232" s="343">
        <f>L193-L230</f>
        <v>-2775.1750000000029</v>
      </c>
      <c r="M232" s="345"/>
      <c r="N232" s="343">
        <f t="shared" si="129"/>
        <v>7634.3538905298337</v>
      </c>
      <c r="O232" s="345"/>
      <c r="P232" s="346"/>
      <c r="Q232" s="343">
        <f>Q193-Q230</f>
        <v>-3877.2145000000164</v>
      </c>
      <c r="R232" s="345"/>
      <c r="S232" s="347">
        <f>L232-Q232</f>
        <v>1102.0395000000135</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Janvier 2022</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287" t="s">
        <v>77</v>
      </c>
      <c r="E237" s="1288"/>
      <c r="F237" s="1289"/>
      <c r="G237" s="1290" t="s">
        <v>145</v>
      </c>
      <c r="H237" s="1288"/>
      <c r="I237" s="1289"/>
      <c r="J237" s="1290" t="s">
        <v>79</v>
      </c>
      <c r="K237" s="1288"/>
      <c r="L237" s="1289"/>
      <c r="M237" s="1290" t="s">
        <v>80</v>
      </c>
      <c r="N237" s="1289"/>
      <c r="O237" s="1287" t="s">
        <v>81</v>
      </c>
      <c r="P237" s="1288"/>
      <c r="Q237" s="1289"/>
      <c r="R237" s="1290" t="s">
        <v>82</v>
      </c>
      <c r="S237" s="129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original'!$A$8:$A$500=$A240)*('Budget original'!$C$3:$AO$3=D$2),'Budget original'!$C$8:$AO$500)</f>
        <v>0</v>
      </c>
      <c r="E240" s="197">
        <f>+SUMPRODUCT(('Budget original'!$A$8:$A$500=$A240)*('Budget original'!$C$3:$AO$3=E$2),'Budget original'!$C$8:$AO$500)</f>
        <v>99111.473718427238</v>
      </c>
      <c r="F240" s="197">
        <f>+SUMPRODUCT(('Budget original'!$A$8:$A$500=$A240)*('Budget original'!$C$3:$AO$3=F$2),'Budget original'!$C$8:$AO$500)</f>
        <v>21923.551865834706</v>
      </c>
      <c r="G240" s="348">
        <f>+SUMPRODUCT(('Budget révisé'!$A$8:$A$500=$A240)*('Budget révisé'!$C$3:$AO$3=G$2),'Budget révisé'!$C$8:$AO$500)</f>
        <v>0</v>
      </c>
      <c r="H240" s="197">
        <f>+SUMPRODUCT(('Budget révisé'!$A$8:$A$500=$A240)*('Budget révisé'!$C$3:$AO$3=H$2),'Budget révisé'!$C$8:$AO$500)</f>
        <v>99111.473718427238</v>
      </c>
      <c r="I240" s="197">
        <f>+SUMPRODUCT(('Budget révisé'!$A$8:$A$500=$A240)*('Budget révisé'!$C$3:$AO$3=I$2),'Budget révisé'!$C$8:$AO$500)</f>
        <v>21923.551865834706</v>
      </c>
      <c r="J240" s="325">
        <f>-SUMIFS(BV_Data_An_Cour!$P:$P,BV_Data_An_Cour!$U:$U,$B240,BV_Data_An_Cour!$V:$V,$C240,BV_Data_An_Cour!$W:$W,J$2)</f>
        <v>49</v>
      </c>
      <c r="K240" s="179">
        <f>-SUMIFS(BV_Data_An_Cour!$P:$P,BV_Data_An_Cour!$X:$X,"Oui",BV_Data_An_Cour!$U:$U,$B240,BV_Data_An_Cour!$V:$V,$C240)</f>
        <v>88531.14</v>
      </c>
      <c r="L240" s="180">
        <f>-SUMIFS(BV_Data_An_Cour!$P:$P,BV_Data_An_Cour!$U:$U,$B240,BV_Data_An_Cour!$V:$V,$C240,BV_Data_An_Cour!$W:$W,$L$2)</f>
        <v>19738.389999999996</v>
      </c>
      <c r="M240" s="324">
        <f>IFERROR((K240-H240)/H240,0)</f>
        <v>-0.1067518554762454</v>
      </c>
      <c r="N240" s="304">
        <f>L240-I240</f>
        <v>-2185.1618658347106</v>
      </c>
      <c r="O240" s="325">
        <f>-SUMIFS(BV_Data_An_Prec!$P:$P,BV_Data_An_Prec!$U:$U,$B240,BV_Data_An_Prec!$V:$V,$C240,BV_Data_An_Prec!$W:$W,O$2)</f>
        <v>59</v>
      </c>
      <c r="P240" s="179">
        <f>-SUMIFS(BV_Data_An_Prec!$P:$P,BV_Data_An_Prec!$X:$X,"Oui",BV_Data_An_Prec!$U:$U,$B240,BV_Data_An_Prec!$V:$V,$C240)</f>
        <v>103646.92</v>
      </c>
      <c r="Q240" s="180">
        <f>-SUMIFS(BV_Data_An_Prec!$P:$P,BV_Data_An_Prec!$U:$U,$B240,BV_Data_An_Prec!$V:$V,$C240,BV_Data_An_Prec!$W:$W,$L$2)</f>
        <v>19408.940000000002</v>
      </c>
      <c r="R240" s="324">
        <f>IF(O240=0,0,J240/O240)</f>
        <v>0.83050847457627119</v>
      </c>
      <c r="S240" s="199">
        <f>L240-Q240</f>
        <v>329.44999999999345</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0.22120094720939038</v>
      </c>
      <c r="G241" s="303"/>
      <c r="H241" s="349"/>
      <c r="I241" s="350">
        <f>IFERROR(I240/H240,0)</f>
        <v>0.22120094720939038</v>
      </c>
      <c r="J241" s="325"/>
      <c r="K241" s="178"/>
      <c r="L241" s="350">
        <f>IFERROR(L240/K240,0)</f>
        <v>0.22295420571789765</v>
      </c>
      <c r="M241" s="324"/>
      <c r="N241" s="304">
        <f>IFERROR(N240/M240,0)</f>
        <v>20469.544590922418</v>
      </c>
      <c r="O241" s="325"/>
      <c r="P241" s="178"/>
      <c r="Q241" s="350">
        <f>IFERROR(Q240/P240,0)</f>
        <v>0.18726017135868583</v>
      </c>
      <c r="R241" s="325"/>
      <c r="S241" s="199">
        <f>IFERROR(S240/R240,0)</f>
        <v>396.68469387754311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original'!$A$8:$A$500=$A243)*('Budget original'!$C$3:$AO$3=D$2),'Budget original'!$C$8:$AO$500)</f>
        <v>0</v>
      </c>
      <c r="E243" s="197">
        <f>+SUMPRODUCT(('Budget original'!$A$8:$A$500=$A243)*('Budget original'!$C$3:$AO$3=E$2),'Budget original'!$C$8:$AO$500)</f>
        <v>0</v>
      </c>
      <c r="F243" s="197">
        <f>+SUMPRODUCT(('Budget original'!$A$8:$A$500=$A243)*('Budget original'!$C$3:$AO$3=F$2),'Budget original'!$C$8:$AO$500)</f>
        <v>0</v>
      </c>
      <c r="G243" s="353">
        <f>+SUMPRODUCT(('Budget révisé'!$A$8:$A$500=$A243)*('Budget révisé'!$C$3:$AO$3=G$2),'Budget révisé'!$C$8:$AO$500)</f>
        <v>0</v>
      </c>
      <c r="H243" s="197">
        <f>+SUMPRODUCT(('Budget révisé'!$A$8:$A$500=$A243)*('Budget révisé'!$C$3:$AO$3=H$2),'Budget révisé'!$C$8:$AO$500)</f>
        <v>0</v>
      </c>
      <c r="I243" s="197">
        <f>+SUMPRODUCT(('Budget révisé'!$A$8:$A$500=$A243)*('Budget révisé'!$C$3:$AO$3=I$2),'Budget révisé'!$C$8:$AO$500)</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original'!$A$8:$A$500=$A246)*('Budget original'!$C$3:$AO$3=D$2),'Budget original'!$C$8:$AO$500)</f>
        <v>0</v>
      </c>
      <c r="E246" s="197">
        <f>+SUMPRODUCT(('Budget original'!$A$8:$A$500=$A246)*('Budget original'!$C$3:$AO$3=E$2),'Budget original'!$C$8:$AO$500)</f>
        <v>0</v>
      </c>
      <c r="F246" s="197">
        <f>+SUMPRODUCT(('Budget original'!$A$8:$A$500=$A246)*('Budget original'!$C$3:$AO$3=F$2),'Budget original'!$C$8:$AO$500)</f>
        <v>0</v>
      </c>
      <c r="G246" s="354">
        <f>+SUMPRODUCT(('Budget révisé'!$A$8:$A$500=$A246)*('Budget révisé'!$C$3:$AO$3=G$2),'Budget révisé'!$C$8:$AO$500)</f>
        <v>0</v>
      </c>
      <c r="H246" s="197">
        <f>+SUMPRODUCT(('Budget révisé'!$A$8:$A$500=$A246)*('Budget révisé'!$C$3:$AO$3=H$2),'Budget révisé'!$C$8:$AO$500)</f>
        <v>0</v>
      </c>
      <c r="I246" s="197">
        <f>+SUMPRODUCT(('Budget révisé'!$A$8:$A$500=$A246)*('Budget révisé'!$C$3:$AO$3=I$2),'Budget révisé'!$C$8:$AO$500)</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99111.473718427238</v>
      </c>
      <c r="F249" s="28">
        <f t="shared" si="131"/>
        <v>21923.551865834706</v>
      </c>
      <c r="G249" s="29"/>
      <c r="H249" s="26">
        <f t="shared" ref="H249:I249" si="132">H243+H246+H240</f>
        <v>99111.473718427238</v>
      </c>
      <c r="I249" s="28">
        <f t="shared" si="132"/>
        <v>21923.551865834706</v>
      </c>
      <c r="J249" s="29"/>
      <c r="K249" s="26">
        <f t="shared" ref="K249:L249" si="133">K243+K246+K240</f>
        <v>88531.14</v>
      </c>
      <c r="L249" s="28">
        <f t="shared" si="133"/>
        <v>19738.389999999996</v>
      </c>
      <c r="M249" s="70">
        <f>L250-I250</f>
        <v>1.7532585085072716E-3</v>
      </c>
      <c r="N249" s="28">
        <f>L249-I249</f>
        <v>-2185.1618658347106</v>
      </c>
      <c r="O249" s="29"/>
      <c r="P249" s="26">
        <f t="shared" ref="P249:Q249" si="134">P243+P246+P240</f>
        <v>103646.92</v>
      </c>
      <c r="Q249" s="28">
        <f t="shared" si="134"/>
        <v>19408.940000000002</v>
      </c>
      <c r="R249" s="70">
        <f>L250-Q250</f>
        <v>3.5694034359211813E-2</v>
      </c>
      <c r="S249" s="363">
        <f>L249-Q249</f>
        <v>329.44999999999345</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0.22120094720939038</v>
      </c>
      <c r="G250" s="31"/>
      <c r="H250" s="365"/>
      <c r="I250" s="34">
        <f>I249/H249</f>
        <v>0.22120094720939038</v>
      </c>
      <c r="J250" s="31"/>
      <c r="K250" s="365"/>
      <c r="L250" s="34">
        <f>IF(K249=0,0,L249/K249)</f>
        <v>0.22295420571789765</v>
      </c>
      <c r="M250" s="33"/>
      <c r="N250" s="34">
        <f>N249/I249</f>
        <v>-9.9671890723146458E-2</v>
      </c>
      <c r="O250" s="31"/>
      <c r="P250" s="365"/>
      <c r="Q250" s="34">
        <f>IF(P249=0,0,Q249/P249)</f>
        <v>0.18726017135868583</v>
      </c>
      <c r="R250" s="33"/>
      <c r="S250" s="272">
        <f>IF(R249=0,0,S249/R249)</f>
        <v>9229.8336658873632</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original'!$A$8:$A$500=$A253)*('Budget original'!$C$3:$AO$3=F$2),'Budget original'!$C$8:$AO$500)</f>
        <v>310.99511494252874</v>
      </c>
      <c r="G253" s="227"/>
      <c r="H253" s="233"/>
      <c r="I253" s="231">
        <f>+SUMPRODUCT(('Budget révisé'!$A$8:$A$500=$A253)*('Budget révisé'!$C$3:$AO$3=I$2),'Budget révisé'!$C$8:$AO$500)</f>
        <v>310.99511494252874</v>
      </c>
      <c r="J253" s="227"/>
      <c r="K253" s="233"/>
      <c r="L253" s="281">
        <f>SUMIFS(BV_Data_An_Cour!$P:$P,BV_Data_An_Cour!$U:$U,$B253,BV_Data_An_Cour!$V:$V,$C253,BV_Data_An_Cour!$W:$W,$L$2)</f>
        <v>1401.88</v>
      </c>
      <c r="M253" s="227"/>
      <c r="N253" s="232">
        <f t="shared" ref="N253:N283" si="135">L253-I253</f>
        <v>1090.8848850574714</v>
      </c>
      <c r="O253" s="227"/>
      <c r="P253" s="233"/>
      <c r="Q253" s="281">
        <f>SUMIFS(BV_Data_An_Prec!$P:$P,BV_Data_An_Prec!$U:$U,$B253,BV_Data_An_Prec!$V:$V,$C253,BV_Data_An_Prec!$W:$W,$L$2)</f>
        <v>809.12</v>
      </c>
      <c r="R253" s="227"/>
      <c r="S253" s="512">
        <f>L253-Q253</f>
        <v>592.7600000000001</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original'!$A$8:$A$500=$A254)*('Budget original'!$C$3:$AO$3=F$2),'Budget original'!$C$8:$AO$500)</f>
        <v>521.45033666091956</v>
      </c>
      <c r="G254" s="283"/>
      <c r="H254" s="233"/>
      <c r="I254" s="244">
        <f>+SUMPRODUCT(('Budget révisé'!$A$8:$A$500=$A254)*('Budget révisé'!$C$3:$AO$3=I$2),'Budget révisé'!$C$8:$AO$500)</f>
        <v>521.45033666091956</v>
      </c>
      <c r="J254" s="227"/>
      <c r="K254" s="233"/>
      <c r="L254" s="281">
        <f>SUMIFS(BV_Data_An_Cour!$P:$P,BV_Data_An_Cour!$U:$U,$B254,BV_Data_An_Cour!$V:$V,$C254,BV_Data_An_Cour!$W:$W,$L$2)</f>
        <v>443.57</v>
      </c>
      <c r="M254" s="227"/>
      <c r="N254" s="232">
        <f t="shared" si="135"/>
        <v>-77.880336660919568</v>
      </c>
      <c r="O254" s="227"/>
      <c r="P254" s="233"/>
      <c r="Q254" s="281">
        <f>SUMIFS(BV_Data_An_Prec!$P:$P,BV_Data_An_Prec!$U:$U,$B254,BV_Data_An_Prec!$V:$V,$C254,BV_Data_An_Prec!$W:$W,$L$2)</f>
        <v>1179.27</v>
      </c>
      <c r="R254" s="227"/>
      <c r="S254" s="284">
        <f>L254-Q254</f>
        <v>-735.7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original'!$A$8:$A$500=$A255)*('Budget original'!$C$3:$AO$3=F$2),'Budget original'!$C$8:$AO$500)</f>
        <v>448.55861963218388</v>
      </c>
      <c r="G255" s="287"/>
      <c r="H255" s="286"/>
      <c r="I255" s="231">
        <f>+SUMPRODUCT(('Budget révisé'!$A$8:$A$500=$A255)*('Budget révisé'!$C$3:$AO$3=I$2),'Budget révisé'!$C$8:$AO$500)</f>
        <v>448.55861963218388</v>
      </c>
      <c r="J255" s="288"/>
      <c r="K255" s="286"/>
      <c r="L255" s="245">
        <f>SUMIFS(BV_Data_An_Cour!$P:$P,BV_Data_An_Cour!$U:$U,$B255,BV_Data_An_Cour!$V:$V,$C255,BV_Data_An_Cour!$W:$W,$L$2)</f>
        <v>3271.37</v>
      </c>
      <c r="M255" s="288"/>
      <c r="N255" s="289">
        <f t="shared" si="135"/>
        <v>2822.8113803678161</v>
      </c>
      <c r="O255" s="288"/>
      <c r="P255" s="286"/>
      <c r="Q255" s="245">
        <f>SUMIFS(BV_Data_An_Prec!$P:$P,BV_Data_An_Prec!$U:$U,$B255,BV_Data_An_Prec!$V:$V,$C255,BV_Data_An_Prec!$W:$W,$L$2)</f>
        <v>3336.87</v>
      </c>
      <c r="R255" s="288"/>
      <c r="S255" s="290">
        <f t="shared" ref="S255:S284" si="136">L255-Q255</f>
        <v>-65.5</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original'!$A$8:$A$500=$A256)*('Budget original'!$C$3:$AO$3=F$2),'Budget original'!$C$8:$AO$500)</f>
        <v>4120.6896551724139</v>
      </c>
      <c r="G256" s="283"/>
      <c r="H256" s="233"/>
      <c r="I256" s="231">
        <f>+SUMPRODUCT(('Budget révisé'!$A$8:$A$500=$A256)*('Budget révisé'!$C$3:$AO$3=I$2),'Budget révisé'!$C$8:$AO$500)</f>
        <v>4120.6896551724139</v>
      </c>
      <c r="J256" s="227"/>
      <c r="K256" s="233"/>
      <c r="L256" s="281">
        <f>SUMIFS(BV_Data_An_Cour!$P:$P,BV_Data_An_Cour!$U:$U,$B256,BV_Data_An_Cour!$V:$V,$C256,BV_Data_An_Cour!$W:$W,$L$2)</f>
        <v>150</v>
      </c>
      <c r="M256" s="227"/>
      <c r="N256" s="232">
        <f t="shared" si="135"/>
        <v>-3970.6896551724139</v>
      </c>
      <c r="O256" s="227"/>
      <c r="P256" s="233"/>
      <c r="Q256" s="281">
        <f>SUMIFS(BV_Data_An_Prec!$P:$P,BV_Data_An_Prec!$U:$U,$B256,BV_Data_An_Prec!$V:$V,$C256,BV_Data_An_Prec!$W:$W,$L$2)</f>
        <v>3432.72</v>
      </c>
      <c r="R256" s="227"/>
      <c r="S256" s="284">
        <f t="shared" si="136"/>
        <v>-3282.72</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original'!$A$8:$A$500=$A257)*('Budget original'!$C$3:$AO$3=F$2),'Budget original'!$C$8:$AO$500)</f>
        <v>0</v>
      </c>
      <c r="G257" s="283"/>
      <c r="H257" s="233"/>
      <c r="I257" s="231">
        <f>+SUMPRODUCT(('Budget révisé'!$A$8:$A$500=$A257)*('Budget révisé'!$C$3:$AO$3=I$2),'Budget révisé'!$C$8:$AO$500)</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original'!$A$8:$A$500=$A258)*('Budget original'!$C$3:$AO$3=F$2),'Budget original'!$C$8:$AO$500)</f>
        <v>0</v>
      </c>
      <c r="G258" s="283"/>
      <c r="H258" s="233"/>
      <c r="I258" s="231">
        <f>+SUMPRODUCT(('Budget révisé'!$A$8:$A$500=$A258)*('Budget révisé'!$C$3:$AO$3=I$2),'Budget révisé'!$C$8:$AO$500)</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original'!$A$8:$A$500=$A259)*('Budget original'!$C$3:$AO$3=F$2),'Budget original'!$C$8:$AO$500)</f>
        <v>0</v>
      </c>
      <c r="G259" s="283"/>
      <c r="H259" s="233"/>
      <c r="I259" s="231">
        <f>+SUMPRODUCT(('Budget révisé'!$A$8:$A$500=$A259)*('Budget révisé'!$C$3:$AO$3=I$2),'Budget révisé'!$C$8:$AO$500)</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original'!$A$8:$A$500=$A260)*('Budget original'!$C$3:$AO$3=F$2),'Budget original'!$C$8:$AO$500)</f>
        <v>658.03102564768926</v>
      </c>
      <c r="G260" s="283"/>
      <c r="H260" s="233"/>
      <c r="I260" s="244">
        <f>+SUMPRODUCT(('Budget révisé'!$A$8:$A$500=$A260)*('Budget révisé'!$C$3:$AO$3=I$2),'Budget révisé'!$C$8:$AO$500)</f>
        <v>658.03102564768926</v>
      </c>
      <c r="J260" s="227"/>
      <c r="K260" s="233"/>
      <c r="L260" s="281">
        <f>SUMIFS(BV_Data_An_Cour!$P:$P,BV_Data_An_Cour!$U:$U,$B260,BV_Data_An_Cour!$V:$V,$C260,BV_Data_An_Cour!$W:$W,$L$2)</f>
        <v>657.69</v>
      </c>
      <c r="M260" s="227"/>
      <c r="N260" s="232">
        <f t="shared" si="135"/>
        <v>-0.34102564768920729</v>
      </c>
      <c r="O260" s="227"/>
      <c r="P260" s="233"/>
      <c r="Q260" s="281">
        <f>SUMIFS(BV_Data_An_Prec!$P:$P,BV_Data_An_Prec!$U:$U,$B260,BV_Data_An_Prec!$V:$V,$C260,BV_Data_An_Prec!$W:$W,$L$2)</f>
        <v>661.7</v>
      </c>
      <c r="R260" s="227"/>
      <c r="S260" s="284">
        <f t="shared" si="136"/>
        <v>-4.0099999999999909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original'!$A$8:$A$500=$A261)*('Budget original'!$C$3:$AO$3=F$2),'Budget original'!$C$8:$AO$500)</f>
        <v>589.33423541762068</v>
      </c>
      <c r="G261" s="287"/>
      <c r="H261" s="286"/>
      <c r="I261" s="231">
        <f>+SUMPRODUCT(('Budget révisé'!$A$8:$A$500=$A261)*('Budget révisé'!$C$3:$AO$3=I$2),'Budget révisé'!$C$8:$AO$500)</f>
        <v>589.33423541762068</v>
      </c>
      <c r="J261" s="288"/>
      <c r="K261" s="286"/>
      <c r="L261" s="245">
        <f>SUMIFS(BV_Data_An_Cour!$P:$P,BV_Data_An_Cour!$U:$U,$B261,BV_Data_An_Cour!$V:$V,$C261,BV_Data_An_Cour!$W:$W,$L$2)</f>
        <v>683.05</v>
      </c>
      <c r="M261" s="288"/>
      <c r="N261" s="289">
        <f t="shared" si="135"/>
        <v>93.715764582379279</v>
      </c>
      <c r="O261" s="288"/>
      <c r="P261" s="286"/>
      <c r="Q261" s="245">
        <f>SUMIFS(BV_Data_An_Prec!$P:$P,BV_Data_An_Prec!$U:$U,$B261,BV_Data_An_Prec!$V:$V,$C261,BV_Data_An_Prec!$W:$W,$L$2)</f>
        <v>1461.24</v>
      </c>
      <c r="R261" s="288"/>
      <c r="S261" s="290">
        <f t="shared" si="136"/>
        <v>-778.19</v>
      </c>
      <c r="T261" s="222"/>
      <c r="U261" s="968">
        <f>L261-Print_Mois!L261</f>
        <v>0</v>
      </c>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original'!$A$8:$A$500=$A262)*('Budget original'!$C$3:$AO$3=F$2),'Budget original'!$C$8:$AO$500)</f>
        <v>468.00071636105173</v>
      </c>
      <c r="G262" s="283"/>
      <c r="H262" s="233"/>
      <c r="I262" s="231">
        <f>+SUMPRODUCT(('Budget révisé'!$A$8:$A$500=$A262)*('Budget révisé'!$C$3:$AO$3=I$2),'Budget révisé'!$C$8:$AO$500)</f>
        <v>468.00071636105173</v>
      </c>
      <c r="J262" s="227"/>
      <c r="K262" s="233"/>
      <c r="L262" s="281">
        <f>SUMIFS(BV_Data_An_Cour!$P:$P,BV_Data_An_Cour!$U:$U,$B262,BV_Data_An_Cour!$V:$V,$C262,BV_Data_An_Cour!$W:$W,$L$2)</f>
        <v>364.79</v>
      </c>
      <c r="M262" s="227"/>
      <c r="N262" s="232">
        <f t="shared" si="135"/>
        <v>-103.21071636105171</v>
      </c>
      <c r="O262" s="227"/>
      <c r="P262" s="233"/>
      <c r="Q262" s="281">
        <f>SUMIFS(BV_Data_An_Prec!$P:$P,BV_Data_An_Prec!$U:$U,$B262,BV_Data_An_Prec!$V:$V,$C262,BV_Data_An_Prec!$W:$W,$L$2)</f>
        <v>1281</v>
      </c>
      <c r="R262" s="227"/>
      <c r="S262" s="284">
        <f t="shared" si="136"/>
        <v>-916.21</v>
      </c>
      <c r="T262" s="233"/>
      <c r="U262" s="968">
        <f>L262-Print_Mois!L262</f>
        <v>0</v>
      </c>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original'!$A$8:$A$500=$A263)*('Budget original'!$C$3:$AO$3=F$2),'Budget original'!$C$8:$AO$500)</f>
        <v>190.66695851746553</v>
      </c>
      <c r="G263" s="283"/>
      <c r="H263" s="233"/>
      <c r="I263" s="231">
        <f>+SUMPRODUCT(('Budget révisé'!$A$8:$A$500=$A263)*('Budget révisé'!$C$3:$AO$3=I$2),'Budget révisé'!$C$8:$AO$500)</f>
        <v>190.66695851746553</v>
      </c>
      <c r="J263" s="227"/>
      <c r="K263" s="233"/>
      <c r="L263" s="281">
        <f>SUMIFS(BV_Data_An_Cour!$P:$P,BV_Data_An_Cour!$U:$U,$B263,BV_Data_An_Cour!$V:$V,$C263,BV_Data_An_Cour!$W:$W,$L$2)</f>
        <v>198</v>
      </c>
      <c r="M263" s="227"/>
      <c r="N263" s="232">
        <f t="shared" si="135"/>
        <v>7.333041482534469</v>
      </c>
      <c r="O263" s="227"/>
      <c r="P263" s="233"/>
      <c r="Q263" s="281">
        <f>SUMIFS(BV_Data_An_Prec!$P:$P,BV_Data_An_Prec!$U:$U,$B263,BV_Data_An_Prec!$V:$V,$C263,BV_Data_An_Prec!$W:$W,$L$2)</f>
        <v>0</v>
      </c>
      <c r="R263" s="227"/>
      <c r="S263" s="284">
        <f t="shared" si="136"/>
        <v>198</v>
      </c>
      <c r="T263" s="233"/>
      <c r="U263" s="968">
        <f>L263-Print_Mois!L263</f>
        <v>0</v>
      </c>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original'!$A$2:$AO$500,MATCH($A264,'Budget original'!$A$2:$A$500,0),MATCH(F$2,'Budget original'!$A$2:$AO$2,0))</f>
        <v>0</v>
      </c>
      <c r="G264" s="294"/>
      <c r="H264" s="293"/>
      <c r="I264" s="231">
        <f>+INDEX('Budget révisé'!$A$2:$AO$500,MATCH($A264,'Budget révisé'!$A$2:$A$500,0),MATCH(I$2,'Budget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7307.7266623518735</v>
      </c>
      <c r="G265" s="42" t="s">
        <v>111</v>
      </c>
      <c r="H265" s="40" t="e">
        <f>I265/I$243</f>
        <v>#DIV/0!</v>
      </c>
      <c r="I265" s="41">
        <f>+SUM(I253:I264)</f>
        <v>7307.7266623518735</v>
      </c>
      <c r="J265" s="42" t="s">
        <v>111</v>
      </c>
      <c r="K265" s="40">
        <f>IF(L243=0,0,L265/L$243)</f>
        <v>0</v>
      </c>
      <c r="L265" s="41">
        <f>+SUM(L253:L264)</f>
        <v>7170.35</v>
      </c>
      <c r="M265" s="43"/>
      <c r="N265" s="46">
        <f t="shared" si="135"/>
        <v>-137.37666235187316</v>
      </c>
      <c r="O265" s="42" t="s">
        <v>111</v>
      </c>
      <c r="P265" s="40">
        <f>IF(Q243=0,0,Q265/Q$243)</f>
        <v>0</v>
      </c>
      <c r="Q265" s="41">
        <f>+SUM(Q253:Q264)</f>
        <v>12161.92</v>
      </c>
      <c r="R265" s="43"/>
      <c r="S265" s="299">
        <f t="shared" si="136"/>
        <v>-4991.57</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original'!$A$8:$A$500=$A266)*('Budget original'!$C$3:$AO$3=F$2),'Budget original'!$C$8:$AO$500)</f>
        <v>0</v>
      </c>
      <c r="G266" s="302"/>
      <c r="H266" s="178"/>
      <c r="I266" s="179">
        <f>+SUMPRODUCT(('Budget révisé'!$A$8:$A$500=$A266)*('Budget révisé'!$C$3:$AO$3=I$2),'Budget révisé'!$C$8:$AO$500)</f>
        <v>0</v>
      </c>
      <c r="J266" s="303"/>
      <c r="K266" s="178"/>
      <c r="L266" s="281">
        <f>SUMIFS(BV_Data_An_Cour!$P:$P,BV_Data_An_Cour!$U:$U,$B266,BV_Data_An_Cour!$V:$V,$C266,BV_Data_An_Cour!$W:$W,$L$2)</f>
        <v>7.0000000000000007E-2</v>
      </c>
      <c r="M266" s="303"/>
      <c r="N266" s="304">
        <f t="shared" si="135"/>
        <v>7.0000000000000007E-2</v>
      </c>
      <c r="O266" s="303"/>
      <c r="P266" s="178"/>
      <c r="Q266" s="281">
        <f>SUMIFS(BV_Data_An_Prec!$P:$P,BV_Data_An_Prec!$U:$U,$B266,BV_Data_An_Prec!$V:$V,$C266,BV_Data_An_Prec!$W:$W,$L$2)</f>
        <v>100.08</v>
      </c>
      <c r="R266" s="303"/>
      <c r="S266" s="199">
        <f t="shared" si="136"/>
        <v>-100.01</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original'!$A$8:$A$500=$A267)*('Budget original'!$C$3:$AO$3=F$2),'Budget original'!$C$8:$AO$500)</f>
        <v>344.06278272093203</v>
      </c>
      <c r="G267" s="302"/>
      <c r="H267" s="178"/>
      <c r="I267" s="179">
        <f>+SUMPRODUCT(('Budget révisé'!$A$8:$A$500=$A267)*('Budget révisé'!$C$3:$AO$3=I$2),'Budget révisé'!$C$8:$AO$500)</f>
        <v>344.06278272093203</v>
      </c>
      <c r="J267" s="303"/>
      <c r="K267" s="178"/>
      <c r="L267" s="180">
        <f>SUMIFS(BV_Data_An_Cour!$P:$P,BV_Data_An_Cour!$U:$U,$B267,BV_Data_An_Cour!$V:$V,$C267,BV_Data_An_Cour!$W:$W,$L$2)</f>
        <v>439.94</v>
      </c>
      <c r="M267" s="303"/>
      <c r="N267" s="304">
        <f t="shared" si="135"/>
        <v>95.877217279067963</v>
      </c>
      <c r="O267" s="303"/>
      <c r="P267" s="178"/>
      <c r="Q267" s="180">
        <f>SUMIFS(BV_Data_An_Prec!$P:$P,BV_Data_An_Prec!$U:$U,$B267,BV_Data_An_Prec!$V:$V,$C267,BV_Data_An_Prec!$W:$W,$L$2)</f>
        <v>12.15</v>
      </c>
      <c r="R267" s="303"/>
      <c r="S267" s="199">
        <f t="shared" si="136"/>
        <v>427.79</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original'!$A$8:$A$500=$A268)*('Budget original'!$C$3:$AO$3=F$2),'Budget original'!$C$8:$AO$500)</f>
        <v>379.94</v>
      </c>
      <c r="G268" s="309"/>
      <c r="H268" s="308"/>
      <c r="I268" s="177">
        <f>+SUMPRODUCT(('Budget révisé'!$A$8:$A$500=$A268)*('Budget révisé'!$C$3:$AO$3=I$2),'Budget révisé'!$C$8:$AO$500)</f>
        <v>379.94</v>
      </c>
      <c r="J268" s="310"/>
      <c r="K268" s="308"/>
      <c r="L268" s="180">
        <f>SUMIFS(BV_Data_An_Cour!$P:$P,BV_Data_An_Cour!$U:$U,$B268,BV_Data_An_Cour!$V:$V,$C268,BV_Data_An_Cour!$W:$W,$L$2)</f>
        <v>667.66</v>
      </c>
      <c r="M268" s="310"/>
      <c r="N268" s="311">
        <f t="shared" si="135"/>
        <v>287.71999999999997</v>
      </c>
      <c r="O268" s="310"/>
      <c r="P268" s="308"/>
      <c r="Q268" s="180">
        <f>SUMIFS(BV_Data_An_Prec!$P:$P,BV_Data_An_Prec!$U:$U,$B268,BV_Data_An_Prec!$V:$V,$C268,BV_Data_An_Prec!$W:$W,$L$2)</f>
        <v>824.3</v>
      </c>
      <c r="R268" s="310"/>
      <c r="S268" s="202">
        <f t="shared" si="136"/>
        <v>-156.63999999999999</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original'!$A$8:$A$500=$A269)*('Budget original'!$C$3:$AO$3=F$2),'Budget original'!$C$8:$AO$500)</f>
        <v>1313.4198641666667</v>
      </c>
      <c r="G269" s="302"/>
      <c r="H269" s="178"/>
      <c r="I269" s="179">
        <f>+SUMPRODUCT(('Budget révisé'!$A$8:$A$500=$A269)*('Budget révisé'!$C$3:$AO$3=I$2),'Budget révisé'!$C$8:$AO$500)</f>
        <v>1313.4198641666667</v>
      </c>
      <c r="J269" s="303"/>
      <c r="K269" s="178"/>
      <c r="L269" s="181">
        <f>SUMIFS(BV_Data_An_Cour!$P:$P,BV_Data_An_Cour!$U:$U,$B269,BV_Data_An_Cour!$V:$V,$C269,BV_Data_An_Cour!$W:$W,$L$2)</f>
        <v>1307.8499999999999</v>
      </c>
      <c r="M269" s="303"/>
      <c r="N269" s="304">
        <f t="shared" si="135"/>
        <v>-5.5698641666667754</v>
      </c>
      <c r="O269" s="303"/>
      <c r="P269" s="178"/>
      <c r="Q269" s="181">
        <f>SUMIFS(BV_Data_An_Prec!$P:$P,BV_Data_An_Prec!$U:$U,$B269,BV_Data_An_Prec!$V:$V,$C269,BV_Data_An_Prec!$W:$W,$L$2)</f>
        <v>1378.59</v>
      </c>
      <c r="R269" s="303"/>
      <c r="S269" s="199">
        <f t="shared" si="136"/>
        <v>-70.740000000000009</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original'!$A$8:$A$500=$A270)*('Budget original'!$C$3:$AO$3=F$2),'Budget original'!$C$8:$AO$500)</f>
        <v>173.28101875000004</v>
      </c>
      <c r="G270" s="302"/>
      <c r="H270" s="178"/>
      <c r="I270" s="179">
        <f>+SUMPRODUCT(('Budget révisé'!$A$8:$A$500=$A270)*('Budget révisé'!$C$3:$AO$3=I$2),'Budget révisé'!$C$8:$AO$500)</f>
        <v>173.28101875000004</v>
      </c>
      <c r="J270" s="303"/>
      <c r="K270" s="178"/>
      <c r="L270" s="180">
        <f>SUMIFS(BV_Data_An_Cour!$P:$P,BV_Data_An_Cour!$U:$U,$B270,BV_Data_An_Cour!$V:$V,$C270,BV_Data_An_Cour!$W:$W,$L$2)</f>
        <v>64.260000000000005</v>
      </c>
      <c r="M270" s="303"/>
      <c r="N270" s="304">
        <f t="shared" si="135"/>
        <v>-109.02101875000004</v>
      </c>
      <c r="O270" s="303"/>
      <c r="P270" s="178"/>
      <c r="Q270" s="180">
        <f>SUMIFS(BV_Data_An_Prec!$P:$P,BV_Data_An_Prec!$U:$U,$B270,BV_Data_An_Prec!$V:$V,$C270,BV_Data_An_Prec!$W:$W,$L$2)</f>
        <v>13.57</v>
      </c>
      <c r="R270" s="303"/>
      <c r="S270" s="199">
        <f t="shared" si="136"/>
        <v>50.690000000000005</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original'!$A$8:$A$500=$A271)*('Budget original'!$C$3:$AO$3=F$2),'Budget original'!$C$8:$AO$500)</f>
        <v>894.40788888888892</v>
      </c>
      <c r="G271" s="309"/>
      <c r="H271" s="308"/>
      <c r="I271" s="177">
        <f>+SUMPRODUCT(('Budget révisé'!$A$8:$A$500=$A271)*('Budget révisé'!$C$3:$AO$3=I$2),'Budget révisé'!$C$8:$AO$500)</f>
        <v>894.40788888888892</v>
      </c>
      <c r="J271" s="310"/>
      <c r="K271" s="308"/>
      <c r="L271" s="180">
        <f>SUMIFS(BV_Data_An_Cour!$P:$P,BV_Data_An_Cour!$U:$U,$B271,BV_Data_An_Cour!$V:$V,$C271,BV_Data_An_Cour!$W:$W,$L$2)</f>
        <v>545.58000000000004</v>
      </c>
      <c r="M271" s="310"/>
      <c r="N271" s="311">
        <f t="shared" si="135"/>
        <v>-348.82788888888888</v>
      </c>
      <c r="O271" s="310"/>
      <c r="P271" s="308"/>
      <c r="Q271" s="177">
        <f>SUMIFS(BV_Data_An_Prec!$P:$P,BV_Data_An_Prec!$U:$U,$B271,BV_Data_An_Prec!$V:$V,$C271,BV_Data_An_Prec!$W:$W,$L$2)</f>
        <v>282.91000000000003</v>
      </c>
      <c r="R271" s="310"/>
      <c r="S271" s="202">
        <f t="shared" si="136"/>
        <v>262.67</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1993</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original'!$A$8:$A$500=$A273)*('Budget original'!$C$3:$AO$3=F$2),'Budget original'!$C$8:$AO$500)</f>
        <v>50.536579190711528</v>
      </c>
      <c r="G273" s="302"/>
      <c r="H273" s="178"/>
      <c r="I273" s="179">
        <f>+SUMPRODUCT(('Budget révisé'!$A$8:$A$500=$A273)*('Budget révisé'!$C$3:$AO$3=I$2),'Budget révisé'!$C$8:$AO$500)</f>
        <v>50.536579190711528</v>
      </c>
      <c r="J273" s="303"/>
      <c r="K273" s="178"/>
      <c r="L273" s="281">
        <f>SUMIFS(BV_Data_An_Cour!$P:$P,BV_Data_An_Cour!$U:$U,$B273,BV_Data_An_Cour!$V:$V,$C273,BV_Data_An_Cour!$W:$W,$L$2)</f>
        <v>2.1</v>
      </c>
      <c r="M273" s="303"/>
      <c r="N273" s="304">
        <f t="shared" si="135"/>
        <v>-48.436579190711527</v>
      </c>
      <c r="O273" s="303"/>
      <c r="P273" s="178"/>
      <c r="Q273" s="180">
        <f>SUMIFS(BV_Data_An_Prec!$P:$P,BV_Data_An_Prec!$U:$U,$B273,BV_Data_An_Prec!$V:$V,$C273,BV_Data_An_Prec!$W:$W,$L$2)</f>
        <v>0</v>
      </c>
      <c r="R273" s="303"/>
      <c r="S273" s="199">
        <f t="shared" si="136"/>
        <v>2.1</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original'!$A$8:$A$500=$A274)*('Budget original'!$C$3:$AO$3=F$2),'Budget original'!$C$8:$AO$500)</f>
        <v>26.853809687373364</v>
      </c>
      <c r="G274" s="302"/>
      <c r="H274" s="178"/>
      <c r="I274" s="179">
        <f>+SUMPRODUCT(('Budget révisé'!$A$8:$A$500=$A274)*('Budget révisé'!$C$3:$AO$3=I$2),'Budget révisé'!$C$8:$AO$500)</f>
        <v>26.853809687373364</v>
      </c>
      <c r="J274" s="303"/>
      <c r="K274" s="178"/>
      <c r="L274" s="281">
        <f>SUMIFS(BV_Data_An_Cour!$P:$P,BV_Data_An_Cour!$U:$U,$B274,BV_Data_An_Cour!$V:$V,$C274,BV_Data_An_Cour!$W:$W,$L$2)</f>
        <v>0</v>
      </c>
      <c r="M274" s="303"/>
      <c r="N274" s="304">
        <f t="shared" si="135"/>
        <v>-26.853809687373364</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original'!$A$8:$A$500=$A275)*('Budget original'!$C$3:$AO$3=F$2),'Budget original'!$C$8:$AO$500)</f>
        <v>142.81407000000002</v>
      </c>
      <c r="G275" s="302"/>
      <c r="H275" s="178"/>
      <c r="I275" s="179">
        <f>+SUMPRODUCT(('Budget révisé'!$A$8:$A$500=$A275)*('Budget révisé'!$C$3:$AO$3=I$2),'Budget révisé'!$C$8:$AO$500)</f>
        <v>142.81407000000002</v>
      </c>
      <c r="J275" s="303"/>
      <c r="K275" s="178"/>
      <c r="L275" s="974">
        <f>SUMIFS(BV_Data_An_Cour!$P:$P,BV_Data_An_Cour!$U:$U,$B275,BV_Data_An_Cour!$V:$V,$C275,BV_Data_An_Cour!$W:$W,$L$2)</f>
        <v>185.05</v>
      </c>
      <c r="M275" s="303"/>
      <c r="N275" s="304">
        <f t="shared" si="135"/>
        <v>42.235929999999996</v>
      </c>
      <c r="O275" s="303"/>
      <c r="P275" s="178"/>
      <c r="Q275" s="554">
        <f>SUMIFS(BV_Data_An_Prec!$P:$P,BV_Data_An_Prec!$U:$U,$B275,BV_Data_An_Prec!$V:$V,$C275,BV_Data_An_Prec!$W:$W,$L$2)</f>
        <v>54.45</v>
      </c>
      <c r="R275" s="303"/>
      <c r="S275" s="199">
        <f t="shared" si="136"/>
        <v>130.60000000000002</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original'!$A$8:$A$500=$A276)*('Budget original'!$C$3:$AO$3=F$2),'Budget original'!$C$8:$AO$500)</f>
        <v>65.945365208333342</v>
      </c>
      <c r="G276" s="302"/>
      <c r="H276" s="178"/>
      <c r="I276" s="179">
        <f>+SUMPRODUCT(('Budget révisé'!$A$8:$A$500=$A276)*('Budget révisé'!$C$3:$AO$3=I$2),'Budget révisé'!$C$8:$AO$500)</f>
        <v>65.945365208333342</v>
      </c>
      <c r="J276" s="303"/>
      <c r="K276" s="178"/>
      <c r="L276" s="281">
        <f>SUMIFS(BV_Data_An_Cour!$P:$P,BV_Data_An_Cour!$U:$U,$B276,BV_Data_An_Cour!$V:$V,$C276,BV_Data_An_Cour!$W:$W,$L$2)</f>
        <v>57.25</v>
      </c>
      <c r="M276" s="303"/>
      <c r="N276" s="304">
        <f t="shared" si="135"/>
        <v>-8.6953652083333424</v>
      </c>
      <c r="O276" s="303"/>
      <c r="P276" s="178"/>
      <c r="Q276" s="180">
        <f>SUMIFS(BV_Data_An_Prec!$P:$P,BV_Data_An_Prec!$U:$U,$B276,BV_Data_An_Prec!$V:$V,$C276,BV_Data_An_Prec!$W:$W,$L$2)</f>
        <v>122.38</v>
      </c>
      <c r="R276" s="303"/>
      <c r="S276" s="199">
        <f t="shared" si="136"/>
        <v>-65.13</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original'!$A$8:$A$500=$A277)*('Budget original'!$C$3:$AO$3=F$2),'Budget original'!$C$8:$AO$500)</f>
        <v>35.200609791666665</v>
      </c>
      <c r="G277" s="302"/>
      <c r="H277" s="178"/>
      <c r="I277" s="179">
        <f>+SUMPRODUCT(('Budget révisé'!$A$8:$A$500=$A277)*('Budget révisé'!$C$3:$AO$3=I$2),'Budget révisé'!$C$8:$AO$500)</f>
        <v>35.200609791666665</v>
      </c>
      <c r="J277" s="303"/>
      <c r="K277" s="178"/>
      <c r="L277" s="281">
        <f>SUMIFS(BV_Data_An_Cour!$P:$P,BV_Data_An_Cour!$U:$U,$B277,BV_Data_An_Cour!$V:$V,$C277,BV_Data_An_Cour!$W:$W,$L$2)</f>
        <v>10.63</v>
      </c>
      <c r="M277" s="303"/>
      <c r="N277" s="304">
        <f t="shared" si="135"/>
        <v>-24.570609791666662</v>
      </c>
      <c r="O277" s="303"/>
      <c r="P277" s="178"/>
      <c r="Q277" s="180">
        <f>SUMIFS(BV_Data_An_Prec!$P:$P,BV_Data_An_Prec!$U:$U,$B277,BV_Data_An_Prec!$V:$V,$C277,BV_Data_An_Prec!$W:$W,$L$2)</f>
        <v>14.28</v>
      </c>
      <c r="R277" s="303"/>
      <c r="S277" s="199">
        <f t="shared" si="136"/>
        <v>-3.6499999999999986</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original'!$A$8:$A$500=$A278)*('Budget original'!$C$3:$AO$3=F$2),'Budget original'!$C$8:$AO$500)</f>
        <v>169.80109854166665</v>
      </c>
      <c r="G278" s="302"/>
      <c r="H278" s="178"/>
      <c r="I278" s="179">
        <f>+SUMPRODUCT(('Budget révisé'!$A$8:$A$500=$A278)*('Budget révisé'!$C$3:$AO$3=I$2),'Budget révisé'!$C$8:$AO$500)</f>
        <v>169.80109854166665</v>
      </c>
      <c r="J278" s="303"/>
      <c r="K278" s="178"/>
      <c r="L278" s="281">
        <f>SUMIFS(BV_Data_An_Cour!$P:$P,BV_Data_An_Cour!$U:$U,$B278,BV_Data_An_Cour!$V:$V,$C278,BV_Data_An_Cour!$W:$W,$L$2)</f>
        <v>72.5</v>
      </c>
      <c r="M278" s="303"/>
      <c r="N278" s="304">
        <f t="shared" si="135"/>
        <v>-97.301098541666647</v>
      </c>
      <c r="O278" s="303"/>
      <c r="P278" s="178"/>
      <c r="Q278" s="180">
        <f>SUMIFS(BV_Data_An_Prec!$P:$P,BV_Data_An_Prec!$U:$U,$B278,BV_Data_An_Prec!$V:$V,$C278,BV_Data_An_Prec!$W:$W,$L$2)</f>
        <v>55.19</v>
      </c>
      <c r="R278" s="303"/>
      <c r="S278" s="199">
        <f t="shared" si="136"/>
        <v>17.310000000000002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original'!$A$8:$A$500=$A279)*('Budget original'!$C$3:$AO$3=F$2),'Budget original'!$C$8:$AO$500)</f>
        <v>252.27480833333334</v>
      </c>
      <c r="G279" s="302"/>
      <c r="H279" s="178"/>
      <c r="I279" s="179">
        <f>+SUMPRODUCT(('Budget révisé'!$A$8:$A$500=$A279)*('Budget révisé'!$C$3:$AO$3=I$2),'Budget révisé'!$C$8:$AO$500)</f>
        <v>252.27480833333334</v>
      </c>
      <c r="J279" s="303"/>
      <c r="K279" s="178"/>
      <c r="L279" s="281">
        <f>SUMIFS(BV_Data_An_Cour!$P:$P,BV_Data_An_Cour!$U:$U,$B279,BV_Data_An_Cour!$V:$V,$C279,BV_Data_An_Cour!$W:$W,$L$2)</f>
        <v>22.33</v>
      </c>
      <c r="M279" s="303"/>
      <c r="N279" s="304">
        <f t="shared" si="135"/>
        <v>-229.94480833333336</v>
      </c>
      <c r="O279" s="303"/>
      <c r="P279" s="178"/>
      <c r="Q279" s="180">
        <f>SUMIFS(BV_Data_An_Prec!$P:$P,BV_Data_An_Prec!$U:$U,$B279,BV_Data_An_Prec!$V:$V,$C279,BV_Data_An_Prec!$W:$W,$L$2)</f>
        <v>6.2</v>
      </c>
      <c r="R279" s="303"/>
      <c r="S279" s="199">
        <f t="shared" si="136"/>
        <v>16.13</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original'!$A$8:$A$500=$A280)*('Budget original'!$C$3:$AO$3=F$2),'Budget original'!$C$8:$AO$500)</f>
        <v>368.20815259510528</v>
      </c>
      <c r="G280" s="302"/>
      <c r="H280" s="178"/>
      <c r="I280" s="179">
        <f>+SUMPRODUCT(('Budget révisé'!$A$8:$A$500=$A280)*('Budget révisé'!$C$3:$AO$3=I$2),'Budget révisé'!$C$8:$AO$500)</f>
        <v>368.20815259510528</v>
      </c>
      <c r="J280" s="303"/>
      <c r="K280" s="178"/>
      <c r="L280" s="281">
        <f>AF447*W6</f>
        <v>124.52500000000001</v>
      </c>
      <c r="M280" s="303"/>
      <c r="N280" s="304">
        <f t="shared" si="135"/>
        <v>-243.68315259510527</v>
      </c>
      <c r="O280" s="303"/>
      <c r="P280" s="178"/>
      <c r="Q280" s="180">
        <f>AL447*W6</f>
        <v>107.03050000000002</v>
      </c>
      <c r="R280" s="303"/>
      <c r="S280" s="199">
        <f t="shared" si="136"/>
        <v>17.494499999999988</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original'!$A$8:$A$500=$A281)*('Budget original'!$C$3:$AO$3=F$2),'Budget original'!$C$8:$AO$500)</f>
        <v>0</v>
      </c>
      <c r="G281" s="302"/>
      <c r="H281" s="178"/>
      <c r="I281" s="179">
        <f>+SUMPRODUCT(('Budget révisé'!$A$8:$A$500=$A281)*('Budget révisé'!$C$3:$AO$3=I$2),'Budget révisé'!$C$8:$AO$500)</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original'!$A$8:$A$500=$A282)*('Budget original'!$C$3:$AO$3=F$2),'Budget original'!$C$8:$AO$500)</f>
        <v>0</v>
      </c>
      <c r="G282" s="302"/>
      <c r="H282" s="178"/>
      <c r="I282" s="179">
        <f>+SUMPRODUCT(('Budget révisé'!$A$8:$A$500=$A282)*('Budget révisé'!$C$3:$AO$3=I$2),'Budget révisé'!$C$8:$AO$500)</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original'!$A$8:$A$500=$A283)*('Budget original'!$C$3:$AO$3=F$2),'Budget original'!$C$8:$AO$500)</f>
        <v>0</v>
      </c>
      <c r="G283" s="302"/>
      <c r="H283" s="178"/>
      <c r="I283" s="179">
        <f>+SUMPRODUCT(('Budget révisé'!$A$8:$A$500=$A283)*('Budget révisé'!$C$3:$AO$3=I$2),'Budget révisé'!$C$8:$AO$500)</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4216.746047874678</v>
      </c>
      <c r="G284" s="42" t="s">
        <v>111</v>
      </c>
      <c r="H284" s="40" t="e">
        <f>I284/I$243</f>
        <v>#DIV/0!</v>
      </c>
      <c r="I284" s="41">
        <f>+SUM(I266:I283)</f>
        <v>4216.746047874678</v>
      </c>
      <c r="J284" s="42" t="s">
        <v>111</v>
      </c>
      <c r="K284" s="40" t="e">
        <f>IF(L261=0,0,L284/L$243)</f>
        <v>#DIV/0!</v>
      </c>
      <c r="L284" s="41">
        <f>+SUM(L266:L283)</f>
        <v>3499.7450000000003</v>
      </c>
      <c r="M284" s="44"/>
      <c r="N284" s="41">
        <f>+SUM(N266:N283)</f>
        <v>-717.00104787467797</v>
      </c>
      <c r="O284" s="42" t="s">
        <v>111</v>
      </c>
      <c r="P284" s="40" t="e">
        <f>IF(Q261=0,0,Q284/Q$243)</f>
        <v>#DIV/0!</v>
      </c>
      <c r="Q284" s="41">
        <f>+SUM(Q266:Q283)</f>
        <v>2971.1304999999998</v>
      </c>
      <c r="R284" s="44"/>
      <c r="S284" s="316">
        <f t="shared" si="136"/>
        <v>528.61450000000059</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11524.472710226551</v>
      </c>
      <c r="G286" s="42" t="s">
        <v>111</v>
      </c>
      <c r="H286" s="40" t="e">
        <f>I286/I$243</f>
        <v>#DIV/0!</v>
      </c>
      <c r="I286" s="41">
        <f>I265+I284</f>
        <v>11524.472710226551</v>
      </c>
      <c r="J286" s="42" t="s">
        <v>111</v>
      </c>
      <c r="K286" s="40" t="e">
        <f>IF(L263=0,0,L286/L$243)</f>
        <v>#DIV/0!</v>
      </c>
      <c r="L286" s="41">
        <f>L265+L284</f>
        <v>10670.095000000001</v>
      </c>
      <c r="M286" s="44"/>
      <c r="N286" s="46">
        <f t="shared" ref="N286:N288" si="143">L286-I286</f>
        <v>-854.37771022655033</v>
      </c>
      <c r="O286" s="42" t="s">
        <v>111</v>
      </c>
      <c r="P286" s="40">
        <f>IF(Q263=0,0,Q286/Q$243)</f>
        <v>0</v>
      </c>
      <c r="Q286" s="41">
        <f>Q265+Q284</f>
        <v>15133.050499999999</v>
      </c>
      <c r="R286" s="44"/>
      <c r="S286" s="299">
        <f>L286-Q286</f>
        <v>-4462.9554999999982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10399.079155608155</v>
      </c>
      <c r="G288" s="344"/>
      <c r="H288" s="342"/>
      <c r="I288" s="343">
        <f>I249-I286</f>
        <v>10399.079155608155</v>
      </c>
      <c r="J288" s="345"/>
      <c r="K288" s="346"/>
      <c r="L288" s="343">
        <f>L249-L286</f>
        <v>9068.2949999999946</v>
      </c>
      <c r="M288" s="345"/>
      <c r="N288" s="343">
        <f t="shared" si="143"/>
        <v>-1330.7841556081603</v>
      </c>
      <c r="O288" s="345"/>
      <c r="P288" s="346"/>
      <c r="Q288" s="343">
        <f>Q249-Q286</f>
        <v>4275.889500000003</v>
      </c>
      <c r="R288" s="345"/>
      <c r="S288" s="347">
        <f>L288-Q288</f>
        <v>4792.4054999999917</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Janvier 2022</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287" t="s">
        <v>77</v>
      </c>
      <c r="E292" s="1288"/>
      <c r="F292" s="1289"/>
      <c r="G292" s="1290" t="s">
        <v>145</v>
      </c>
      <c r="H292" s="1288"/>
      <c r="I292" s="1289"/>
      <c r="J292" s="1290" t="s">
        <v>79</v>
      </c>
      <c r="K292" s="1288"/>
      <c r="L292" s="1289"/>
      <c r="M292" s="1290" t="s">
        <v>80</v>
      </c>
      <c r="N292" s="1289"/>
      <c r="O292" s="1287" t="s">
        <v>81</v>
      </c>
      <c r="P292" s="1288"/>
      <c r="Q292" s="1289"/>
      <c r="R292" s="1290" t="s">
        <v>82</v>
      </c>
      <c r="S292" s="129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original'!$A$8:$A$500=$A294)*('Budget original'!$C$3:$AO$3=D$2),'Budget original'!$C$8:$AO$500)</f>
        <v>56461.376365452648</v>
      </c>
      <c r="E294" s="210">
        <f>IF(D294=0,0,F294/D294)</f>
        <v>0.35811007851031496</v>
      </c>
      <c r="F294" s="199">
        <f>+SUMPRODUCT(('Budget original'!$A$8:$A$500=$A294)*('Budget original'!$C$3:$AO$3=F$2),'Budget original'!$C$8:$AO$500)</f>
        <v>20219.387923032689</v>
      </c>
      <c r="G294" s="197">
        <f>+SUMPRODUCT(('Budget révisé'!$A$8:$A$500=$A294)*('Budget révisé'!$C$3:$AO$3=G$2),'Budget révisé'!$C$8:$AO$500)</f>
        <v>56461.376365452648</v>
      </c>
      <c r="H294" s="210">
        <f>IF(G294=0,0,I294/G294)</f>
        <v>0.35811007851031496</v>
      </c>
      <c r="I294" s="199">
        <f>+SUMPRODUCT(('Budget révisé'!$A$8:$A$500=$A294)*('Budget révisé'!$C$3:$AO$3=I$2),'Budget révisé'!$C$8:$AO$500)</f>
        <v>20219.387923032689</v>
      </c>
      <c r="J294" s="179">
        <f>-SUMIFS(BV_Data_An_Cour!$P:$P,BV_Data_An_Cour!$X:$X,"Oui",BV_Data_An_Cour!$U:$U,$B294,BV_Data_An_Cour!$V:$V,$C294)</f>
        <v>56117.170000000006</v>
      </c>
      <c r="K294" s="210">
        <f t="shared" ref="K294:K303" si="145">IF(J294&lt;=0,0,L294/J294)</f>
        <v>0.36167094669955741</v>
      </c>
      <c r="L294" s="180">
        <f>-SUMIFS(BV_Data_An_Cour!$P:$P,BV_Data_An_Cour!$U:$U,$B294,BV_Data_An_Cour!$V:$V,$C294,BV_Data_An_Cour!$W:$W,$L$2)</f>
        <v>20295.950000000004</v>
      </c>
      <c r="M294" s="324">
        <f t="shared" ref="M294:M299" si="146">(+J294-G294)/G294</f>
        <v>-6.0963155277109814E-3</v>
      </c>
      <c r="N294" s="304">
        <f t="shared" ref="N294:N303" si="147">L294-I294</f>
        <v>76.562076967315079</v>
      </c>
      <c r="O294" s="179">
        <f>-SUMIFS(BV_Data_An_Prec!$P:$P,BV_Data_An_Prec!$X:$X,"Oui",BV_Data_An_Prec!$U:$U,$B294,BV_Data_An_Prec!$V:$V,$C294)</f>
        <v>45465.17</v>
      </c>
      <c r="P294" s="210">
        <f t="shared" ref="P294:P303" si="148">IF(O294&lt;=0,0,Q294/O294)</f>
        <v>0.31191085395699608</v>
      </c>
      <c r="Q294" s="180">
        <f>-SUMIFS(BV_Data_An_Prec!$P:$P,BV_Data_An_Prec!$U:$U,$B294,BV_Data_An_Prec!$V:$V,$C294,BV_Data_An_Prec!$W:$W,$L$2)</f>
        <v>14181.079999999998</v>
      </c>
      <c r="R294" s="324">
        <f>IF(O294=0,0,(J294-O294)/O294)</f>
        <v>0.23428923723368916</v>
      </c>
      <c r="S294" s="199">
        <f t="shared" ref="S294:S303" si="149">L294-Q294</f>
        <v>6114.8700000000063</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original'!$A$8:$A$500=$A295)*('Budget original'!$C$3:$AO$3=D$2),'Budget original'!$C$8:$AO$500)</f>
        <v>59470.429082605799</v>
      </c>
      <c r="E295" s="210">
        <f t="shared" ref="E295:E302" si="150">IF(D295=0,0,F295/D295)</f>
        <v>0.2571723304036081</v>
      </c>
      <c r="F295" s="199">
        <f>+SUMPRODUCT(('Budget original'!$A$8:$A$500=$A295)*('Budget original'!$C$3:$AO$3=F$2),'Budget original'!$C$8:$AO$500)</f>
        <v>15294.148837276241</v>
      </c>
      <c r="G295" s="197">
        <f>+SUMPRODUCT(('Budget révisé'!$A$8:$A$500=$A295)*('Budget révisé'!$C$3:$AO$3=G$2),'Budget révisé'!$C$8:$AO$500)</f>
        <v>59470.429082605799</v>
      </c>
      <c r="H295" s="210">
        <f t="shared" ref="H295:H302" si="151">IF(G295=0,0,I295/G295)</f>
        <v>0.2571723304036081</v>
      </c>
      <c r="I295" s="199">
        <f>+SUMPRODUCT(('Budget révisé'!$A$8:$A$500=$A295)*('Budget révisé'!$C$3:$AO$3=I$2),'Budget révisé'!$C$8:$AO$500)</f>
        <v>15294.148837276241</v>
      </c>
      <c r="J295" s="179">
        <f>-SUMIFS(BV_Data_An_Cour!$P:$P,BV_Data_An_Cour!$X:$X,"Oui",BV_Data_An_Cour!$U:$U,$B295,BV_Data_An_Cour!$V:$V,$C295)</f>
        <v>48433.560000000005</v>
      </c>
      <c r="K295" s="210">
        <f t="shared" si="145"/>
        <v>0.25276915428062702</v>
      </c>
      <c r="L295" s="180">
        <f>-SUMIFS(BV_Data_An_Cour!$P:$P,BV_Data_An_Cour!$U:$U,$B295,BV_Data_An_Cour!$V:$V,$C295,BV_Data_An_Cour!$W:$W,$L$2)</f>
        <v>12242.510000000006</v>
      </c>
      <c r="M295" s="324">
        <f t="shared" si="146"/>
        <v>-0.18558583236847556</v>
      </c>
      <c r="N295" s="304">
        <f t="shared" si="147"/>
        <v>-3051.6388372762358</v>
      </c>
      <c r="O295" s="179">
        <f>-SUMIFS(BV_Data_An_Prec!$P:$P,BV_Data_An_Prec!$X:$X,"Oui",BV_Data_An_Prec!$U:$U,$B295,BV_Data_An_Prec!$V:$V,$C295)</f>
        <v>57925.8</v>
      </c>
      <c r="P295" s="210">
        <f t="shared" si="148"/>
        <v>0.2373664239423538</v>
      </c>
      <c r="Q295" s="180">
        <f>-SUMIFS(BV_Data_An_Prec!$P:$P,BV_Data_An_Prec!$U:$U,$B295,BV_Data_An_Prec!$V:$V,$C295,BV_Data_An_Prec!$W:$W,$L$2)</f>
        <v>13749.639999999998</v>
      </c>
      <c r="R295" s="324">
        <f t="shared" ref="R295:R302" si="152">IF(O295=0,0,(J295-O295)/O295)</f>
        <v>-0.16386894958723053</v>
      </c>
      <c r="S295" s="199">
        <f t="shared" si="149"/>
        <v>-1507.1299999999919</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original'!$A$8:$A$500=$A296)*('Budget original'!$C$3:$AO$3=D$2),'Budget original'!$C$8:$AO$500)</f>
        <v>97054.600296279066</v>
      </c>
      <c r="E296" s="210">
        <f t="shared" si="150"/>
        <v>0.24177651145507992</v>
      </c>
      <c r="F296" s="199">
        <f>+SUMPRODUCT(('Budget original'!$A$8:$A$500=$A296)*('Budget original'!$C$3:$AO$3=F$2),'Budget original'!$C$8:$AO$500)</f>
        <v>23465.522680301518</v>
      </c>
      <c r="G296" s="197">
        <f>+SUMPRODUCT(('Budget révisé'!$A$8:$A$500=$A296)*('Budget révisé'!$C$3:$AO$3=G$2),'Budget révisé'!$C$8:$AO$500)</f>
        <v>97054.600296279066</v>
      </c>
      <c r="H296" s="210">
        <f t="shared" si="151"/>
        <v>0.24177651145507992</v>
      </c>
      <c r="I296" s="199">
        <f>+SUMPRODUCT(('Budget révisé'!$A$8:$A$500=$A296)*('Budget révisé'!$C$3:$AO$3=I$2),'Budget révisé'!$C$8:$AO$500)</f>
        <v>23465.522680301518</v>
      </c>
      <c r="J296" s="179">
        <f>-SUMIFS(BV_Data_An_Cour!$P:$P,BV_Data_An_Cour!$X:$X,"Oui",BV_Data_An_Cour!$U:$U,$B296,BV_Data_An_Cour!$V:$V,$C296)</f>
        <v>92178.97</v>
      </c>
      <c r="K296" s="210">
        <f t="shared" si="145"/>
        <v>0.24599244274480395</v>
      </c>
      <c r="L296" s="180">
        <f>-SUMIFS(BV_Data_An_Cour!$P:$P,BV_Data_An_Cour!$U:$U,$B296,BV_Data_An_Cour!$V:$V,$C296,BV_Data_An_Cour!$W:$W,$L$2)</f>
        <v>22675.33</v>
      </c>
      <c r="M296" s="324">
        <f t="shared" si="146"/>
        <v>-5.0235952560674133E-2</v>
      </c>
      <c r="N296" s="304">
        <f t="shared" si="147"/>
        <v>-790.19268030151579</v>
      </c>
      <c r="O296" s="179">
        <f>-SUMIFS(BV_Data_An_Prec!$P:$P,BV_Data_An_Prec!$X:$X,"Oui",BV_Data_An_Prec!$U:$U,$B296,BV_Data_An_Prec!$V:$V,$C296)</f>
        <v>111661.14</v>
      </c>
      <c r="P296" s="210">
        <f t="shared" si="148"/>
        <v>0.24196116930205086</v>
      </c>
      <c r="Q296" s="180">
        <f>-SUMIFS(BV_Data_An_Prec!$P:$P,BV_Data_An_Prec!$U:$U,$B296,BV_Data_An_Prec!$V:$V,$C296,BV_Data_An_Prec!$W:$W,$L$2)</f>
        <v>27017.660000000003</v>
      </c>
      <c r="R296" s="324">
        <f t="shared" si="152"/>
        <v>-0.17447582928134173</v>
      </c>
      <c r="S296" s="199">
        <f t="shared" si="149"/>
        <v>-4342.3300000000017</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original'!$A$8:$A$500=$A297)*('Budget original'!$C$3:$AO$3=D$2),'Budget original'!$C$8:$AO$500)</f>
        <v>29250.274620911685</v>
      </c>
      <c r="E297" s="210">
        <f t="shared" si="150"/>
        <v>0.32393223852119107</v>
      </c>
      <c r="F297" s="199">
        <f>+SUMPRODUCT(('Budget original'!$A$8:$A$500=$A297)*('Budget original'!$C$3:$AO$3=F$2),'Budget original'!$C$8:$AO$500)</f>
        <v>9475.1069353115054</v>
      </c>
      <c r="G297" s="197">
        <f>+SUMPRODUCT(('Budget révisé'!$A$8:$A$500=$A297)*('Budget révisé'!$C$3:$AO$3=G$2),'Budget révisé'!$C$8:$AO$500)</f>
        <v>29250.274620911685</v>
      </c>
      <c r="H297" s="210">
        <f t="shared" si="151"/>
        <v>0.32393223852119107</v>
      </c>
      <c r="I297" s="199">
        <f>+SUMPRODUCT(('Budget révisé'!$A$8:$A$500=$A297)*('Budget révisé'!$C$3:$AO$3=I$2),'Budget révisé'!$C$8:$AO$500)</f>
        <v>9475.1069353115054</v>
      </c>
      <c r="J297" s="179">
        <f>-SUMIFS(BV_Data_An_Cour!$P:$P,BV_Data_An_Cour!$X:$X,"Oui",BV_Data_An_Cour!$U:$U,$B297,BV_Data_An_Cour!$V:$V,$C297)</f>
        <v>39257.660000000003</v>
      </c>
      <c r="K297" s="210">
        <f t="shared" si="145"/>
        <v>0.3217084258205915</v>
      </c>
      <c r="L297" s="180">
        <f>-SUMIFS(BV_Data_An_Cour!$P:$P,BV_Data_An_Cour!$U:$U,$B297,BV_Data_An_Cour!$V:$V,$C297,BV_Data_An_Cour!$W:$W,$L$2)</f>
        <v>12629.520000000004</v>
      </c>
      <c r="M297" s="324">
        <f t="shared" si="146"/>
        <v>0.34212962130392482</v>
      </c>
      <c r="N297" s="304">
        <f t="shared" si="147"/>
        <v>3154.4130646884987</v>
      </c>
      <c r="O297" s="179">
        <f>-SUMIFS(BV_Data_An_Prec!$P:$P,BV_Data_An_Prec!$X:$X,"Oui",BV_Data_An_Prec!$U:$U,$B297,BV_Data_An_Prec!$V:$V,$C297)</f>
        <v>20282.22</v>
      </c>
      <c r="P297" s="210">
        <f t="shared" si="148"/>
        <v>0.35630616372369495</v>
      </c>
      <c r="Q297" s="180">
        <f>-SUMIFS(BV_Data_An_Prec!$P:$P,BV_Data_An_Prec!$U:$U,$B297,BV_Data_An_Prec!$V:$V,$C297,BV_Data_An_Prec!$W:$W,$L$2)</f>
        <v>7226.68</v>
      </c>
      <c r="R297" s="324">
        <f t="shared" si="152"/>
        <v>0.93557016934043713</v>
      </c>
      <c r="S297" s="199">
        <f t="shared" si="149"/>
        <v>5402.8400000000038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original'!$A$8:$A$500=$A298)*('Budget original'!$C$3:$AO$3=D$2),'Budget original'!$C$8:$AO$500)</f>
        <v>11826.519514609769</v>
      </c>
      <c r="E298" s="210">
        <f t="shared" si="150"/>
        <v>0.28113730707120016</v>
      </c>
      <c r="F298" s="199">
        <f>+SUMPRODUCT(('Budget original'!$A$8:$A$500=$A298)*('Budget original'!$C$3:$AO$3=F$2),'Budget original'!$C$8:$AO$500)</f>
        <v>3324.8758483623874</v>
      </c>
      <c r="G298" s="197">
        <f>+SUMPRODUCT(('Budget révisé'!$A$8:$A$500=$A298)*('Budget révisé'!$C$3:$AO$3=G$2),'Budget révisé'!$C$8:$AO$500)</f>
        <v>11826.519514609769</v>
      </c>
      <c r="H298" s="210">
        <f t="shared" si="151"/>
        <v>0.28113730707120016</v>
      </c>
      <c r="I298" s="199">
        <f>+SUMPRODUCT(('Budget révisé'!$A$8:$A$500=$A298)*('Budget révisé'!$C$3:$AO$3=I$2),'Budget révisé'!$C$8:$AO$500)</f>
        <v>3324.8758483623874</v>
      </c>
      <c r="J298" s="179">
        <f>-SUMIFS(BV_Data_An_Cour!$P:$P,BV_Data_An_Cour!$X:$X,"Oui",BV_Data_An_Cour!$U:$U,$B298,BV_Data_An_Cour!$V:$V,$C298)</f>
        <v>14260.07</v>
      </c>
      <c r="K298" s="210">
        <f t="shared" si="145"/>
        <v>0.33473047467508915</v>
      </c>
      <c r="L298" s="180">
        <f>-SUMIFS(BV_Data_An_Cour!$P:$P,BV_Data_An_Cour!$U:$U,$B298,BV_Data_An_Cour!$V:$V,$C298,BV_Data_An_Cour!$W:$W,$L$2)</f>
        <v>4773.2799999999988</v>
      </c>
      <c r="M298" s="324">
        <f t="shared" si="146"/>
        <v>0.2057706396530247</v>
      </c>
      <c r="N298" s="304">
        <f t="shared" si="147"/>
        <v>1448.4041516376114</v>
      </c>
      <c r="O298" s="179">
        <f>-SUMIFS(BV_Data_An_Prec!$P:$P,BV_Data_An_Prec!$X:$X,"Oui",BV_Data_An_Prec!$U:$U,$B298,BV_Data_An_Prec!$V:$V,$C298)</f>
        <v>10343.09</v>
      </c>
      <c r="P298" s="210">
        <f t="shared" si="148"/>
        <v>0.31593943396025753</v>
      </c>
      <c r="Q298" s="180">
        <f>-SUMIFS(BV_Data_An_Prec!$P:$P,BV_Data_An_Prec!$U:$U,$B298,BV_Data_An_Prec!$V:$V,$C298,BV_Data_An_Prec!$W:$W,$L$2)</f>
        <v>3267.79</v>
      </c>
      <c r="R298" s="324">
        <f t="shared" si="152"/>
        <v>0.37870500981814909</v>
      </c>
      <c r="S298" s="199">
        <f t="shared" si="149"/>
        <v>1505.4899999999989</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original'!$A$8:$A$500=$A299)*('Budget original'!$C$3:$AO$3=D$2),'Budget original'!$C$8:$AO$500)</f>
        <v>53078.787628093189</v>
      </c>
      <c r="E299" s="210">
        <f t="shared" si="150"/>
        <v>0.18194830719212418</v>
      </c>
      <c r="F299" s="199">
        <f>+SUMPRODUCT(('Budget original'!$A$8:$A$500=$A299)*('Budget original'!$C$3:$AO$3=F$2),'Budget original'!$C$8:$AO$500)</f>
        <v>9657.5955567418205</v>
      </c>
      <c r="G299" s="197">
        <f>+SUMPRODUCT(('Budget révisé'!$A$8:$A$500=$A299)*('Budget révisé'!$C$3:$AO$3=G$2),'Budget révisé'!$C$8:$AO$500)</f>
        <v>53078.787628093189</v>
      </c>
      <c r="H299" s="210">
        <f t="shared" si="151"/>
        <v>0.18194830719212418</v>
      </c>
      <c r="I299" s="199">
        <f>+SUMPRODUCT(('Budget révisé'!$A$8:$A$500=$A299)*('Budget révisé'!$C$3:$AO$3=I$2),'Budget révisé'!$C$8:$AO$500)</f>
        <v>9657.5955567418205</v>
      </c>
      <c r="J299" s="179">
        <f>-SUMIFS(BV_Data_An_Cour!$P:$P,BV_Data_An_Cour!$X:$X,"Oui",BV_Data_An_Cour!$U:$U,$B299,BV_Data_An_Cour!$V:$V,$C299)</f>
        <v>75601.990000000005</v>
      </c>
      <c r="K299" s="210">
        <f t="shared" si="145"/>
        <v>0.14868814961087667</v>
      </c>
      <c r="L299" s="180">
        <f>-SUMIFS(BV_Data_An_Cour!$P:$P,BV_Data_An_Cour!$U:$U,$B299,BV_Data_An_Cour!$V:$V,$C299,BV_Data_An_Cour!$W:$W,$L$2)</f>
        <v>11241.120000000003</v>
      </c>
      <c r="M299" s="324">
        <f t="shared" si="146"/>
        <v>0.4243352830460258</v>
      </c>
      <c r="N299" s="304">
        <f t="shared" si="147"/>
        <v>1583.5244432581821</v>
      </c>
      <c r="O299" s="179">
        <f>-SUMIFS(BV_Data_An_Prec!$P:$P,BV_Data_An_Prec!$X:$X,"Oui",BV_Data_An_Prec!$U:$U,$B299,BV_Data_An_Prec!$V:$V,$C299)</f>
        <v>44671.41</v>
      </c>
      <c r="P299" s="210">
        <f t="shared" si="148"/>
        <v>0.19024785651493889</v>
      </c>
      <c r="Q299" s="180">
        <f>-SUMIFS(BV_Data_An_Prec!$P:$P,BV_Data_An_Prec!$U:$U,$B299,BV_Data_An_Prec!$V:$V,$C299,BV_Data_An_Prec!$W:$W,$L$2)</f>
        <v>8498.6400000000067</v>
      </c>
      <c r="R299" s="324">
        <f t="shared" si="152"/>
        <v>0.69240214266798383</v>
      </c>
      <c r="S299" s="199">
        <f t="shared" si="149"/>
        <v>2742.4799999999959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original'!$A$8:$A$500=$A300)*('Budget original'!$C$3:$AO$3=D$2),'Budget original'!$C$8:$AO$500)</f>
        <v>0</v>
      </c>
      <c r="E300" s="210">
        <f t="shared" ref="E300" si="154">IF(D300=0,0,F300/D300)</f>
        <v>0</v>
      </c>
      <c r="F300" s="199">
        <f>+SUMPRODUCT(('Budget original'!$A$8:$A$500=$A300)*('Budget original'!$C$3:$AO$3=F$2),'Budget original'!$C$8:$AO$500)</f>
        <v>0</v>
      </c>
      <c r="G300" s="197">
        <f>+SUMPRODUCT(('Budget révisé'!$A$8:$A$500=$A300)*('Budget révisé'!$C$3:$AO$3=G$2),'Budget révisé'!$C$8:$AO$500)</f>
        <v>0</v>
      </c>
      <c r="H300" s="210">
        <f t="shared" ref="H300" si="155">IF(G300=0,0,I300/G300)</f>
        <v>0</v>
      </c>
      <c r="I300" s="199">
        <f>+SUMPRODUCT(('Budget révisé'!$A$8:$A$500=$A300)*('Budget révisé'!$C$3:$AO$3=I$2),'Budget révisé'!$C$8:$AO$500)</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original'!$A$8:$A$500=$A301)*('Budget original'!$C$3:$AO$3=D$2),'Budget original'!$C$8:$AO$500)</f>
        <v>0</v>
      </c>
      <c r="E301" s="210">
        <f t="shared" si="150"/>
        <v>0</v>
      </c>
      <c r="F301" s="199">
        <f>+SUMPRODUCT(('Budget original'!$A$8:$A$500=$A301)*('Budget original'!$C$3:$AO$3=F$2),'Budget original'!$C$8:$AO$500)</f>
        <v>5090.0531326941427</v>
      </c>
      <c r="G301" s="197">
        <f>+SUMPRODUCT(('Budget révisé'!$A$8:$A$500=$A301)*('Budget révisé'!$C$3:$AO$3=G$2),'Budget révisé'!$C$8:$AO$500)</f>
        <v>0</v>
      </c>
      <c r="H301" s="210">
        <f t="shared" si="151"/>
        <v>0</v>
      </c>
      <c r="I301" s="199">
        <f>+SUMPRODUCT(('Budget révisé'!$A$8:$A$500=$A301)*('Budget révisé'!$C$3:$AO$3=I$2),'Budget révisé'!$C$8:$AO$500)</f>
        <v>5090.0531326941427</v>
      </c>
      <c r="J301" s="179">
        <f>-SUMIFS(BV_Data_An_Cour!$P:$P,BV_Data_An_Cour!$X:$X,"Oui",BV_Data_An_Cour!$U:$U,$B301,BV_Data_An_Cour!$V:$V,$C301)</f>
        <v>0</v>
      </c>
      <c r="K301" s="210">
        <f t="shared" si="145"/>
        <v>0</v>
      </c>
      <c r="L301" s="180">
        <f>-SUMIFS(BV_Data_An_Cour!$P:$P,BV_Data_An_Cour!$U:$U,$B301,BV_Data_An_Cour!$V:$V,$C301,BV_Data_An_Cour!$W:$W,$L$2)</f>
        <v>4475.3200000000006</v>
      </c>
      <c r="M301" s="324"/>
      <c r="N301" s="304">
        <f t="shared" si="147"/>
        <v>-614.73313269414211</v>
      </c>
      <c r="O301" s="179">
        <f>-SUMIFS(BV_Data_An_Prec!$P:$P,BV_Data_An_Prec!$X:$X,"Oui",BV_Data_An_Prec!$U:$U,$B301,BV_Data_An_Prec!$V:$V,$C301)</f>
        <v>0</v>
      </c>
      <c r="P301" s="210">
        <f t="shared" si="148"/>
        <v>0</v>
      </c>
      <c r="Q301" s="180">
        <f>-SUMIFS(BV_Data_An_Prec!$P:$P,BV_Data_An_Prec!$U:$U,$B301,BV_Data_An_Prec!$V:$V,$C301,BV_Data_An_Prec!$W:$W,$L$2)</f>
        <v>3100.73</v>
      </c>
      <c r="R301" s="324">
        <f t="shared" si="152"/>
        <v>0</v>
      </c>
      <c r="S301" s="199">
        <f t="shared" si="149"/>
        <v>1374.5900000000006</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original'!$A$8:$A$500=$A302)*('Budget original'!$C$3:$AO$3=D$2),'Budget original'!$C$8:$AO$500)</f>
        <v>0</v>
      </c>
      <c r="E302" s="210">
        <f t="shared" si="150"/>
        <v>0</v>
      </c>
      <c r="F302" s="199">
        <f>+SUMPRODUCT(('Budget original'!$A$8:$A$500=$A302)*('Budget original'!$C$3:$AO$3=F$2),'Budget original'!$C$8:$AO$500)</f>
        <v>0</v>
      </c>
      <c r="G302" s="197">
        <f>+SUMPRODUCT(('Budget révisé'!$A$8:$A$500=$A302)*('Budget révisé'!$C$3:$AO$3=G$2),'Budget révisé'!$C$8:$AO$500)</f>
        <v>0</v>
      </c>
      <c r="H302" s="210">
        <f t="shared" si="151"/>
        <v>0</v>
      </c>
      <c r="I302" s="199">
        <f>+SUMPRODUCT(('Budget révisé'!$A$8:$A$500=$A302)*('Budget révisé'!$C$3:$AO$3=I$2),'Budget révisé'!$C$8:$AO$500)</f>
        <v>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307141.98750795214</v>
      </c>
      <c r="E303" s="328">
        <f>IF(D303&lt;=0,0,F303/D303)</f>
        <v>0.28171560526702671</v>
      </c>
      <c r="F303" s="200">
        <f>SUM(F294:F302)</f>
        <v>86526.690913720304</v>
      </c>
      <c r="G303" s="198">
        <f>SUM(G294:G302)</f>
        <v>307141.98750795214</v>
      </c>
      <c r="H303" s="328">
        <f>IF(G303&lt;=0,0,I303/G303)</f>
        <v>0.28171560526702671</v>
      </c>
      <c r="I303" s="200">
        <f>SUM(I294:I302)</f>
        <v>86526.690913720304</v>
      </c>
      <c r="J303" s="198">
        <f>SUM(J294:J302)</f>
        <v>325849.42000000004</v>
      </c>
      <c r="K303" s="328">
        <f t="shared" si="145"/>
        <v>0.27108542958278098</v>
      </c>
      <c r="L303" s="329">
        <f>SUM(L294:L302)</f>
        <v>88333.030000000028</v>
      </c>
      <c r="M303" s="330">
        <f>(+J303-G303)/G303</f>
        <v>6.0908092194863289E-2</v>
      </c>
      <c r="N303" s="329">
        <f t="shared" si="147"/>
        <v>1806.3390862797241</v>
      </c>
      <c r="O303" s="198">
        <f>SUM(O294:O302)</f>
        <v>290348.82999999996</v>
      </c>
      <c r="P303" s="328">
        <f t="shared" si="148"/>
        <v>0.26534365576744362</v>
      </c>
      <c r="Q303" s="329">
        <f>SUM(Q294:Q302)</f>
        <v>77042.22</v>
      </c>
      <c r="R303" s="330">
        <f>IF(O303=0,0,(J303-O303)/O303)</f>
        <v>0.12226875513843155</v>
      </c>
      <c r="S303" s="200">
        <f t="shared" si="149"/>
        <v>11290.810000000027</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2.0876091148347587E-2</v>
      </c>
      <c r="O304" s="303"/>
      <c r="P304" s="178"/>
      <c r="Q304" s="312"/>
      <c r="R304" s="303"/>
      <c r="S304" s="333">
        <f>IF(Q303=0,0,S303/Q303)</f>
        <v>0.14655353908545246</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2905</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original'!$A$8:$A$500=$A306)*('Budget original'!$C$3:$AO$3=D$2),'Budget original'!$C$8:$AO$500)</f>
        <v>31292.343122294344</v>
      </c>
      <c r="E306" s="210">
        <f t="shared" ref="E306:E307" si="162">IF(D306=0,0,F306/D306)</f>
        <v>0.1816444838198383</v>
      </c>
      <c r="F306" s="201">
        <f>+SUMPRODUCT(('Budget original'!$A$8:$A$500=$A306)*('Budget original'!$C$3:$AO$3=F$2),'Budget original'!$C$8:$AO$500)</f>
        <v>5684.0815139624237</v>
      </c>
      <c r="G306" s="197">
        <f>+SUMPRODUCT(('Budget révisé'!$A$8:$A$500=$A306)*('Budget révisé'!$C$3:$AO$3=G$2),'Budget révisé'!$C$8:$AO$500)</f>
        <v>31292.343122294344</v>
      </c>
      <c r="H306" s="210">
        <f t="shared" ref="H306:H307" si="163">IF(G306=0,0,I306/G306)</f>
        <v>0.1816444838198383</v>
      </c>
      <c r="I306" s="201">
        <f>+SUMPRODUCT(('Budget révisé'!$A$8:$A$500=$A306)*('Budget révisé'!$C$3:$AO$3=I$2),'Budget révisé'!$C$8:$AO$500)</f>
        <v>5684.0815139624237</v>
      </c>
      <c r="J306" s="179">
        <f>-SUMIFS(BV_Data_An_Cour!$P:$P,BV_Data_An_Cour!$X:$X,"Oui",BV_Data_An_Cour!$U:$U,$B306,BV_Data_An_Cour!$V:$V,$C306)</f>
        <v>31493.11</v>
      </c>
      <c r="K306" s="210">
        <f t="shared" ref="K306:K308" si="164">IF(J306&lt;=0,0,L306/J306)</f>
        <v>0.17875370200021531</v>
      </c>
      <c r="L306" s="180">
        <f>-SUMIFS(BV_Data_An_Cour!$P:$P,BV_Data_An_Cour!$U:$U,$B306,BV_Data_An_Cour!$V:$V,$C306,BV_Data_An_Cour!$W:$W,$L$2)</f>
        <v>5629.5100000000011</v>
      </c>
      <c r="M306" s="324">
        <f t="shared" ref="M306:M308" si="165">(+J306-G306)/G306</f>
        <v>6.4158467431165251E-3</v>
      </c>
      <c r="N306" s="304">
        <f t="shared" ref="N306:N308" si="166">L306-I306</f>
        <v>-54.571513962422614</v>
      </c>
      <c r="O306" s="179">
        <f>-SUMIFS(BV_Data_An_Prec!$P:$P,BV_Data_An_Prec!$X:$X,"Oui",BV_Data_An_Prec!$U:$U,$B306,BV_Data_An_Prec!$V:$V,$C306)</f>
        <v>14638.67</v>
      </c>
      <c r="P306" s="210">
        <f t="shared" ref="P306:P308" si="167">IF(O306&lt;=0,0,Q306/O306)</f>
        <v>0.18497308840215676</v>
      </c>
      <c r="Q306" s="180">
        <f>-SUMIFS(BV_Data_An_Prec!$P:$P,BV_Data_An_Prec!$U:$U,$B306,BV_Data_An_Prec!$V:$V,$C306,BV_Data_An_Prec!$W:$W,$L$2)</f>
        <v>2707.76</v>
      </c>
      <c r="R306" s="324">
        <f t="shared" ref="R306:R307" si="168">IF(O306=0,0,(J306-O306)/O306)</f>
        <v>1.1513641608151561</v>
      </c>
      <c r="S306" s="199">
        <f t="shared" ref="S306:S308" si="169">L306-Q306</f>
        <v>2921.7500000000009</v>
      </c>
      <c r="T306" s="222"/>
      <c r="U306" s="222">
        <f>J306/(J96+J27)</f>
        <v>484.50938461538465</v>
      </c>
      <c r="V306" s="222">
        <f>G306/(G96+G27)</f>
        <v>475.46068795180224</v>
      </c>
      <c r="W306" s="222"/>
      <c r="X306" s="222" t="s">
        <v>2906</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original'!$A$8:$A$500=$A307)*('Budget original'!$C$3:$AO$3=D$2),'Budget original'!$C$8:$AO$500)</f>
        <v>12189.384178068864</v>
      </c>
      <c r="E307" s="210">
        <f t="shared" si="162"/>
        <v>0.29130399895825637</v>
      </c>
      <c r="F307" s="202">
        <f>+SUMPRODUCT(('Budget original'!$A$8:$A$500=$A307)*('Budget original'!$C$3:$AO$3=F$2),'Budget original'!$C$8:$AO$500)</f>
        <v>3550.8163559099589</v>
      </c>
      <c r="G307" s="197">
        <f>+SUMPRODUCT(('Budget révisé'!$A$8:$A$500=$A307)*('Budget révisé'!$C$3:$AO$3=G$2),'Budget révisé'!$C$8:$AO$500)</f>
        <v>12189.384178068864</v>
      </c>
      <c r="H307" s="210">
        <f t="shared" si="163"/>
        <v>0.29130399895825637</v>
      </c>
      <c r="I307" s="202">
        <f>+SUMPRODUCT(('Budget révisé'!$A$8:$A$500=$A307)*('Budget révisé'!$C$3:$AO$3=I$2),'Budget révisé'!$C$8:$AO$500)</f>
        <v>3550.8163559099589</v>
      </c>
      <c r="J307" s="179">
        <f>-SUMIFS(BV_Data_An_Cour!$P:$P,BV_Data_An_Cour!$X:$X,"Oui",BV_Data_An_Cour!$U:$U,$B307,BV_Data_An_Cour!$V:$V,$C307)</f>
        <v>13151.54</v>
      </c>
      <c r="K307" s="210">
        <f t="shared" si="164"/>
        <v>0.26523737904458339</v>
      </c>
      <c r="L307" s="180">
        <f>-SUMIFS(BV_Data_An_Cour!$P:$P,BV_Data_An_Cour!$U:$U,$B307,BV_Data_An_Cour!$V:$V,$C307,BV_Data_An_Cour!$W:$W,$L$2)</f>
        <v>3488.2800000000007</v>
      </c>
      <c r="M307" s="324">
        <f t="shared" si="165"/>
        <v>7.8933915600285023E-2</v>
      </c>
      <c r="N307" s="304">
        <f t="shared" si="166"/>
        <v>-62.536355909958274</v>
      </c>
      <c r="O307" s="179">
        <f>-SUMIFS(BV_Data_An_Prec!$P:$P,BV_Data_An_Prec!$X:$X,"Oui",BV_Data_An_Prec!$U:$U,$B307,BV_Data_An_Prec!$V:$V,$C307)</f>
        <v>11296.55</v>
      </c>
      <c r="P307" s="210">
        <f t="shared" si="167"/>
        <v>0.28911835914504863</v>
      </c>
      <c r="Q307" s="180">
        <f>-SUMIFS(BV_Data_An_Prec!$P:$P,BV_Data_An_Prec!$U:$U,$B307,BV_Data_An_Prec!$V:$V,$C307,BV_Data_An_Prec!$W:$W,$L$2)</f>
        <v>3266.0399999999991</v>
      </c>
      <c r="R307" s="324">
        <f t="shared" si="168"/>
        <v>0.16420854154587036</v>
      </c>
      <c r="S307" s="199">
        <f t="shared" si="169"/>
        <v>222.2400000000016</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350623.71480831533</v>
      </c>
      <c r="E308" s="328">
        <f>IF(D308&lt;=0,0,F308/D308)</f>
        <v>0.27311783184986554</v>
      </c>
      <c r="F308" s="329">
        <f t="shared" ref="F308" si="170">F303+F306+F307</f>
        <v>95761.588783592684</v>
      </c>
      <c r="G308" s="331">
        <f>G303+G306+G307</f>
        <v>350623.71480831533</v>
      </c>
      <c r="H308" s="328">
        <f>IF(G308&lt;=0,0,I308/G308)</f>
        <v>0.27311783184986554</v>
      </c>
      <c r="I308" s="329">
        <f t="shared" ref="I308" si="171">I303+I306+I307</f>
        <v>95761.588783592684</v>
      </c>
      <c r="J308" s="331">
        <f t="shared" ref="J308" si="172">J303+J306+J307</f>
        <v>370494.07</v>
      </c>
      <c r="K308" s="328">
        <f t="shared" si="164"/>
        <v>0.26302936508538455</v>
      </c>
      <c r="L308" s="329">
        <f>L303+L306+L307</f>
        <v>97450.820000000022</v>
      </c>
      <c r="M308" s="330">
        <f t="shared" si="165"/>
        <v>5.6671452478756969E-2</v>
      </c>
      <c r="N308" s="329">
        <f t="shared" si="166"/>
        <v>1689.2312164073373</v>
      </c>
      <c r="O308" s="331">
        <f t="shared" ref="O308" si="173">O303+O306+O307</f>
        <v>316284.04999999993</v>
      </c>
      <c r="P308" s="328">
        <f t="shared" si="167"/>
        <v>0.26247298907421984</v>
      </c>
      <c r="Q308" s="329">
        <f>Q303+Q306+Q307</f>
        <v>83016.01999999999</v>
      </c>
      <c r="R308" s="330">
        <f>IF(O308=0,0,(J308-O308)/O308)</f>
        <v>0.17139662907440351</v>
      </c>
      <c r="S308" s="200">
        <f t="shared" si="169"/>
        <v>14434.800000000032</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1.7639966482017704E-2</v>
      </c>
      <c r="O309" s="303"/>
      <c r="P309" s="178"/>
      <c r="Q309" s="312"/>
      <c r="R309" s="303"/>
      <c r="S309" s="333">
        <f>IF(Q308=0,0,S308/Q308)</f>
        <v>0.17387969213653021</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original'!$A$8:$A$500=$A311)*('Budget original'!$C$3:$AO$3=D$2),'Budget original'!$C$8:$AO$500)</f>
        <v>0</v>
      </c>
      <c r="E311" s="195">
        <f t="shared" ref="E311" si="174">IF(D311=0,0,F311/D311)</f>
        <v>0</v>
      </c>
      <c r="F311" s="196">
        <f>+SUMPRODUCT(('Budget original'!$A$8:$A$500=$A311)*('Budget original'!$C$3:$AO$3=F$2),'Budget original'!$C$8:$AO$500)</f>
        <v>0</v>
      </c>
      <c r="G311" s="211">
        <f>+SUMPRODUCT(('Budget révisé'!$A$8:$A$500=$A311)*('Budget révisé'!$C$3:$AO$3=G$2),'Budget révisé'!$C$8:$AO$500)</f>
        <v>0</v>
      </c>
      <c r="H311" s="195">
        <f t="shared" ref="H311" si="175">IF(G311=0,0,I311/G311)</f>
        <v>0</v>
      </c>
      <c r="I311" s="196">
        <f>+SUMPRODUCT(('Budget révisé'!$A$8:$A$500=$A311)*('Budget révisé'!$C$3:$AO$3=I$2),'Budget révisé'!$C$8:$AO$500)</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350623.71480831533</v>
      </c>
      <c r="E313" s="71">
        <f>IF(D313&lt;=0,0,F313/D313)</f>
        <v>0.27311783184986554</v>
      </c>
      <c r="F313" s="28">
        <f t="shared" ref="F313" si="176">F308+F311</f>
        <v>95761.588783592684</v>
      </c>
      <c r="G313" s="29">
        <f>G308+G311</f>
        <v>350623.71480831533</v>
      </c>
      <c r="H313" s="71">
        <f>IF(G313&lt;=0,0,I313/G313)</f>
        <v>0.27311783184986554</v>
      </c>
      <c r="I313" s="28">
        <f t="shared" ref="I313" si="177">I308+I311</f>
        <v>95761.588783592684</v>
      </c>
      <c r="J313" s="29">
        <f t="shared" ref="J313" si="178">J308+J311</f>
        <v>370494.07</v>
      </c>
      <c r="K313" s="71">
        <f>IF(J313&lt;=0,0,L313/J313)</f>
        <v>0.26302936508538455</v>
      </c>
      <c r="L313" s="28">
        <f>L308+L311</f>
        <v>97450.820000000022</v>
      </c>
      <c r="M313" s="72">
        <f>(+J313-G313)/G313</f>
        <v>5.6671452478756969E-2</v>
      </c>
      <c r="N313" s="73">
        <f>L313-I313</f>
        <v>1689.2312164073373</v>
      </c>
      <c r="O313" s="29">
        <f t="shared" ref="O313" si="179">O308+O311</f>
        <v>316284.04999999993</v>
      </c>
      <c r="P313" s="71">
        <f>IF(O313&lt;=0,0,Q313/O313)</f>
        <v>0.26247298907421984</v>
      </c>
      <c r="Q313" s="28">
        <f>Q308+Q311</f>
        <v>83016.01999999999</v>
      </c>
      <c r="R313" s="72">
        <f>IF(O313=0,0,(J313-O313)/O313)</f>
        <v>0.17139662907440351</v>
      </c>
      <c r="S313" s="270">
        <f>L313-Q313</f>
        <v>14434.800000000032</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1.7639966482017704E-2</v>
      </c>
      <c r="O314" s="77"/>
      <c r="P314" s="75"/>
      <c r="Q314" s="76"/>
      <c r="R314" s="78"/>
      <c r="S314" s="272">
        <f>IF(Q313=0,0,S313/Q313)</f>
        <v>0.17387969213653021</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original'!$A$8:$A$500=$A317)*('Budget original'!$C$3:$AO$3=F$2),'Budget original'!$C$8:$AO$500)</f>
        <v>2487.96091954023</v>
      </c>
      <c r="G317" s="227"/>
      <c r="H317" s="233"/>
      <c r="I317" s="231">
        <f>+SUMPRODUCT(('Budget révisé'!$A$8:$A$500=$A317)*('Budget révisé'!$C$3:$AO$3=I$2),'Budget révisé'!$C$8:$AO$500)</f>
        <v>2487.96091954023</v>
      </c>
      <c r="J317" s="227"/>
      <c r="K317" s="233"/>
      <c r="L317" s="281">
        <f>SUMIFS(BV_Data_An_Cour!$P:$P,BV_Data_An_Cour!$U:$U,$B317,BV_Data_An_Cour!$V:$V,$C317,BV_Data_An_Cour!$W:$W,$L$2)</f>
        <v>5721</v>
      </c>
      <c r="M317" s="227"/>
      <c r="N317" s="232">
        <f t="shared" ref="N317:N342" si="180">L317-I317</f>
        <v>3233.03908045977</v>
      </c>
      <c r="O317" s="227"/>
      <c r="P317" s="233"/>
      <c r="Q317" s="281">
        <f>SUMIFS(BV_Data_An_Prec!$P:$P,BV_Data_An_Prec!$U:$U,$B317,BV_Data_An_Prec!$V:$V,$C317,BV_Data_An_Prec!$W:$W,$L$2)</f>
        <v>3692.69</v>
      </c>
      <c r="R317" s="227"/>
      <c r="S317" s="512">
        <f>L317-Q317</f>
        <v>2028.31</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original'!$A$8:$A$500=$A318)*('Budget original'!$C$3:$AO$3=F$2),'Budget original'!$C$8:$AO$500)</f>
        <v>4171.6026932873565</v>
      </c>
      <c r="G318" s="283"/>
      <c r="H318" s="233"/>
      <c r="I318" s="244">
        <f>+SUMPRODUCT(('Budget révisé'!$A$8:$A$500=$A318)*('Budget révisé'!$C$3:$AO$3=I$2),'Budget révisé'!$C$8:$AO$500)</f>
        <v>4171.6026932873565</v>
      </c>
      <c r="J318" s="227"/>
      <c r="K318" s="233"/>
      <c r="L318" s="281">
        <f>SUMIFS(BV_Data_An_Cour!$P:$P,BV_Data_An_Cour!$U:$U,$B318,BV_Data_An_Cour!$V:$V,$C318,BV_Data_An_Cour!$W:$W,$L$2)</f>
        <v>3548.54</v>
      </c>
      <c r="M318" s="227"/>
      <c r="N318" s="232">
        <f t="shared" si="180"/>
        <v>-623.06269328735652</v>
      </c>
      <c r="O318" s="227"/>
      <c r="P318" s="233"/>
      <c r="Q318" s="281">
        <f>SUMIFS(BV_Data_An_Prec!$P:$P,BV_Data_An_Prec!$U:$U,$B318,BV_Data_An_Prec!$V:$V,$C318,BV_Data_An_Prec!$W:$W,$L$2)</f>
        <v>4211.63</v>
      </c>
      <c r="R318" s="227"/>
      <c r="S318" s="284">
        <f t="shared" ref="S318:S342" si="181">L318-Q318</f>
        <v>-663.09000000000015</v>
      </c>
      <c r="T318" s="222"/>
      <c r="U318" s="222" t="s">
        <v>2903</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original'!$A$8:$A$500=$A319)*('Budget original'!$C$3:$AO$3=F$2),'Budget original'!$C$8:$AO$500)</f>
        <v>23500.879209931034</v>
      </c>
      <c r="G319" s="287"/>
      <c r="H319" s="286"/>
      <c r="I319" s="231">
        <f>+SUMPRODUCT(('Budget révisé'!$A$8:$A$500=$A319)*('Budget révisé'!$C$3:$AO$3=I$2),'Budget révisé'!$C$8:$AO$500)</f>
        <v>23500.879209931034</v>
      </c>
      <c r="J319" s="288"/>
      <c r="K319" s="286"/>
      <c r="L319" s="245">
        <f>SUMIFS(BV_Data_An_Cour!$P:$P,BV_Data_An_Cour!$U:$U,$B319,BV_Data_An_Cour!$V:$V,$C319,BV_Data_An_Cour!$W:$W,$L$2)</f>
        <v>13821.12</v>
      </c>
      <c r="M319" s="288"/>
      <c r="N319" s="289">
        <f t="shared" si="180"/>
        <v>-9679.7592099310332</v>
      </c>
      <c r="O319" s="288"/>
      <c r="P319" s="286"/>
      <c r="Q319" s="245">
        <f>SUMIFS(BV_Data_An_Prec!$P:$P,BV_Data_An_Prec!$U:$U,$B319,BV_Data_An_Prec!$V:$V,$C319,BV_Data_An_Prec!$W:$W,$L$2)</f>
        <v>23019.06</v>
      </c>
      <c r="R319" s="288"/>
      <c r="S319" s="290">
        <f t="shared" si="181"/>
        <v>-9197.94</v>
      </c>
      <c r="T319" s="222"/>
      <c r="U319" s="970"/>
      <c r="V319" s="97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original'!$A$8:$A$500=$A320)*('Budget original'!$C$3:$AO$3=F$2),'Budget original'!$C$8:$AO$500)</f>
        <v>0</v>
      </c>
      <c r="G320" s="283"/>
      <c r="H320" s="233"/>
      <c r="I320" s="231">
        <f>+SUMPRODUCT(('Budget révisé'!$A$8:$A$500=$A320)*('Budget révisé'!$C$3:$AO$3=I$2),'Budget révisé'!$C$8:$AO$500)</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original'!$A$8:$A$500=$A321)*('Budget original'!$C$3:$AO$3=F$2),'Budget original'!$C$8:$AO$500)</f>
        <v>0</v>
      </c>
      <c r="G321" s="283"/>
      <c r="H321" s="233"/>
      <c r="I321" s="231">
        <f>+SUMPRODUCT(('Budget révisé'!$A$8:$A$500=$A321)*('Budget révisé'!$C$3:$AO$3=I$2),'Budget révisé'!$C$8:$AO$500)</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original'!$A$8:$A$500=$A322)*('Budget original'!$C$3:$AO$3=F$2),'Budget original'!$C$8:$AO$500)</f>
        <v>0</v>
      </c>
      <c r="G322" s="283"/>
      <c r="H322" s="233"/>
      <c r="I322" s="231">
        <f>+SUMPRODUCT(('Budget révisé'!$A$8:$A$500=$A322)*('Budget révisé'!$C$3:$AO$3=I$2),'Budget révisé'!$C$8:$AO$500)</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original'!$A$8:$A$500=$A323)*('Budget original'!$C$3:$AO$3=F$2),'Budget original'!$C$8:$AO$500)</f>
        <v>0</v>
      </c>
      <c r="G323" s="283"/>
      <c r="H323" s="233"/>
      <c r="I323" s="231">
        <f>+SUMPRODUCT(('Budget révisé'!$A$8:$A$500=$A323)*('Budget révisé'!$C$3:$AO$3=I$2),'Budget révisé'!$C$8:$AO$500)</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original'!$A$8:$A$500=$A324)*('Budget original'!$C$3:$AO$3=F$2),'Budget original'!$C$8:$AO$500)</f>
        <v>3777.6323188809752</v>
      </c>
      <c r="G324" s="283"/>
      <c r="H324" s="233"/>
      <c r="I324" s="244">
        <f>+SUMPRODUCT(('Budget révisé'!$A$8:$A$500=$A324)*('Budget révisé'!$C$3:$AO$3=I$2),'Budget révisé'!$C$8:$AO$500)</f>
        <v>3777.6323188809752</v>
      </c>
      <c r="J324" s="227"/>
      <c r="K324" s="233"/>
      <c r="L324" s="281">
        <f>SUMIFS(BV_Data_An_Cour!$P:$P,BV_Data_An_Cour!$U:$U,$B324,BV_Data_An_Cour!$V:$V,$C324,BV_Data_An_Cour!$W:$W,$L$2)</f>
        <v>3777.81</v>
      </c>
      <c r="M324" s="227"/>
      <c r="N324" s="232">
        <f t="shared" si="180"/>
        <v>0.17768111902478267</v>
      </c>
      <c r="O324" s="227"/>
      <c r="P324" s="233"/>
      <c r="Q324" s="281">
        <f>SUMIFS(BV_Data_An_Prec!$P:$P,BV_Data_An_Prec!$U:$U,$B324,BV_Data_An_Prec!$V:$V,$C324,BV_Data_An_Prec!$W:$W,$L$2)</f>
        <v>2490.75</v>
      </c>
      <c r="R324" s="227"/>
      <c r="S324" s="284">
        <f t="shared" si="181"/>
        <v>1287.06</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original'!$A$8:$A$500=$A325)*('Budget original'!$C$3:$AO$3=F$2),'Budget original'!$C$8:$AO$500)</f>
        <v>3383.2569705133797</v>
      </c>
      <c r="G325" s="287"/>
      <c r="H325" s="286"/>
      <c r="I325" s="231">
        <f>+SUMPRODUCT(('Budget révisé'!$A$8:$A$500=$A325)*('Budget révisé'!$C$3:$AO$3=I$2),'Budget révisé'!$C$8:$AO$500)</f>
        <v>3383.2569705133797</v>
      </c>
      <c r="J325" s="288"/>
      <c r="K325" s="286"/>
      <c r="L325" s="245">
        <f>SUMIFS(BV_Data_An_Cour!$P:$P,BV_Data_An_Cour!$U:$U,$B325,BV_Data_An_Cour!$V:$V,$C325,BV_Data_An_Cour!$W:$W,$L$2)</f>
        <v>38.46</v>
      </c>
      <c r="M325" s="288"/>
      <c r="N325" s="289">
        <f t="shared" si="180"/>
        <v>-3344.7969705133796</v>
      </c>
      <c r="O325" s="288"/>
      <c r="P325" s="286"/>
      <c r="Q325" s="245">
        <f>SUMIFS(BV_Data_An_Prec!$P:$P,BV_Data_An_Prec!$U:$U,$B325,BV_Data_An_Prec!$V:$V,$C325,BV_Data_An_Prec!$W:$W,$L$2)</f>
        <v>36.33</v>
      </c>
      <c r="R325" s="288"/>
      <c r="S325" s="290">
        <f t="shared" si="181"/>
        <v>2.1300000000000026</v>
      </c>
      <c r="T325" s="222"/>
      <c r="U325" s="968">
        <f>L325-Print_Mois!L325</f>
        <v>0</v>
      </c>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original'!$A$8:$A$500=$A326)*('Budget original'!$C$3:$AO$3=F$2),'Budget original'!$C$8:$AO$500)</f>
        <v>2686.7040648194488</v>
      </c>
      <c r="G326" s="283"/>
      <c r="H326" s="233"/>
      <c r="I326" s="231">
        <f>+SUMPRODUCT(('Budget révisé'!$A$8:$A$500=$A326)*('Budget révisé'!$C$3:$AO$3=I$2),'Budget révisé'!$C$8:$AO$500)</f>
        <v>2686.7040648194488</v>
      </c>
      <c r="J326" s="227"/>
      <c r="K326" s="233"/>
      <c r="L326" s="281">
        <f>SUMIFS(BV_Data_An_Cour!$P:$P,BV_Data_An_Cour!$U:$U,$B326,BV_Data_An_Cour!$V:$V,$C326,BV_Data_An_Cour!$W:$W,$L$2)</f>
        <v>1597.81</v>
      </c>
      <c r="M326" s="227"/>
      <c r="N326" s="232">
        <f t="shared" si="180"/>
        <v>-1088.8940648194489</v>
      </c>
      <c r="O326" s="227"/>
      <c r="P326" s="233"/>
      <c r="Q326" s="281">
        <f>SUMIFS(BV_Data_An_Prec!$P:$P,BV_Data_An_Prec!$U:$U,$B326,BV_Data_An_Prec!$V:$V,$C326,BV_Data_An_Prec!$W:$W,$L$2)</f>
        <v>4575.01</v>
      </c>
      <c r="R326" s="227"/>
      <c r="S326" s="284">
        <f t="shared" si="181"/>
        <v>-2977.2000000000003</v>
      </c>
      <c r="T326" s="222"/>
      <c r="U326" s="968">
        <f>L326-Print_Mois!L326</f>
        <v>0</v>
      </c>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original'!$A$8:$A$500=$A327)*('Budget original'!$C$3:$AO$3=F$2),'Budget original'!$C$8:$AO$500)</f>
        <v>1094.5831375190346</v>
      </c>
      <c r="G327" s="283"/>
      <c r="H327" s="233"/>
      <c r="I327" s="231">
        <f>+SUMPRODUCT(('Budget révisé'!$A$8:$A$500=$A327)*('Budget révisé'!$C$3:$AO$3=I$2),'Budget révisé'!$C$8:$AO$500)</f>
        <v>1094.5831375190346</v>
      </c>
      <c r="J327" s="227"/>
      <c r="K327" s="233"/>
      <c r="L327" s="281">
        <f>SUMIFS(BV_Data_An_Cour!$P:$P,BV_Data_An_Cour!$U:$U,$B327,BV_Data_An_Cour!$V:$V,$C327,BV_Data_An_Cour!$W:$W,$L$2)</f>
        <v>3821.1100000000006</v>
      </c>
      <c r="M327" s="227"/>
      <c r="N327" s="232">
        <f t="shared" si="180"/>
        <v>2726.526862480966</v>
      </c>
      <c r="O327" s="227"/>
      <c r="P327" s="233"/>
      <c r="Q327" s="281">
        <f>SUMIFS(BV_Data_An_Prec!$P:$P,BV_Data_An_Prec!$U:$U,$B327,BV_Data_An_Prec!$V:$V,$C327,BV_Data_An_Prec!$W:$W,$L$2)</f>
        <v>5020.3100000000004</v>
      </c>
      <c r="R327" s="227"/>
      <c r="S327" s="284">
        <f t="shared" si="181"/>
        <v>-1199.1999999999998</v>
      </c>
      <c r="T327" s="222"/>
      <c r="U327" s="968">
        <f>L327-Print_Mois!L327</f>
        <v>0</v>
      </c>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original'!$A$8:$A$500=$A328)*('Budget original'!$C$3:$AO$3=F$2),'Budget original'!$C$8:$AO$500)</f>
        <v>0</v>
      </c>
      <c r="G328" s="294"/>
      <c r="H328" s="293"/>
      <c r="I328" s="231">
        <f>+SUMPRODUCT(('Budget révisé'!$A$8:$A$500=$A328)*('Budget révisé'!$C$3:$AO$3=I$2),'Budget révisé'!$C$8:$AO$500)</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0.42921822660417031</v>
      </c>
      <c r="F329" s="41">
        <f>+SUM(F317:F328)</f>
        <v>41102.619314491458</v>
      </c>
      <c r="G329" s="42" t="s">
        <v>111</v>
      </c>
      <c r="H329" s="40">
        <f>I329/I$313</f>
        <v>0.42921822660417031</v>
      </c>
      <c r="I329" s="41">
        <f>+SUM(I317:I328)</f>
        <v>41102.619314491458</v>
      </c>
      <c r="J329" s="42" t="s">
        <v>111</v>
      </c>
      <c r="K329" s="40">
        <f>L329/L$313</f>
        <v>0.33171449968301958</v>
      </c>
      <c r="L329" s="41">
        <f>+SUM(L317:L328)</f>
        <v>32325.850000000006</v>
      </c>
      <c r="M329" s="43"/>
      <c r="N329" s="46">
        <f t="shared" si="180"/>
        <v>-8776.769314491452</v>
      </c>
      <c r="O329" s="42" t="s">
        <v>111</v>
      </c>
      <c r="P329" s="40">
        <f>Q329/Q$313</f>
        <v>0.51852377408601391</v>
      </c>
      <c r="Q329" s="41">
        <f>+SUM(Q317:Q328)</f>
        <v>43045.780000000006</v>
      </c>
      <c r="R329" s="43"/>
      <c r="S329" s="299">
        <f t="shared" si="181"/>
        <v>-10719.93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original'!$A$8:$A$500=$A330)*('Budget original'!$C$3:$AO$3=F$2),'Budget original'!$C$8:$AO$500)</f>
        <v>3725.4874999999997</v>
      </c>
      <c r="G330" s="302"/>
      <c r="H330" s="178"/>
      <c r="I330" s="179">
        <f>+SUMPRODUCT(('Budget révisé'!$A$8:$A$500=$A330)*('Budget révisé'!$C$3:$AO$3=I$2),'Budget révisé'!$C$8:$AO$500)</f>
        <v>3725.4874999999997</v>
      </c>
      <c r="J330" s="303"/>
      <c r="K330" s="178"/>
      <c r="L330" s="281">
        <f>SUMIFS(BV_Data_An_Cour!$P:$P,BV_Data_An_Cour!$U:$U,$B330,BV_Data_An_Cour!$V:$V,$C330,BV_Data_An_Cour!$W:$W,$L$2)</f>
        <v>3721.77</v>
      </c>
      <c r="M330" s="303"/>
      <c r="N330" s="304">
        <f t="shared" si="180"/>
        <v>-3.7174999999997453</v>
      </c>
      <c r="O330" s="303"/>
      <c r="P330" s="178"/>
      <c r="Q330" s="281">
        <f>SUMIFS(BV_Data_An_Prec!$P:$P,BV_Data_An_Prec!$U:$U,$B330,BV_Data_An_Prec!$V:$V,$C330,BV_Data_An_Prec!$W:$W,$L$2)</f>
        <v>5397.13</v>
      </c>
      <c r="R330" s="303"/>
      <c r="S330" s="199">
        <f t="shared" si="181"/>
        <v>-1675.3600000000001</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original'!$A$8:$A$500=$A331)*('Budget original'!$C$3:$AO$3=F$2),'Budget original'!$C$8:$AO$500)</f>
        <v>473.39246719983549</v>
      </c>
      <c r="G331" s="302"/>
      <c r="H331" s="178"/>
      <c r="I331" s="179">
        <f>+SUMPRODUCT(('Budget révisé'!$A$8:$A$500=$A331)*('Budget révisé'!$C$3:$AO$3=I$2),'Budget révisé'!$C$8:$AO$500)</f>
        <v>473.39246719983549</v>
      </c>
      <c r="J331" s="303"/>
      <c r="K331" s="178"/>
      <c r="L331" s="180">
        <f>SUMIFS(BV_Data_An_Cour!$P:$P,BV_Data_An_Cour!$U:$U,$B331,BV_Data_An_Cour!$V:$V,$C331,BV_Data_An_Cour!$W:$W,$L$2)</f>
        <v>46.35</v>
      </c>
      <c r="M331" s="303"/>
      <c r="N331" s="304">
        <f t="shared" si="180"/>
        <v>-427.04246719983547</v>
      </c>
      <c r="O331" s="303"/>
      <c r="P331" s="178"/>
      <c r="Q331" s="180">
        <f>SUMIFS(BV_Data_An_Prec!$P:$P,BV_Data_An_Prec!$U:$U,$B331,BV_Data_An_Prec!$V:$V,$C331,BV_Data_An_Prec!$W:$W,$L$2)</f>
        <v>145.72999999999999</v>
      </c>
      <c r="R331" s="303"/>
      <c r="S331" s="199">
        <f t="shared" si="181"/>
        <v>-99.38</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original'!$A$8:$A$500=$A332)*('Budget original'!$C$3:$AO$3=F$2),'Budget original'!$C$8:$AO$500)</f>
        <v>433.5</v>
      </c>
      <c r="G332" s="309"/>
      <c r="H332" s="308"/>
      <c r="I332" s="177">
        <f>+SUMPRODUCT(('Budget révisé'!$A$8:$A$500=$A332)*('Budget révisé'!$C$3:$AO$3=I$2),'Budget révisé'!$C$8:$AO$500)</f>
        <v>433.5</v>
      </c>
      <c r="J332" s="310"/>
      <c r="K332" s="308"/>
      <c r="L332" s="180">
        <f>SUMIFS(BV_Data_An_Cour!$P:$P,BV_Data_An_Cour!$U:$U,$B332,BV_Data_An_Cour!$V:$V,$C332,BV_Data_An_Cour!$W:$W,$L$2)</f>
        <v>434.1</v>
      </c>
      <c r="M332" s="310"/>
      <c r="N332" s="311">
        <f t="shared" si="180"/>
        <v>0.60000000000002274</v>
      </c>
      <c r="O332" s="310"/>
      <c r="P332" s="308"/>
      <c r="Q332" s="180">
        <f>SUMIFS(BV_Data_An_Prec!$P:$P,BV_Data_An_Prec!$U:$U,$B332,BV_Data_An_Prec!$V:$V,$C332,BV_Data_An_Prec!$W:$W,$L$2)</f>
        <v>290.89</v>
      </c>
      <c r="R332" s="310"/>
      <c r="S332" s="202">
        <f t="shared" si="181"/>
        <v>143.21000000000004</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original'!$A$8:$A$500=$A333)*('Budget original'!$C$3:$AO$3=F$2),'Budget original'!$C$8:$AO$500)</f>
        <v>3489.4852291666666</v>
      </c>
      <c r="G333" s="302"/>
      <c r="H333" s="178"/>
      <c r="I333" s="179">
        <f>+SUMPRODUCT(('Budget révisé'!$A$8:$A$500=$A333)*('Budget révisé'!$C$3:$AO$3=I$2),'Budget révisé'!$C$8:$AO$500)</f>
        <v>3489.4852291666666</v>
      </c>
      <c r="J333" s="303"/>
      <c r="K333" s="178"/>
      <c r="L333" s="181">
        <f>SUMIFS(BV_Data_An_Cour!$P:$P,BV_Data_An_Cour!$U:$U,$B333,BV_Data_An_Cour!$V:$V,$C333,BV_Data_An_Cour!$W:$W,$L$2)</f>
        <v>3498.87</v>
      </c>
      <c r="M333" s="303"/>
      <c r="N333" s="304">
        <f t="shared" si="180"/>
        <v>9.3847708333332776</v>
      </c>
      <c r="O333" s="303"/>
      <c r="P333" s="178"/>
      <c r="Q333" s="181">
        <f>SUMIFS(BV_Data_An_Prec!$P:$P,BV_Data_An_Prec!$U:$U,$B333,BV_Data_An_Prec!$V:$V,$C333,BV_Data_An_Prec!$W:$W,$L$2)</f>
        <v>3781.12</v>
      </c>
      <c r="R333" s="303"/>
      <c r="S333" s="199">
        <f t="shared" si="181"/>
        <v>-282.25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original'!$A$8:$A$500=$A334)*('Budget original'!$C$3:$AO$3=F$2),'Budget original'!$C$8:$AO$500)</f>
        <v>618.86078125000006</v>
      </c>
      <c r="G334" s="302"/>
      <c r="H334" s="178"/>
      <c r="I334" s="179">
        <f>+SUMPRODUCT(('Budget révisé'!$A$8:$A$500=$A334)*('Budget révisé'!$C$3:$AO$3=I$2),'Budget révisé'!$C$8:$AO$500)</f>
        <v>618.86078125000006</v>
      </c>
      <c r="J334" s="303"/>
      <c r="K334" s="178"/>
      <c r="L334" s="180">
        <f>SUMIFS(BV_Data_An_Cour!$P:$P,BV_Data_An_Cour!$U:$U,$B334,BV_Data_An_Cour!$V:$V,$C334,BV_Data_An_Cour!$W:$W,$L$2)</f>
        <v>229.49</v>
      </c>
      <c r="M334" s="303"/>
      <c r="N334" s="304">
        <f t="shared" si="180"/>
        <v>-389.37078125000005</v>
      </c>
      <c r="O334" s="303"/>
      <c r="P334" s="178"/>
      <c r="Q334" s="180">
        <f>SUMIFS(BV_Data_An_Prec!$P:$P,BV_Data_An_Prec!$U:$U,$B334,BV_Data_An_Prec!$V:$V,$C334,BV_Data_An_Prec!$W:$W,$L$2)</f>
        <v>48.43</v>
      </c>
      <c r="R334" s="303"/>
      <c r="S334" s="199">
        <f t="shared" si="181"/>
        <v>181.06</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original'!$A$8:$A$500=$A335)*('Budget original'!$C$3:$AO$3=F$2),'Budget original'!$C$8:$AO$500)</f>
        <v>7859.6626888888895</v>
      </c>
      <c r="G335" s="309"/>
      <c r="H335" s="308"/>
      <c r="I335" s="177">
        <f>+SUMPRODUCT(('Budget révisé'!$A$8:$A$500=$A335)*('Budget révisé'!$C$3:$AO$3=I$2),'Budget révisé'!$C$8:$AO$500)</f>
        <v>7859.6626888888895</v>
      </c>
      <c r="J335" s="310"/>
      <c r="K335" s="308"/>
      <c r="L335" s="405">
        <f>SUMIFS(BV_Data_An_Cour!$P:$P,BV_Data_An_Cour!$U:$U,$B335,BV_Data_An_Cour!$V:$V,$C335,BV_Data_An_Cour!$W:$W,$L$2)</f>
        <v>7859.28</v>
      </c>
      <c r="M335" s="310"/>
      <c r="N335" s="311">
        <f t="shared" si="180"/>
        <v>-0.38268888888978836</v>
      </c>
      <c r="O335" s="310"/>
      <c r="P335" s="308"/>
      <c r="Q335" s="405">
        <f>SUMIFS(BV_Data_An_Prec!$P:$P,BV_Data_An_Prec!$U:$U,$B335,BV_Data_An_Prec!$V:$V,$C335,BV_Data_An_Prec!$W:$W,$L$2)</f>
        <v>5169.6099999999997</v>
      </c>
      <c r="R335" s="310"/>
      <c r="S335" s="202">
        <f t="shared" si="181"/>
        <v>2689.67</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1993</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original'!$A$8:$A$500=$A337)*('Budget original'!$C$3:$AO$3=F$2),'Budget original'!$C$8:$AO$500)</f>
        <v>50.536579190711528</v>
      </c>
      <c r="G337" s="302"/>
      <c r="H337" s="178"/>
      <c r="I337" s="179">
        <f>+SUMPRODUCT(('Budget révisé'!$A$8:$A$500=$A337)*('Budget révisé'!$C$3:$AO$3=I$2),'Budget révisé'!$C$8:$AO$500)</f>
        <v>50.536579190711528</v>
      </c>
      <c r="J337" s="303"/>
      <c r="K337" s="178"/>
      <c r="L337" s="180">
        <f>SUMIFS(BV_Data_An_Cour!$P:$P,BV_Data_An_Cour!$U:$U,$B337,BV_Data_An_Cour!$V:$V,$C337,BV_Data_An_Cour!$W:$W,$L$2)</f>
        <v>7.49</v>
      </c>
      <c r="M337" s="303"/>
      <c r="N337" s="304">
        <f t="shared" si="180"/>
        <v>-43.046579190711526</v>
      </c>
      <c r="O337" s="303"/>
      <c r="P337" s="178"/>
      <c r="Q337" s="180">
        <f>SUMIFS(BV_Data_An_Prec!$P:$P,BV_Data_An_Prec!$U:$U,$B337,BV_Data_An_Prec!$V:$V,$C337,BV_Data_An_Prec!$W:$W,$L$2)</f>
        <v>164.65</v>
      </c>
      <c r="R337" s="303"/>
      <c r="S337" s="199">
        <f t="shared" si="181"/>
        <v>-157.16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original'!$A$8:$A$500=$A338)*('Budget original'!$C$3:$AO$3=F$2),'Budget original'!$C$8:$AO$500)</f>
        <v>26.853809687373364</v>
      </c>
      <c r="G338" s="302"/>
      <c r="H338" s="178"/>
      <c r="I338" s="179">
        <f>+SUMPRODUCT(('Budget révisé'!$A$8:$A$500=$A338)*('Budget révisé'!$C$3:$AO$3=I$2),'Budget révisé'!$C$8:$AO$500)</f>
        <v>26.853809687373364</v>
      </c>
      <c r="J338" s="303"/>
      <c r="K338" s="178"/>
      <c r="L338" s="180">
        <f>SUMIFS(BV_Data_An_Cour!$P:$P,BV_Data_An_Cour!$U:$U,$B338,BV_Data_An_Cour!$V:$V,$C338,BV_Data_An_Cour!$W:$W,$L$2)</f>
        <v>0</v>
      </c>
      <c r="M338" s="303"/>
      <c r="N338" s="304">
        <f t="shared" si="180"/>
        <v>-26.853809687373364</v>
      </c>
      <c r="O338" s="303"/>
      <c r="P338" s="178"/>
      <c r="Q338" s="180">
        <f>SUMIFS(BV_Data_An_Prec!$P:$P,BV_Data_An_Prec!$U:$U,$B338,BV_Data_An_Prec!$V:$V,$C338,BV_Data_An_Prec!$W:$W,$L$2)</f>
        <v>0</v>
      </c>
      <c r="R338" s="303"/>
      <c r="S338" s="199">
        <f t="shared" si="181"/>
        <v>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original'!$A$8:$A$500=$A339)*('Budget original'!$C$3:$AO$3=F$2),'Budget original'!$C$8:$AO$500)</f>
        <v>510.05025000000001</v>
      </c>
      <c r="G339" s="302"/>
      <c r="H339" s="178"/>
      <c r="I339" s="179">
        <f>+SUMPRODUCT(('Budget révisé'!$A$8:$A$500=$A339)*('Budget révisé'!$C$3:$AO$3=I$2),'Budget révisé'!$C$8:$AO$500)</f>
        <v>510.05025000000001</v>
      </c>
      <c r="J339" s="303"/>
      <c r="K339" s="178"/>
      <c r="L339" s="554">
        <f>SUMIFS(BV_Data_An_Cour!$P:$P,BV_Data_An_Cour!$U:$U,$B339,BV_Data_An_Cour!$V:$V,$C339,BV_Data_An_Cour!$W:$W,$L$2)</f>
        <v>660.87</v>
      </c>
      <c r="M339" s="303"/>
      <c r="N339" s="304">
        <f t="shared" si="180"/>
        <v>150.81975</v>
      </c>
      <c r="O339" s="303"/>
      <c r="P339" s="178"/>
      <c r="Q339" s="554">
        <f>SUMIFS(BV_Data_An_Prec!$P:$P,BV_Data_An_Prec!$U:$U,$B339,BV_Data_An_Prec!$V:$V,$C339,BV_Data_An_Prec!$W:$W,$L$2)</f>
        <v>424.01</v>
      </c>
      <c r="R339" s="303"/>
      <c r="S339" s="199">
        <f t="shared" si="181"/>
        <v>236.86</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original'!$A$8:$A$500=$A340)*('Budget original'!$C$3:$AO$3=F$2),'Budget original'!$C$8:$AO$500)</f>
        <v>235.51916145833334</v>
      </c>
      <c r="G340" s="302"/>
      <c r="H340" s="178"/>
      <c r="I340" s="179">
        <f>+SUMPRODUCT(('Budget révisé'!$A$8:$A$500=$A340)*('Budget révisé'!$C$3:$AO$3=I$2),'Budget révisé'!$C$8:$AO$500)</f>
        <v>235.51916145833334</v>
      </c>
      <c r="J340" s="303"/>
      <c r="K340" s="178"/>
      <c r="L340" s="180">
        <f>SUMIFS(BV_Data_An_Cour!$P:$P,BV_Data_An_Cour!$U:$U,$B340,BV_Data_An_Cour!$V:$V,$C340,BV_Data_An_Cour!$W:$W,$L$2)</f>
        <v>81.349999999999994</v>
      </c>
      <c r="M340" s="303"/>
      <c r="N340" s="304">
        <f t="shared" si="180"/>
        <v>-154.16916145833335</v>
      </c>
      <c r="O340" s="303"/>
      <c r="P340" s="178"/>
      <c r="Q340" s="180">
        <f>SUMIFS(BV_Data_An_Prec!$P:$P,BV_Data_An_Prec!$U:$U,$B340,BV_Data_An_Prec!$V:$V,$C340,BV_Data_An_Prec!$W:$W,$L$2)</f>
        <v>256.82</v>
      </c>
      <c r="R340" s="303"/>
      <c r="S340" s="199">
        <f t="shared" si="181"/>
        <v>-175.47</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original'!$A$8:$A$500=$A341)*('Budget original'!$C$3:$AO$3=F$2),'Budget original'!$C$8:$AO$500)</f>
        <v>125.71646354166664</v>
      </c>
      <c r="G341" s="302"/>
      <c r="H341" s="178"/>
      <c r="I341" s="179">
        <f>+SUMPRODUCT(('Budget révisé'!$A$8:$A$500=$A341)*('Budget révisé'!$C$3:$AO$3=I$2),'Budget révisé'!$C$8:$AO$500)</f>
        <v>125.71646354166664</v>
      </c>
      <c r="J341" s="303"/>
      <c r="K341" s="178"/>
      <c r="L341" s="281">
        <f>SUMIFS(BV_Data_An_Cour!$P:$P,BV_Data_An_Cour!$U:$U,$B341,BV_Data_An_Cour!$V:$V,$C341,BV_Data_An_Cour!$W:$W,$L$2)</f>
        <v>-28.63</v>
      </c>
      <c r="M341" s="303"/>
      <c r="N341" s="304">
        <f t="shared" si="180"/>
        <v>-154.34646354166665</v>
      </c>
      <c r="O341" s="303"/>
      <c r="P341" s="178"/>
      <c r="Q341" s="180">
        <f>SUMIFS(BV_Data_An_Prec!$P:$P,BV_Data_An_Prec!$U:$U,$B341,BV_Data_An_Prec!$V:$V,$C341,BV_Data_An_Prec!$W:$W,$L$2)</f>
        <v>15.97</v>
      </c>
      <c r="R341" s="303"/>
      <c r="S341" s="199">
        <f t="shared" si="181"/>
        <v>-44.6</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original'!$A$8:$A$500=$A342)*('Budget original'!$C$3:$AO$3=F$2),'Budget original'!$C$8:$AO$500)</f>
        <v>606.4324947916665</v>
      </c>
      <c r="G342" s="302"/>
      <c r="H342" s="178"/>
      <c r="I342" s="179">
        <f>+SUMPRODUCT(('Budget révisé'!$A$8:$A$500=$A342)*('Budget révisé'!$C$3:$AO$3=I$2),'Budget révisé'!$C$8:$AO$500)</f>
        <v>606.4324947916665</v>
      </c>
      <c r="J342" s="303"/>
      <c r="K342" s="178"/>
      <c r="L342" s="281">
        <f>SUMIFS(BV_Data_An_Cour!$P:$P,BV_Data_An_Cour!$U:$U,$B342,BV_Data_An_Cour!$V:$V,$C342,BV_Data_An_Cour!$W:$W,$L$2)</f>
        <v>258.91000000000003</v>
      </c>
      <c r="M342" s="303"/>
      <c r="N342" s="304">
        <f t="shared" si="180"/>
        <v>-347.52249479166647</v>
      </c>
      <c r="O342" s="303"/>
      <c r="P342" s="178"/>
      <c r="Q342" s="180">
        <f>SUMIFS(BV_Data_An_Prec!$P:$P,BV_Data_An_Prec!$U:$U,$B342,BV_Data_An_Prec!$V:$V,$C342,BV_Data_An_Prec!$W:$W,$L$2)</f>
        <v>197.1</v>
      </c>
      <c r="R342" s="303"/>
      <c r="S342" s="199">
        <f t="shared" si="181"/>
        <v>61.810000000000031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original'!$A$8:$A$500=$A343)*('Budget original'!$C$3:$AO$3=F$2),'Budget original'!$C$8:$AO$500)</f>
        <v>900.98145833333331</v>
      </c>
      <c r="G343" s="302"/>
      <c r="H343" s="178"/>
      <c r="I343" s="179">
        <f>+SUMPRODUCT(('Budget révisé'!$A$8:$A$500=$A343)*('Budget révisé'!$C$3:$AO$3=I$2),'Budget révisé'!$C$8:$AO$500)</f>
        <v>900.98145833333331</v>
      </c>
      <c r="J343" s="303"/>
      <c r="K343" s="178"/>
      <c r="L343" s="281">
        <f>SUMIFS(BV_Data_An_Cour!$P:$P,BV_Data_An_Cour!$U:$U,$B343,BV_Data_An_Cour!$V:$V,$C343,BV_Data_An_Cour!$W:$W,$L$2)</f>
        <v>79.75</v>
      </c>
      <c r="M343" s="303"/>
      <c r="N343" s="304">
        <f t="shared" ref="N343:N347" si="189">L343-I343</f>
        <v>-821.23145833333331</v>
      </c>
      <c r="O343" s="303"/>
      <c r="P343" s="178"/>
      <c r="Q343" s="180">
        <f>SUMIFS(BV_Data_An_Prec!$P:$P,BV_Data_An_Prec!$U:$U,$B343,BV_Data_An_Prec!$V:$V,$C343,BV_Data_An_Prec!$W:$W,$L$2)</f>
        <v>22.14</v>
      </c>
      <c r="R343" s="303"/>
      <c r="S343" s="199">
        <f t="shared" ref="S343:S347" si="190">L343-Q343</f>
        <v>57.61</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original'!$A$8:$A$500=$A344)*('Budget original'!$C$3:$AO$3=F$2),'Budget original'!$C$8:$AO$500)</f>
        <v>1315.0291164110902</v>
      </c>
      <c r="G344" s="302"/>
      <c r="H344" s="178"/>
      <c r="I344" s="179">
        <f>+SUMPRODUCT(('Budget révisé'!$A$8:$A$500=$A344)*('Budget révisé'!$C$3:$AO$3=I$2),'Budget révisé'!$C$8:$AO$500)</f>
        <v>1315.0291164110902</v>
      </c>
      <c r="J344" s="303"/>
      <c r="K344" s="178"/>
      <c r="L344" s="974">
        <f>AF447*W7</f>
        <v>996.2</v>
      </c>
      <c r="M344" s="303"/>
      <c r="N344" s="304">
        <f t="shared" si="189"/>
        <v>-318.82911641109013</v>
      </c>
      <c r="O344" s="303"/>
      <c r="P344" s="178"/>
      <c r="Q344" s="180">
        <f>AL447*W7</f>
        <v>856.24400000000014</v>
      </c>
      <c r="R344" s="303"/>
      <c r="S344" s="199">
        <f t="shared" si="190"/>
        <v>139.9559999999999</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original'!$A$8:$A$500=$A345)*('Budget original'!$C$3:$AO$3=F$2),'Budget original'!$C$8:$AO$500)</f>
        <v>0</v>
      </c>
      <c r="G345" s="302"/>
      <c r="H345" s="178"/>
      <c r="I345" s="179">
        <f>+SUMPRODUCT(('Budget révisé'!$A$8:$A$500=$A345)*('Budget révisé'!$C$3:$AO$3=I$2),'Budget révisé'!$C$8:$AO$500)</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original'!$A$8:$A$500=$A346)*('Budget original'!$C$3:$AO$3=F$2),'Budget original'!$C$8:$AO$500)</f>
        <v>0</v>
      </c>
      <c r="G346" s="302"/>
      <c r="H346" s="178"/>
      <c r="I346" s="179">
        <f>+SUMPRODUCT(('Budget révisé'!$A$8:$A$500=$A346)*('Budget révisé'!$C$3:$AO$3=I$2),'Budget révisé'!$C$8:$AO$500)</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original'!$A$8:$A$500=$A347)*('Budget original'!$C$3:$AO$3=F$2),'Budget original'!$C$8:$AO$500)</f>
        <v>0</v>
      </c>
      <c r="G347" s="302"/>
      <c r="H347" s="178"/>
      <c r="I347" s="179">
        <f>+SUMPRODUCT(('Budget révisé'!$A$8:$A$500=$A347)*('Budget révisé'!$C$3:$AO$3=I$2),'Budget révisé'!$C$8:$AO$500)</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0.21273151645338945</v>
      </c>
      <c r="F348" s="41">
        <f>+SUM(F330:F347)</f>
        <v>20371.507999919562</v>
      </c>
      <c r="G348" s="42" t="s">
        <v>111</v>
      </c>
      <c r="H348" s="40">
        <f>I348/I$313</f>
        <v>0.21273151645338945</v>
      </c>
      <c r="I348" s="41">
        <f>+SUM(I330:I347)</f>
        <v>20371.507999919562</v>
      </c>
      <c r="J348" s="42" t="s">
        <v>111</v>
      </c>
      <c r="K348" s="40">
        <f>L348/L$313</f>
        <v>0.183126216895866</v>
      </c>
      <c r="L348" s="41">
        <f>+SUM(L330:L347)</f>
        <v>17845.8</v>
      </c>
      <c r="M348" s="44"/>
      <c r="N348" s="41">
        <f>+SUM(N330:N347)</f>
        <v>-2525.7079999195666</v>
      </c>
      <c r="O348" s="42" t="s">
        <v>111</v>
      </c>
      <c r="P348" s="40">
        <f>Q348/Q$313</f>
        <v>0.20200732340577154</v>
      </c>
      <c r="Q348" s="41">
        <f>+SUM(Q330:Q347)</f>
        <v>16769.843999999997</v>
      </c>
      <c r="R348" s="44"/>
      <c r="S348" s="316">
        <f>+SUM(S330:S347)</f>
        <v>1075.9559999999997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0.6419497430575597</v>
      </c>
      <c r="F350" s="41">
        <f>F329+F348</f>
        <v>61474.127314411016</v>
      </c>
      <c r="G350" s="42" t="s">
        <v>111</v>
      </c>
      <c r="H350" s="40">
        <f>I350/I$313</f>
        <v>0.6419497430575597</v>
      </c>
      <c r="I350" s="41">
        <f>I329+I348</f>
        <v>61474.127314411016</v>
      </c>
      <c r="J350" s="42" t="s">
        <v>111</v>
      </c>
      <c r="K350" s="40">
        <f>L350/L$313</f>
        <v>0.51484071657888564</v>
      </c>
      <c r="L350" s="41">
        <f>L329+L348</f>
        <v>50171.650000000009</v>
      </c>
      <c r="M350" s="44"/>
      <c r="N350" s="46">
        <f t="shared" ref="N350:N352" si="192">L350-I350</f>
        <v>-11302.477314411008</v>
      </c>
      <c r="O350" s="42" t="s">
        <v>111</v>
      </c>
      <c r="P350" s="40">
        <f>Q350/Q$313</f>
        <v>0.72053109749178545</v>
      </c>
      <c r="Q350" s="41">
        <f>Q329+Q348</f>
        <v>59815.624000000003</v>
      </c>
      <c r="R350" s="44"/>
      <c r="S350" s="299">
        <f>L350-Q350</f>
        <v>-9643.9739999999947</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34287.461469181668</v>
      </c>
      <c r="G352" s="344"/>
      <c r="H352" s="342"/>
      <c r="I352" s="343">
        <f>I313-I350</f>
        <v>34287.461469181668</v>
      </c>
      <c r="J352" s="345"/>
      <c r="K352" s="346"/>
      <c r="L352" s="343">
        <f>L313-L350</f>
        <v>47279.170000000013</v>
      </c>
      <c r="M352" s="345"/>
      <c r="N352" s="343">
        <f t="shared" si="192"/>
        <v>12991.708530818345</v>
      </c>
      <c r="O352" s="345"/>
      <c r="P352" s="346"/>
      <c r="Q352" s="343">
        <f>Q313-Q350</f>
        <v>23200.395999999986</v>
      </c>
      <c r="R352" s="345"/>
      <c r="S352" s="347">
        <f>L352-Q352</f>
        <v>24078.774000000027</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83">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Janvier 2022</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287" t="s">
        <v>77</v>
      </c>
      <c r="E357" s="1287"/>
      <c r="F357" s="1297"/>
      <c r="G357" s="1290" t="s">
        <v>145</v>
      </c>
      <c r="H357" s="1287"/>
      <c r="I357" s="1297"/>
      <c r="J357" s="1290" t="s">
        <v>79</v>
      </c>
      <c r="K357" s="1287"/>
      <c r="L357" s="1297"/>
      <c r="M357" s="1290" t="s">
        <v>80</v>
      </c>
      <c r="N357" s="1297"/>
      <c r="O357" s="1290" t="s">
        <v>81</v>
      </c>
      <c r="P357" s="1287"/>
      <c r="Q357" s="1297"/>
      <c r="R357" s="1290" t="s">
        <v>82</v>
      </c>
      <c r="S357" s="1298"/>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original'!$A$8:$A$500=$A359)*('Budget original'!$C$3:$AO$3=D$2),'Budget original'!$C$8:$AO$500)</f>
        <v>0</v>
      </c>
      <c r="E359" s="204">
        <f>IFERROR(F359/D359,0)</f>
        <v>0</v>
      </c>
      <c r="F359" s="208">
        <f>+SUMPRODUCT(('Budget original'!$A$8:$A$500=$A359)*('Budget original'!$C$3:$AO$3=F$2),'Budget original'!$C$8:$AO$500)</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84">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85"/>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original'!$A$8:$A$500=$A364)*('Budget original'!$C$3:$AO$3=F$2),'Budget original'!$C$8:$AO$500)</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original'!$A$8:$A$500=$A365)*('Budget original'!$C$3:$AO$3=F$2),'Budget original'!$C$8:$AO$500)</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original'!$A$8:$A$500=$A366)*('Budget original'!$C$3:$AO$3=F$2),'Budget original'!$C$8:$AO$500)</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original'!$A$8:$A$500=$A367)*('Budget original'!$C$3:$AO$3=F$2),'Budget original'!$C$8:$AO$500)</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original'!$A$8:$A$500=$A368)*('Budget original'!$C$3:$AO$3=F$2),'Budget original'!$C$8:$AO$500)</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original'!$A$8:$A$500=$A369)*('Budget original'!$C$3:$AO$3=F$2),'Budget original'!$C$8:$AO$500)</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original'!$A$8:$A$500=$A370)*('Budget original'!$C$3:$AO$3=F$2),'Budget original'!$C$8:$AO$500)</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original'!$A$8:$A$500=$A371)*('Budget original'!$C$3:$AO$3=F$2),'Budget original'!$C$8:$AO$500)</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original'!$A$8:$A$500=$A372)*('Budget original'!$C$3:$AO$3=F$2),'Budget original'!$C$8:$AO$500)</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original'!$A$8:$A$500=$A373)*('Budget original'!$C$3:$AO$3=F$2),'Budget original'!$C$8:$AO$500)</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original'!$A$8:$A$500=$A374)*('Budget original'!$C$3:$AO$3=F$2),'Budget original'!$C$8:$AO$500)</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original'!$A$8:$A$500=$A375)*('Budget original'!$C$3:$AO$3=F$2),'Budget original'!$C$8:$AO$500)</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original'!$A$8:$A$500=$A377)*('Budget original'!$C$3:$AO$3=F$2),'Budget original'!$C$8:$AO$500)</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original'!$A$8:$A$500=$A378)*('Budget original'!$C$3:$AO$3=F$2),'Budget original'!$C$8:$AO$500)</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original'!$A$8:$A$500=$A379)*('Budget original'!$C$3:$AO$3=F$2),'Budget original'!$C$8:$AO$500)</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original'!$A$8:$A$500=$A380)*('Budget original'!$C$3:$AO$3=F$2),'Budget original'!$C$8:$AO$500)</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original'!$A$8:$A$500=$A381)*('Budget original'!$C$3:$AO$3=F$2),'Budget original'!$C$8:$AO$500)</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original'!$A$8:$A$500=$A382)*('Budget original'!$C$3:$AO$3=F$2),'Budget original'!$C$8:$AO$500)</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original'!$A$8:$A$500=$A383)*('Budget original'!$C$3:$AO$3=F$2),'Budget original'!$C$8:$AO$500)</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original'!$A$8:$A$500=$A384)*('Budget original'!$C$3:$AO$3=F$2),'Budget original'!$C$8:$AO$500)</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original'!$A$8:$A$500=$A385)*('Budget original'!$C$3:$AO$3=F$2),'Budget original'!$C$8:$AO$500)</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original'!$A$8:$A$500=$A386)*('Budget original'!$C$3:$AO$3=F$2),'Budget original'!$C$8:$AO$500)</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original'!$A$8:$A$500=$A387)*('Budget original'!$C$3:$AO$3=F$2),'Budget original'!$C$8:$AO$500)</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original'!$A$8:$A$500=$A388)*('Budget original'!$C$3:$AO$3=F$2),'Budget original'!$C$8:$AO$500)</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original'!$A$8:$A$500=$A389)*('Budget original'!$C$3:$AO$3=F$2),'Budget original'!$C$8:$AO$500)</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original'!$A$8:$A$500=$A390)*('Budget original'!$C$3:$AO$3=F$2),'Budget original'!$C$8:$AO$500)</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original'!$A$8:$A$500=$A391)*('Budget original'!$C$3:$AO$3=F$2),'Budget original'!$C$8:$AO$500)</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original'!$A$8:$A$500=$A392)*('Budget original'!$C$3:$AO$3=F$2),'Budget original'!$C$8:$AO$500)</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original'!$A$8:$A$500=$A393)*('Budget original'!$C$3:$AO$3=F$2),'Budget original'!$C$8:$AO$500)</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86"/>
      <c r="J399" s="369"/>
      <c r="K399" s="369"/>
      <c r="L399" s="1086"/>
      <c r="M399" s="369"/>
      <c r="N399" s="1086"/>
      <c r="O399" s="369"/>
      <c r="P399" s="369"/>
      <c r="Q399" s="1086"/>
      <c r="R399" s="369"/>
      <c r="S399" s="1086"/>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c r="M400" s="25"/>
      <c r="N400" s="25"/>
      <c r="O400" s="25"/>
      <c r="P400" s="25"/>
      <c r="Q400" s="25"/>
      <c r="R400" s="23"/>
      <c r="S400" s="1087"/>
      <c r="T400" s="1087"/>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c r="M401" s="1088"/>
      <c r="N401" s="1088"/>
      <c r="O401" s="1088"/>
      <c r="P401" s="23"/>
      <c r="Q401" s="1092"/>
      <c r="R401" s="23"/>
      <c r="S401" s="958"/>
      <c r="T401" s="958"/>
      <c r="U401" s="1101"/>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Janvier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c r="M402" s="1088"/>
      <c r="N402" s="1088"/>
      <c r="O402" s="1088"/>
      <c r="P402" s="1089"/>
      <c r="Q402" s="1092"/>
      <c r="R402" s="23"/>
      <c r="S402" s="1090"/>
      <c r="T402" s="1090"/>
      <c r="U402" s="1101"/>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165"/>
      <c r="C403" s="23"/>
      <c r="D403" s="23"/>
      <c r="E403" s="23"/>
      <c r="F403" s="23"/>
      <c r="G403" s="23"/>
      <c r="H403" s="23"/>
      <c r="I403" s="23"/>
      <c r="J403" s="23"/>
      <c r="K403" s="23"/>
      <c r="L403" s="23"/>
      <c r="M403" s="1088"/>
      <c r="N403" s="1088"/>
      <c r="O403" s="1088"/>
      <c r="P403" s="1089"/>
      <c r="Q403" s="1092"/>
      <c r="R403" s="23"/>
      <c r="S403" s="1090"/>
      <c r="T403" s="1090"/>
      <c r="U403" s="1101"/>
      <c r="V403" s="440"/>
      <c r="W403" s="976"/>
      <c r="X403" s="1295" t="s">
        <v>194</v>
      </c>
      <c r="Y403" s="1293"/>
      <c r="Z403" s="1296"/>
      <c r="AA403" s="1292" t="s">
        <v>145</v>
      </c>
      <c r="AB403" s="1293"/>
      <c r="AC403" s="1296"/>
      <c r="AD403" s="1292" t="s">
        <v>79</v>
      </c>
      <c r="AE403" s="1293"/>
      <c r="AF403" s="1296"/>
      <c r="AG403" s="1292" t="s">
        <v>195</v>
      </c>
      <c r="AH403" s="1293"/>
      <c r="AI403" s="1296"/>
      <c r="AJ403" s="1292" t="s">
        <v>196</v>
      </c>
      <c r="AK403" s="1293"/>
      <c r="AL403" s="1293"/>
      <c r="AM403" s="1292" t="s">
        <v>197</v>
      </c>
      <c r="AN403" s="1293"/>
      <c r="AO403" s="1294"/>
      <c r="AP403" s="79"/>
      <c r="AQ403" s="79" t="s">
        <v>3110</v>
      </c>
      <c r="AR403" s="79" t="s">
        <v>3111</v>
      </c>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38" si="199">+U404&amp;V404</f>
        <v/>
      </c>
      <c r="B404" s="165"/>
      <c r="C404" s="23"/>
      <c r="D404" s="23"/>
      <c r="E404" s="23"/>
      <c r="F404" s="23"/>
      <c r="G404" s="23"/>
      <c r="H404" s="23"/>
      <c r="I404" s="23"/>
      <c r="J404" s="23"/>
      <c r="K404" s="23"/>
      <c r="L404" s="958"/>
      <c r="M404" s="1091"/>
      <c r="N404" s="23"/>
      <c r="O404" s="1091"/>
      <c r="P404" s="1089"/>
      <c r="Q404" s="1092"/>
      <c r="R404" s="23"/>
      <c r="S404" s="1090"/>
      <c r="T404" s="1090"/>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c r="H405" s="23"/>
      <c r="I405" s="23"/>
      <c r="J405" s="1088"/>
      <c r="K405" s="1101"/>
      <c r="L405" s="23"/>
      <c r="M405" s="1088"/>
      <c r="N405" s="1093"/>
      <c r="O405" s="1093"/>
      <c r="P405" s="1089"/>
      <c r="Q405" s="1092"/>
      <c r="R405" s="79"/>
      <c r="S405" s="1090"/>
      <c r="T405" s="1090"/>
      <c r="U405" s="79"/>
      <c r="V405" s="306" t="s">
        <v>88</v>
      </c>
      <c r="W405" s="445"/>
      <c r="X405" s="445"/>
      <c r="Y405" s="445"/>
      <c r="Z405" s="446">
        <f>F5+F93+E193+E249+D313+D361</f>
        <v>3013237.8887348701</v>
      </c>
      <c r="AA405" s="445"/>
      <c r="AB405" s="445"/>
      <c r="AC405" s="446">
        <f>I5+I93+H193+H249+G313+G361</f>
        <v>3013237.8887348701</v>
      </c>
      <c r="AD405" s="447"/>
      <c r="AE405" s="448"/>
      <c r="AF405" s="448">
        <f>L5+L93+K193+K249+J313+J361</f>
        <v>3614889.41</v>
      </c>
      <c r="AG405" s="447"/>
      <c r="AH405" s="448"/>
      <c r="AI405" s="449"/>
      <c r="AJ405" s="447"/>
      <c r="AK405" s="448"/>
      <c r="AL405" s="448">
        <f>Q5+Q93+P193+P249+O313+O361</f>
        <v>2096081.42</v>
      </c>
      <c r="AM405" s="450"/>
      <c r="AN405" s="448"/>
      <c r="AO405" s="451"/>
      <c r="AP405" s="79"/>
      <c r="AQ405" s="448">
        <v>58622946.420000002</v>
      </c>
      <c r="AR405" s="448">
        <f>AF405-AQ405</f>
        <v>-55008057.010000005</v>
      </c>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Profit brut</v>
      </c>
      <c r="B406" s="165"/>
      <c r="C406" s="23"/>
      <c r="D406" s="23"/>
      <c r="E406" s="23"/>
      <c r="F406" s="23"/>
      <c r="G406" s="23"/>
      <c r="H406" s="23"/>
      <c r="I406" s="23"/>
      <c r="J406" s="1088"/>
      <c r="K406" s="1101"/>
      <c r="L406" s="23"/>
      <c r="M406" s="1088"/>
      <c r="N406" s="1088"/>
      <c r="O406" s="1088"/>
      <c r="P406" s="1089"/>
      <c r="Q406" s="1092"/>
      <c r="R406" s="79"/>
      <c r="S406" s="958"/>
      <c r="T406" s="958"/>
      <c r="U406" s="1101"/>
      <c r="V406" s="452" t="s">
        <v>205</v>
      </c>
      <c r="W406" s="81"/>
      <c r="X406" s="81"/>
      <c r="Y406" s="81"/>
      <c r="Z406" s="82">
        <f>F27+F107+F193+F249+F313+F361</f>
        <v>443419.94122287974</v>
      </c>
      <c r="AA406" s="81"/>
      <c r="AB406" s="81"/>
      <c r="AC406" s="82">
        <f>I27+I107+I193+I249+I313+I361</f>
        <v>443419.94122287974</v>
      </c>
      <c r="AD406" s="83"/>
      <c r="AE406" s="84"/>
      <c r="AF406" s="84">
        <f>L27+L107+L193+L249+L313+L361</f>
        <v>539448.35999999987</v>
      </c>
      <c r="AG406" s="83"/>
      <c r="AH406" s="84">
        <f>AF406-AC406</f>
        <v>96028.418777120125</v>
      </c>
      <c r="AI406" s="85">
        <f>AH406/AC406</f>
        <v>0.21656314894699918</v>
      </c>
      <c r="AJ406" s="83"/>
      <c r="AK406" s="84"/>
      <c r="AL406" s="84">
        <f>Q27+Q107+Q193+Q249+Q313+Q361</f>
        <v>297419.32000000007</v>
      </c>
      <c r="AM406" s="86"/>
      <c r="AN406" s="84">
        <f>AF406-AL406</f>
        <v>242029.0399999998</v>
      </c>
      <c r="AO406" s="453">
        <f>IF(AL406=0,0,AN406/AL406)</f>
        <v>0.81376367883565781</v>
      </c>
      <c r="AP406" s="101">
        <f>AF406-Print_Mois!AF406</f>
        <v>0</v>
      </c>
      <c r="AQ406" s="84">
        <v>7158700.5199999996</v>
      </c>
      <c r="AR406" s="84">
        <f>AF406-AQ406</f>
        <v>-6619252.1600000001</v>
      </c>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DÉPENSES</v>
      </c>
      <c r="B407" s="165"/>
      <c r="C407" s="23"/>
      <c r="D407" s="23"/>
      <c r="E407" s="23"/>
      <c r="F407" s="23"/>
      <c r="G407" s="23"/>
      <c r="H407" s="23"/>
      <c r="I407" s="23"/>
      <c r="J407" s="57"/>
      <c r="K407" s="1101"/>
      <c r="L407" s="23"/>
      <c r="M407" s="1088"/>
      <c r="N407" s="1088"/>
      <c r="O407" s="1088"/>
      <c r="P407" s="1089"/>
      <c r="Q407" s="1092"/>
      <c r="R407" s="79"/>
      <c r="S407" s="1090"/>
      <c r="T407" s="1090"/>
      <c r="U407" s="1101"/>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101">
        <f>AF407-Print_Mois!AF407</f>
        <v>0</v>
      </c>
      <c r="AQ407" s="457"/>
      <c r="AR407" s="457"/>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Comm. vendeurs</v>
      </c>
      <c r="B408" s="165"/>
      <c r="C408" s="23"/>
      <c r="D408" s="23"/>
      <c r="E408" s="23"/>
      <c r="F408" s="23"/>
      <c r="G408" s="23"/>
      <c r="H408" s="23"/>
      <c r="I408" s="23"/>
      <c r="J408" s="1088"/>
      <c r="K408" s="1101"/>
      <c r="L408" s="23"/>
      <c r="M408" s="1088"/>
      <c r="N408" s="1088"/>
      <c r="O408" s="1088"/>
      <c r="P408" s="1089"/>
      <c r="Q408" s="1092"/>
      <c r="R408" s="79"/>
      <c r="S408" s="1090"/>
      <c r="T408" s="1090"/>
      <c r="U408" s="1101"/>
      <c r="V408" s="305" t="s">
        <v>103</v>
      </c>
      <c r="W408" s="460" t="s">
        <v>207</v>
      </c>
      <c r="X408" s="455"/>
      <c r="Y408" s="461">
        <f t="shared" ref="Y408:Y414" si="200">Z408/(D$13+D$96)</f>
        <v>690.03518112585482</v>
      </c>
      <c r="Z408" s="87">
        <f t="shared" ref="Z408:Z417" si="201">+SUMIF($C:$C,$V408,F:F)</f>
        <v>43144.883544682772</v>
      </c>
      <c r="AA408" s="455"/>
      <c r="AB408" s="461">
        <f t="shared" ref="AB408:AB414" si="202">IF(AC408=0,0,AC408/(G$13+G$96))</f>
        <v>690.03518112585482</v>
      </c>
      <c r="AC408" s="87">
        <f t="shared" ref="AC408:AC417" si="203">+SUMIF($C:$C,$V408,I:I)</f>
        <v>43144.883544682772</v>
      </c>
      <c r="AD408" s="462"/>
      <c r="AE408" s="461">
        <f t="shared" ref="AE408:AE413" si="204">IF(AF408=0,0,AF408/(J$13+J$96))</f>
        <v>1163.4161403508772</v>
      </c>
      <c r="AF408" s="87">
        <f t="shared" ref="AF408:AF417" si="205">+SUMIF($C:$C,$V408,L:L)</f>
        <v>66314.720000000001</v>
      </c>
      <c r="AG408" s="456">
        <f t="shared" ref="AG408:AH413" si="206">AE408-AB408</f>
        <v>473.38095922502237</v>
      </c>
      <c r="AH408" s="457">
        <f t="shared" si="206"/>
        <v>23169.836455317229</v>
      </c>
      <c r="AI408" s="458">
        <f>IF(AC408=0,0,AH408/AC408)</f>
        <v>0.53702396557222154</v>
      </c>
      <c r="AJ408" s="462"/>
      <c r="AK408" s="457">
        <f t="shared" ref="AK408:AK414" si="207">AL408/(O$13+O$96)</f>
        <v>780.37657142857142</v>
      </c>
      <c r="AL408" s="87">
        <f t="shared" ref="AL408:AL417" si="208">+SUMIF($C:$C,$V408,Q:Q)</f>
        <v>27313.18</v>
      </c>
      <c r="AM408" s="459">
        <f t="shared" ref="AM408:AM413" si="209">AE408-Y408</f>
        <v>473.38095922502237</v>
      </c>
      <c r="AN408" s="457">
        <f t="shared" ref="AN408:AN430" si="210">AF408-AL408</f>
        <v>39001.54</v>
      </c>
      <c r="AO408" s="214">
        <f>IF(AL408=0,0,AN408/AL408)</f>
        <v>1.4279384531570474</v>
      </c>
      <c r="AP408" s="101">
        <f>AF408-Print_Mois!AF408</f>
        <v>0</v>
      </c>
      <c r="AQ408" s="87">
        <v>735672.45</v>
      </c>
      <c r="AR408" s="87">
        <f t="shared" ref="AR408:AR465" si="211">AF408-AQ408</f>
        <v>-669357.73</v>
      </c>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c r="H409" s="23"/>
      <c r="I409" s="23"/>
      <c r="J409" s="1088"/>
      <c r="K409" s="1101"/>
      <c r="L409" s="958"/>
      <c r="M409" s="1091"/>
      <c r="N409" s="1091"/>
      <c r="O409" s="1091"/>
      <c r="P409" s="958"/>
      <c r="Q409" s="1092"/>
      <c r="R409" s="79"/>
      <c r="S409" s="1090"/>
      <c r="T409" s="1090"/>
      <c r="U409" s="23"/>
      <c r="V409" s="306" t="s">
        <v>104</v>
      </c>
      <c r="W409" s="463" t="s">
        <v>208</v>
      </c>
      <c r="X409" s="445"/>
      <c r="Y409" s="464">
        <f t="shared" si="200"/>
        <v>400.27163667692997</v>
      </c>
      <c r="Z409" s="446">
        <f t="shared" si="201"/>
        <v>25027.235745413273</v>
      </c>
      <c r="AA409" s="445"/>
      <c r="AB409" s="464">
        <f t="shared" si="202"/>
        <v>400.27163667692997</v>
      </c>
      <c r="AC409" s="446">
        <f t="shared" si="203"/>
        <v>25027.235745413273</v>
      </c>
      <c r="AD409" s="465"/>
      <c r="AE409" s="464">
        <f t="shared" si="204"/>
        <v>524.19385964912283</v>
      </c>
      <c r="AF409" s="446">
        <f t="shared" si="205"/>
        <v>29879.050000000003</v>
      </c>
      <c r="AG409" s="447">
        <f t="shared" si="206"/>
        <v>123.92222297219286</v>
      </c>
      <c r="AH409" s="448">
        <f t="shared" si="206"/>
        <v>4851.8142545867304</v>
      </c>
      <c r="AI409" s="466">
        <f t="shared" ref="AI409:AI413" si="212">IF(AC409=0,0,AH409/AC409)</f>
        <v>0.19386137182472976</v>
      </c>
      <c r="AJ409" s="465"/>
      <c r="AK409" s="448">
        <f t="shared" si="207"/>
        <v>351.04771428571428</v>
      </c>
      <c r="AL409" s="446">
        <f t="shared" si="208"/>
        <v>12286.67</v>
      </c>
      <c r="AM409" s="450">
        <f t="shared" si="209"/>
        <v>123.92222297219286</v>
      </c>
      <c r="AN409" s="448">
        <f t="shared" si="210"/>
        <v>17592.380000000005</v>
      </c>
      <c r="AO409" s="215">
        <f t="shared" ref="AO409:AO413" si="213">IF(AL409=0,0,AN409/AL409)</f>
        <v>1.4318265241924788</v>
      </c>
      <c r="AP409" s="101">
        <f>AF409-Print_Mois!AF409</f>
        <v>0</v>
      </c>
      <c r="AQ409" s="446">
        <v>455378.20999999996</v>
      </c>
      <c r="AR409" s="446">
        <f t="shared" si="211"/>
        <v>-425499.16</v>
      </c>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88"/>
      <c r="K410" s="23"/>
      <c r="L410" s="23"/>
      <c r="M410" s="1091"/>
      <c r="N410" s="1093"/>
      <c r="O410" s="1093"/>
      <c r="P410" s="1089"/>
      <c r="Q410" s="1092"/>
      <c r="R410" s="79"/>
      <c r="S410" s="1090"/>
      <c r="T410" s="1090"/>
      <c r="U410" s="79"/>
      <c r="V410" s="305" t="s">
        <v>105</v>
      </c>
      <c r="W410" s="460" t="s">
        <v>209</v>
      </c>
      <c r="X410" s="455"/>
      <c r="Y410" s="461">
        <f t="shared" si="200"/>
        <v>133.74939886524507</v>
      </c>
      <c r="Z410" s="87">
        <f t="shared" si="201"/>
        <v>8362.7652561092109</v>
      </c>
      <c r="AA410" s="455"/>
      <c r="AB410" s="461">
        <f t="shared" si="202"/>
        <v>133.74939886524507</v>
      </c>
      <c r="AC410" s="87">
        <f t="shared" si="203"/>
        <v>8362.7652561092109</v>
      </c>
      <c r="AD410" s="462"/>
      <c r="AE410" s="461">
        <f t="shared" si="204"/>
        <v>129.35736842105263</v>
      </c>
      <c r="AF410" s="87">
        <f t="shared" si="205"/>
        <v>7373.37</v>
      </c>
      <c r="AG410" s="456">
        <f t="shared" si="206"/>
        <v>-4.3920304441924429</v>
      </c>
      <c r="AH410" s="457">
        <f t="shared" si="206"/>
        <v>-989.395256109211</v>
      </c>
      <c r="AI410" s="458">
        <f t="shared" si="212"/>
        <v>-0.11830958131778634</v>
      </c>
      <c r="AJ410" s="462"/>
      <c r="AK410" s="457">
        <f t="shared" si="207"/>
        <v>152.93514285714286</v>
      </c>
      <c r="AL410" s="87">
        <f t="shared" si="208"/>
        <v>5352.7300000000005</v>
      </c>
      <c r="AM410" s="459">
        <f t="shared" si="209"/>
        <v>-4.3920304441924429</v>
      </c>
      <c r="AN410" s="457">
        <f t="shared" si="210"/>
        <v>2020.6399999999994</v>
      </c>
      <c r="AO410" s="214">
        <f t="shared" si="213"/>
        <v>0.37749709026982481</v>
      </c>
      <c r="AP410" s="101">
        <f>AF410-Print_Mois!AF410</f>
        <v>0</v>
      </c>
      <c r="AQ410" s="87">
        <v>154370.49</v>
      </c>
      <c r="AR410" s="87">
        <f t="shared" si="211"/>
        <v>-146997.12</v>
      </c>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Service gratuit 1</v>
      </c>
      <c r="B411" s="165"/>
      <c r="C411" s="23"/>
      <c r="D411" s="23"/>
      <c r="E411" s="23"/>
      <c r="F411" s="23"/>
      <c r="G411" s="23"/>
      <c r="H411" s="23"/>
      <c r="I411" s="23"/>
      <c r="J411" s="23"/>
      <c r="K411" s="23"/>
      <c r="L411" s="23"/>
      <c r="M411" s="1088"/>
      <c r="N411" s="1088"/>
      <c r="O411" s="1088"/>
      <c r="P411" s="1089"/>
      <c r="Q411" s="1092"/>
      <c r="R411" s="79"/>
      <c r="S411" s="958"/>
      <c r="T411" s="958"/>
      <c r="U411" s="1101"/>
      <c r="V411" s="305" t="s">
        <v>106</v>
      </c>
      <c r="W411" s="460" t="s">
        <v>210</v>
      </c>
      <c r="X411" s="455"/>
      <c r="Y411" s="461">
        <f t="shared" si="200"/>
        <v>19.194952770972929</v>
      </c>
      <c r="Z411" s="87">
        <f t="shared" si="201"/>
        <v>1200.1764904190659</v>
      </c>
      <c r="AA411" s="455"/>
      <c r="AB411" s="461">
        <f t="shared" si="202"/>
        <v>19.194952770972929</v>
      </c>
      <c r="AC411" s="87">
        <f t="shared" si="203"/>
        <v>1200.1764904190659</v>
      </c>
      <c r="AD411" s="462"/>
      <c r="AE411" s="461">
        <f t="shared" si="204"/>
        <v>13.000350877192982</v>
      </c>
      <c r="AF411" s="87">
        <f t="shared" si="205"/>
        <v>741.02</v>
      </c>
      <c r="AG411" s="456">
        <f t="shared" si="206"/>
        <v>-6.1946018937799465</v>
      </c>
      <c r="AH411" s="457">
        <f t="shared" si="206"/>
        <v>-459.1564904190659</v>
      </c>
      <c r="AI411" s="458">
        <f t="shared" si="212"/>
        <v>-0.38257414145709695</v>
      </c>
      <c r="AJ411" s="462"/>
      <c r="AK411" s="457">
        <f t="shared" si="207"/>
        <v>69.995428571428576</v>
      </c>
      <c r="AL411" s="87">
        <f t="shared" si="208"/>
        <v>2449.84</v>
      </c>
      <c r="AM411" s="459">
        <f t="shared" si="209"/>
        <v>-6.1946018937799465</v>
      </c>
      <c r="AN411" s="457">
        <f t="shared" si="210"/>
        <v>-1708.8200000000002</v>
      </c>
      <c r="AO411" s="216">
        <f t="shared" si="213"/>
        <v>-0.69752310354961955</v>
      </c>
      <c r="AP411" s="101">
        <f>AF411-Print_Mois!AF411</f>
        <v>0</v>
      </c>
      <c r="AQ411" s="87">
        <v>30213.78</v>
      </c>
      <c r="AR411" s="87">
        <f t="shared" si="211"/>
        <v>-29472.76</v>
      </c>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Entretien stock</v>
      </c>
      <c r="B412" s="165"/>
      <c r="C412" s="23"/>
      <c r="D412" s="23"/>
      <c r="E412" s="23"/>
      <c r="F412" s="23"/>
      <c r="G412" s="23"/>
      <c r="H412" s="23"/>
      <c r="I412" s="23"/>
      <c r="J412" s="23"/>
      <c r="K412" s="23"/>
      <c r="L412" s="23"/>
      <c r="M412" s="1088"/>
      <c r="N412" s="1088"/>
      <c r="O412" s="1088"/>
      <c r="P412" s="1089"/>
      <c r="Q412" s="1092"/>
      <c r="R412" s="79"/>
      <c r="S412" s="1090"/>
      <c r="T412" s="1090"/>
      <c r="U412" s="1101"/>
      <c r="V412" s="306" t="s">
        <v>107</v>
      </c>
      <c r="W412" s="463"/>
      <c r="X412" s="445"/>
      <c r="Y412" s="464">
        <f t="shared" si="200"/>
        <v>49.675150941015531</v>
      </c>
      <c r="Z412" s="446">
        <f t="shared" si="201"/>
        <v>3105.9700447704454</v>
      </c>
      <c r="AA412" s="445"/>
      <c r="AB412" s="464">
        <f t="shared" si="202"/>
        <v>49.675150941015531</v>
      </c>
      <c r="AC412" s="446">
        <f t="shared" si="203"/>
        <v>3105.9700447704454</v>
      </c>
      <c r="AD412" s="465"/>
      <c r="AE412" s="464">
        <f t="shared" si="204"/>
        <v>81.905263157894737</v>
      </c>
      <c r="AF412" s="446">
        <f t="shared" si="205"/>
        <v>4668.6000000000004</v>
      </c>
      <c r="AG412" s="447">
        <f t="shared" si="206"/>
        <v>32.230112216879206</v>
      </c>
      <c r="AH412" s="448">
        <f t="shared" si="206"/>
        <v>1562.629955229555</v>
      </c>
      <c r="AI412" s="466">
        <f t="shared" si="212"/>
        <v>0.50310528843012237</v>
      </c>
      <c r="AJ412" s="465"/>
      <c r="AK412" s="448">
        <f t="shared" si="207"/>
        <v>59.569999999999993</v>
      </c>
      <c r="AL412" s="446">
        <f t="shared" si="208"/>
        <v>2084.9499999999998</v>
      </c>
      <c r="AM412" s="450">
        <f t="shared" si="209"/>
        <v>32.230112216879206</v>
      </c>
      <c r="AN412" s="448">
        <f t="shared" si="210"/>
        <v>2583.6500000000005</v>
      </c>
      <c r="AO412" s="215">
        <f t="shared" si="213"/>
        <v>1.2391903882587116</v>
      </c>
      <c r="AP412" s="101">
        <f>AF412-Print_Mois!AF412</f>
        <v>0</v>
      </c>
      <c r="AQ412" s="446">
        <v>55253.950000000004</v>
      </c>
      <c r="AR412" s="446">
        <f t="shared" si="211"/>
        <v>-50585.350000000006</v>
      </c>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Publicité 1</v>
      </c>
      <c r="B413" s="165"/>
      <c r="C413" s="23"/>
      <c r="D413" s="23"/>
      <c r="E413" s="23"/>
      <c r="F413" s="23"/>
      <c r="G413" s="23"/>
      <c r="H413" s="23"/>
      <c r="I413" s="23"/>
      <c r="J413" s="23"/>
      <c r="K413" s="23"/>
      <c r="L413" s="23"/>
      <c r="M413" s="1088"/>
      <c r="N413" s="1088"/>
      <c r="O413" s="1088"/>
      <c r="P413" s="1089"/>
      <c r="Q413" s="1092"/>
      <c r="R413" s="79"/>
      <c r="S413" s="1090"/>
      <c r="T413" s="1090"/>
      <c r="U413" s="1101"/>
      <c r="V413" s="305" t="s">
        <v>108</v>
      </c>
      <c r="W413" s="460" t="s">
        <v>211</v>
      </c>
      <c r="X413" s="458"/>
      <c r="Y413" s="461">
        <f t="shared" si="200"/>
        <v>139.16965975444671</v>
      </c>
      <c r="Z413" s="87">
        <f t="shared" si="201"/>
        <v>8701.6704760790744</v>
      </c>
      <c r="AA413" s="458"/>
      <c r="AB413" s="461">
        <f t="shared" si="202"/>
        <v>139.16965975444671</v>
      </c>
      <c r="AC413" s="87">
        <f t="shared" si="203"/>
        <v>8701.6704760790744</v>
      </c>
      <c r="AD413" s="462"/>
      <c r="AE413" s="461">
        <f t="shared" si="204"/>
        <v>188.26964912280704</v>
      </c>
      <c r="AF413" s="87">
        <f t="shared" si="205"/>
        <v>10731.37</v>
      </c>
      <c r="AG413" s="456">
        <f t="shared" si="206"/>
        <v>49.099989368360326</v>
      </c>
      <c r="AH413" s="457">
        <f t="shared" si="206"/>
        <v>2029.6995239209264</v>
      </c>
      <c r="AI413" s="458">
        <f t="shared" si="212"/>
        <v>0.23325400904350241</v>
      </c>
      <c r="AJ413" s="462"/>
      <c r="AK413" s="457">
        <f t="shared" si="207"/>
        <v>291.41771428571428</v>
      </c>
      <c r="AL413" s="87">
        <f t="shared" si="208"/>
        <v>10199.620000000001</v>
      </c>
      <c r="AM413" s="459">
        <f t="shared" si="209"/>
        <v>49.099989368360326</v>
      </c>
      <c r="AN413" s="457">
        <f t="shared" si="210"/>
        <v>531.75</v>
      </c>
      <c r="AO413" s="214">
        <f t="shared" si="213"/>
        <v>5.2134295199232905E-2</v>
      </c>
      <c r="AP413" s="101">
        <f>AF413-Print_Mois!AF413</f>
        <v>0</v>
      </c>
      <c r="AQ413" s="87">
        <v>153234.21000000002</v>
      </c>
      <c r="AR413" s="87">
        <f t="shared" si="211"/>
        <v>-142502.84000000003</v>
      </c>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c r="H414" s="23"/>
      <c r="I414" s="23"/>
      <c r="J414" s="23"/>
      <c r="K414" s="23"/>
      <c r="L414" s="23"/>
      <c r="M414" s="1088"/>
      <c r="N414" s="1088"/>
      <c r="O414" s="1088"/>
      <c r="P414" s="958"/>
      <c r="Q414" s="1092"/>
      <c r="R414" s="79"/>
      <c r="S414" s="1090"/>
      <c r="T414" s="1090"/>
      <c r="U414" s="23"/>
      <c r="V414" s="305" t="s">
        <v>109</v>
      </c>
      <c r="W414" s="460" t="s">
        <v>212</v>
      </c>
      <c r="X414" s="455"/>
      <c r="Y414" s="461">
        <f t="shared" si="200"/>
        <v>100.98923703843231</v>
      </c>
      <c r="Z414" s="87">
        <f t="shared" si="201"/>
        <v>6314.4155406401314</v>
      </c>
      <c r="AA414" s="455"/>
      <c r="AB414" s="461">
        <f t="shared" si="202"/>
        <v>100.98923703843231</v>
      </c>
      <c r="AC414" s="87">
        <f t="shared" si="203"/>
        <v>6314.4155406401314</v>
      </c>
      <c r="AD414" s="462"/>
      <c r="AE414" s="461">
        <f>IF(AF414=0,0,AF414/(J$13+J$13))</f>
        <v>42.169102564102566</v>
      </c>
      <c r="AF414" s="87">
        <f t="shared" si="205"/>
        <v>3289.19</v>
      </c>
      <c r="AG414" s="456">
        <f t="shared" ref="AG414" si="214">AE414-AB414</f>
        <v>-58.820134474329741</v>
      </c>
      <c r="AH414" s="457">
        <f t="shared" ref="AH414" si="215">AF414-AC414</f>
        <v>-3025.2255406401314</v>
      </c>
      <c r="AI414" s="458">
        <f t="shared" ref="AI414" si="216">IF(AC414=0,0,AH414/AC414)</f>
        <v>-0.47909826668351407</v>
      </c>
      <c r="AJ414" s="462"/>
      <c r="AK414" s="457">
        <f t="shared" si="207"/>
        <v>344.702</v>
      </c>
      <c r="AL414" s="87">
        <f t="shared" si="208"/>
        <v>12064.57</v>
      </c>
      <c r="AM414" s="459">
        <f t="shared" ref="AM414" si="217">AE414-Y414</f>
        <v>-58.820134474329741</v>
      </c>
      <c r="AN414" s="457">
        <f t="shared" ref="AN414" si="218">AF414-AL414</f>
        <v>-8775.3799999999992</v>
      </c>
      <c r="AO414" s="214">
        <f t="shared" ref="AO414" si="219">IF(AL414=0,0,AN414/AL414)</f>
        <v>-0.72736782164635783</v>
      </c>
      <c r="AP414" s="101">
        <f>AF414-Print_Mois!AF414</f>
        <v>0</v>
      </c>
      <c r="AQ414" s="87">
        <v>154563.74</v>
      </c>
      <c r="AR414" s="87">
        <f t="shared" si="211"/>
        <v>-151274.54999999999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c r="M415" s="23"/>
      <c r="N415" s="23"/>
      <c r="O415" s="1093"/>
      <c r="P415" s="1089"/>
      <c r="Q415" s="1092"/>
      <c r="R415" s="79"/>
      <c r="S415" s="1090"/>
      <c r="T415" s="1090"/>
      <c r="U415" s="79"/>
      <c r="V415" s="305" t="s">
        <v>42</v>
      </c>
      <c r="W415" s="460"/>
      <c r="X415" s="458"/>
      <c r="Y415" s="461">
        <f t="shared" ref="Y415:Y417" si="220">Z415/(D$13+D$96)</f>
        <v>0</v>
      </c>
      <c r="Z415" s="87">
        <f t="shared" si="201"/>
        <v>0</v>
      </c>
      <c r="AA415" s="455"/>
      <c r="AB415" s="461">
        <f t="shared" ref="AB415:AB417" si="221">IF(AC415=0,0,AC415/(G$13+G$96))</f>
        <v>0</v>
      </c>
      <c r="AC415" s="87">
        <f t="shared" si="203"/>
        <v>0</v>
      </c>
      <c r="AD415" s="462"/>
      <c r="AE415" s="461">
        <f t="shared" ref="AE415:AE417" si="222">IF(AF415=0,0,AF415/(J$13+J$13))</f>
        <v>0</v>
      </c>
      <c r="AF415" s="87">
        <f t="shared" si="205"/>
        <v>0</v>
      </c>
      <c r="AG415" s="456">
        <f t="shared" ref="AG415:AG417" si="223">AE415-AB415</f>
        <v>0</v>
      </c>
      <c r="AH415" s="457">
        <f t="shared" ref="AH415:AH417" si="224">AF415-AC415</f>
        <v>0</v>
      </c>
      <c r="AI415" s="458">
        <f t="shared" ref="AI415:AI417" si="225">IF(AC415=0,0,AH415/AC415)</f>
        <v>0</v>
      </c>
      <c r="AJ415" s="462"/>
      <c r="AK415" s="457">
        <f t="shared" ref="AK415:AK417" si="226">AL415/(O$13+O$96)</f>
        <v>0</v>
      </c>
      <c r="AL415" s="87">
        <f t="shared" si="208"/>
        <v>0</v>
      </c>
      <c r="AM415" s="459">
        <f t="shared" ref="AM415:AM417" si="227">AE415-Y415</f>
        <v>0</v>
      </c>
      <c r="AN415" s="457">
        <f t="shared" ref="AN415:AN417" si="228">AF415-AL415</f>
        <v>0</v>
      </c>
      <c r="AO415" s="214">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093"/>
      <c r="P416" s="1089"/>
      <c r="Q416" s="1092"/>
      <c r="R416" s="79"/>
      <c r="S416" s="1090"/>
      <c r="T416" s="1090"/>
      <c r="U416" s="79"/>
      <c r="V416" s="305" t="s">
        <v>42</v>
      </c>
      <c r="W416" s="460"/>
      <c r="X416" s="458"/>
      <c r="Y416" s="461">
        <f t="shared" si="220"/>
        <v>0</v>
      </c>
      <c r="Z416" s="87">
        <f t="shared" si="201"/>
        <v>0</v>
      </c>
      <c r="AA416" s="455"/>
      <c r="AB416" s="461">
        <f t="shared" si="221"/>
        <v>0</v>
      </c>
      <c r="AC416" s="87">
        <f t="shared" si="203"/>
        <v>0</v>
      </c>
      <c r="AD416" s="462"/>
      <c r="AE416" s="461">
        <f t="shared" si="222"/>
        <v>0</v>
      </c>
      <c r="AF416" s="87">
        <f t="shared" si="205"/>
        <v>0</v>
      </c>
      <c r="AG416" s="456">
        <f t="shared" si="223"/>
        <v>0</v>
      </c>
      <c r="AH416" s="457">
        <f t="shared" si="224"/>
        <v>0</v>
      </c>
      <c r="AI416" s="458">
        <f t="shared" si="225"/>
        <v>0</v>
      </c>
      <c r="AJ416" s="462"/>
      <c r="AK416" s="457">
        <f t="shared" si="226"/>
        <v>0</v>
      </c>
      <c r="AL416" s="87">
        <f t="shared" si="208"/>
        <v>0</v>
      </c>
      <c r="AM416" s="459">
        <f t="shared" si="227"/>
        <v>0</v>
      </c>
      <c r="AN416" s="457">
        <f t="shared" si="228"/>
        <v>0</v>
      </c>
      <c r="AO416" s="214">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093"/>
      <c r="P417" s="1089"/>
      <c r="Q417" s="1092"/>
      <c r="R417" s="79"/>
      <c r="S417" s="1090"/>
      <c r="T417" s="1090"/>
      <c r="U417" s="79"/>
      <c r="V417" s="305" t="s">
        <v>42</v>
      </c>
      <c r="W417" s="460" t="s">
        <v>212</v>
      </c>
      <c r="X417" s="455"/>
      <c r="Y417" s="461">
        <f t="shared" si="220"/>
        <v>0</v>
      </c>
      <c r="Z417" s="87">
        <f t="shared" si="201"/>
        <v>0</v>
      </c>
      <c r="AA417" s="455"/>
      <c r="AB417" s="461">
        <f t="shared" si="221"/>
        <v>0</v>
      </c>
      <c r="AC417" s="87">
        <f t="shared" si="203"/>
        <v>0</v>
      </c>
      <c r="AD417" s="462"/>
      <c r="AE417" s="461">
        <f t="shared" si="222"/>
        <v>0</v>
      </c>
      <c r="AF417" s="87">
        <f t="shared" si="205"/>
        <v>0</v>
      </c>
      <c r="AG417" s="456">
        <f t="shared" si="223"/>
        <v>0</v>
      </c>
      <c r="AH417" s="457">
        <f t="shared" si="224"/>
        <v>0</v>
      </c>
      <c r="AI417" s="458">
        <f t="shared" si="225"/>
        <v>0</v>
      </c>
      <c r="AJ417" s="462"/>
      <c r="AK417" s="457">
        <f t="shared" si="226"/>
        <v>0</v>
      </c>
      <c r="AL417" s="87">
        <f t="shared" si="208"/>
        <v>0</v>
      </c>
      <c r="AM417" s="459">
        <f t="shared" si="227"/>
        <v>0</v>
      </c>
      <c r="AN417" s="457">
        <f t="shared" si="228"/>
        <v>0</v>
      </c>
      <c r="AO417" s="214">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c r="H418" s="23"/>
      <c r="I418" s="23"/>
      <c r="J418" s="23"/>
      <c r="K418" s="23"/>
      <c r="L418" s="23"/>
      <c r="M418" s="1088"/>
      <c r="N418" s="1093"/>
      <c r="O418" s="1093"/>
      <c r="P418" s="1089"/>
      <c r="Q418" s="1092"/>
      <c r="R418" s="79"/>
      <c r="S418" s="1090"/>
      <c r="T418" s="1090"/>
      <c r="U418" s="79"/>
      <c r="V418" s="467" t="s">
        <v>110</v>
      </c>
      <c r="W418" s="88"/>
      <c r="X418" s="89">
        <f>Z418/Z406</f>
        <v>0.21617682965217055</v>
      </c>
      <c r="Y418" s="88"/>
      <c r="Z418" s="90">
        <f>SUM(Z408:Z417)</f>
        <v>95857.117098113958</v>
      </c>
      <c r="AA418" s="89">
        <f>AC418/AC406</f>
        <v>0.21617682965217055</v>
      </c>
      <c r="AB418" s="88"/>
      <c r="AC418" s="90">
        <f>SUM(AC408:AC417)</f>
        <v>95857.117098113958</v>
      </c>
      <c r="AD418" s="91">
        <f>AF418/AF406</f>
        <v>0.22800573534045046</v>
      </c>
      <c r="AE418" s="88"/>
      <c r="AF418" s="90">
        <f>SUM(AF408:AF417)</f>
        <v>122997.32</v>
      </c>
      <c r="AG418" s="92"/>
      <c r="AH418" s="93">
        <f>AF418-AC418</f>
        <v>27140.202901886048</v>
      </c>
      <c r="AI418" s="89">
        <f>AH418/AC418</f>
        <v>0.28313185002326807</v>
      </c>
      <c r="AJ418" s="91">
        <f>IF($AL$406=0,0,AL418/$AL$406)</f>
        <v>0.24124713888795113</v>
      </c>
      <c r="AK418" s="88"/>
      <c r="AL418" s="90">
        <f>SUM(AL408:AL417)</f>
        <v>71751.56</v>
      </c>
      <c r="AM418" s="94"/>
      <c r="AN418" s="93">
        <f t="shared" si="210"/>
        <v>51245.760000000009</v>
      </c>
      <c r="AO418" s="453">
        <f>IF(AL418=0,0,AN418/AL418)</f>
        <v>0.71421109171703046</v>
      </c>
      <c r="AP418" s="101">
        <f>AF418-Print_Mois!AF418</f>
        <v>0</v>
      </c>
      <c r="AQ418" s="90">
        <v>1738686.8299999998</v>
      </c>
      <c r="AR418" s="90">
        <f t="shared" si="211"/>
        <v>-1615689.5099999998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Salaires propriétaire</v>
      </c>
      <c r="B419" s="165"/>
      <c r="C419" s="23"/>
      <c r="D419" s="23"/>
      <c r="E419" s="23"/>
      <c r="F419" s="23"/>
      <c r="G419" s="23"/>
      <c r="H419" s="23"/>
      <c r="I419" s="23"/>
      <c r="J419" s="23"/>
      <c r="K419" s="23"/>
      <c r="L419" s="23"/>
      <c r="M419" s="95"/>
      <c r="N419" s="95"/>
      <c r="O419" s="95"/>
      <c r="P419" s="1089"/>
      <c r="Q419" s="1092"/>
      <c r="R419" s="79"/>
      <c r="S419" s="958"/>
      <c r="T419" s="958"/>
      <c r="U419" s="1101"/>
      <c r="V419" s="305" t="s">
        <v>213</v>
      </c>
      <c r="W419" s="460" t="s">
        <v>214</v>
      </c>
      <c r="X419" s="455"/>
      <c r="Y419" s="455"/>
      <c r="Z419" s="87">
        <f>+SUMPRODUCT(('Budget original'!$A$8:$A$500=$A419)*('Budget original'!$C$3:$AO$3=Z$2),'Budget original'!$C$8:$AO$500)</f>
        <v>15043.715813333336</v>
      </c>
      <c r="AA419" s="455"/>
      <c r="AB419" s="455"/>
      <c r="AC419" s="87">
        <f>+SUMPRODUCT(('Budget révisé'!$A$8:$A$500=$A419)*('Budget révisé'!$C$3:$AO$3=AC$2),'Budget révisé'!$C$8:$AO$500)</f>
        <v>15043.715813333336</v>
      </c>
      <c r="AD419" s="462"/>
      <c r="AE419" s="461"/>
      <c r="AF419" s="87">
        <f>SUMIFS(BV_Data_An_Cour!$P:$P,BV_Data_An_Cour!$V:$V,$V419)</f>
        <v>15043.720000000001</v>
      </c>
      <c r="AG419" s="456"/>
      <c r="AH419" s="457">
        <f t="shared" ref="AH419:AH430" si="230">AF419-AC419</f>
        <v>4.1866666651912965E-3</v>
      </c>
      <c r="AI419" s="458">
        <f>IF(AC419=0,0,AH419/AC419)</f>
        <v>2.783000368486507E-7</v>
      </c>
      <c r="AJ419" s="462"/>
      <c r="AK419" s="455"/>
      <c r="AL419" s="87">
        <f>SUMIFS(BV_Data_An_Prec!$P:$P,BV_Data_An_Prec!$V:$V,$V419)</f>
        <v>2916.67</v>
      </c>
      <c r="AM419" s="459"/>
      <c r="AN419" s="457">
        <f t="shared" si="210"/>
        <v>12127.050000000001</v>
      </c>
      <c r="AO419" s="214">
        <f t="shared" ref="AO419:AO430" si="231">IF(AL419=0,0,AN419/AL419)</f>
        <v>4.1578409624674721</v>
      </c>
      <c r="AP419" s="101">
        <f>AF419-Print_Mois!AF419</f>
        <v>0</v>
      </c>
      <c r="AQ419" s="87">
        <v>67828.150000000009</v>
      </c>
      <c r="AR419" s="87">
        <f t="shared" si="211"/>
        <v>-52784.430000000008</v>
      </c>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Salaires cadres</v>
      </c>
      <c r="B420" s="165"/>
      <c r="C420" s="23"/>
      <c r="D420" s="23"/>
      <c r="E420" s="23"/>
      <c r="F420" s="23"/>
      <c r="G420" s="23"/>
      <c r="H420" s="23"/>
      <c r="I420" s="23"/>
      <c r="J420" s="23"/>
      <c r="K420" s="23"/>
      <c r="L420" s="23"/>
      <c r="M420" s="95"/>
      <c r="N420" s="95"/>
      <c r="O420" s="95"/>
      <c r="P420" s="1089"/>
      <c r="Q420" s="1092"/>
      <c r="R420" s="79"/>
      <c r="S420" s="1090"/>
      <c r="T420" s="1090"/>
      <c r="U420" s="1101"/>
      <c r="V420" s="305" t="s">
        <v>112</v>
      </c>
      <c r="W420" s="460" t="s">
        <v>215</v>
      </c>
      <c r="X420" s="455"/>
      <c r="Y420" s="455"/>
      <c r="Z420" s="87">
        <f t="shared" ref="Z420:Z431" si="232">+SUMIF($C:$C,$V420,F:F)</f>
        <v>37259.747126436778</v>
      </c>
      <c r="AA420" s="455"/>
      <c r="AB420" s="455"/>
      <c r="AC420" s="87">
        <f t="shared" ref="AC420:AC431" si="233">+SUMIF($C:$C,$V420,I:I)</f>
        <v>37259.747126436778</v>
      </c>
      <c r="AD420" s="462"/>
      <c r="AE420" s="461"/>
      <c r="AF420" s="87">
        <f t="shared" ref="AF420:AF431" si="234">+SUMIF($C:$C,$V420,L:L)</f>
        <v>36945.19</v>
      </c>
      <c r="AG420" s="456"/>
      <c r="AH420" s="457">
        <f t="shared" si="230"/>
        <v>-314.55712643677543</v>
      </c>
      <c r="AI420" s="458">
        <f t="shared" ref="AI420:AI430" si="235">IF(AC420=0,0,AH420/AC420)</f>
        <v>-8.4422775433596227E-3</v>
      </c>
      <c r="AJ420" s="462"/>
      <c r="AK420" s="455"/>
      <c r="AL420" s="87">
        <f t="shared" ref="AL420:AL431" si="236">+SUMIF($C:$C,$V420,Q:Q)</f>
        <v>34687.1</v>
      </c>
      <c r="AM420" s="459"/>
      <c r="AN420" s="457">
        <f t="shared" si="210"/>
        <v>2258.0900000000038</v>
      </c>
      <c r="AO420" s="214">
        <f t="shared" si="231"/>
        <v>6.5098840779425321E-2</v>
      </c>
      <c r="AP420" s="101">
        <f>AF420-Print_Mois!AF420</f>
        <v>0</v>
      </c>
      <c r="AQ420" s="87">
        <v>549294.62</v>
      </c>
      <c r="AR420" s="87">
        <f t="shared" si="211"/>
        <v>-512349.43</v>
      </c>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Salaires commis</v>
      </c>
      <c r="B421" s="165"/>
      <c r="C421" s="79"/>
      <c r="D421" s="79"/>
      <c r="E421" s="79"/>
      <c r="F421" s="79"/>
      <c r="G421" s="79"/>
      <c r="H421" s="79"/>
      <c r="I421" s="79"/>
      <c r="J421" s="79"/>
      <c r="K421" s="79"/>
      <c r="L421" s="23"/>
      <c r="M421" s="95"/>
      <c r="N421" s="95"/>
      <c r="O421" s="95"/>
      <c r="P421" s="1094"/>
      <c r="Q421" s="1092"/>
      <c r="R421" s="79"/>
      <c r="S421" s="1090"/>
      <c r="T421" s="1090"/>
      <c r="U421" s="1101"/>
      <c r="V421" s="306" t="s">
        <v>113</v>
      </c>
      <c r="W421" s="463" t="s">
        <v>216</v>
      </c>
      <c r="X421" s="445"/>
      <c r="Y421" s="445"/>
      <c r="Z421" s="446">
        <f t="shared" si="232"/>
        <v>25568.902342298854</v>
      </c>
      <c r="AA421" s="445"/>
      <c r="AB421" s="445"/>
      <c r="AC421" s="446">
        <f t="shared" si="233"/>
        <v>25568.902342298854</v>
      </c>
      <c r="AD421" s="465"/>
      <c r="AE421" s="464"/>
      <c r="AF421" s="446">
        <f t="shared" si="234"/>
        <v>21619.4</v>
      </c>
      <c r="AG421" s="447"/>
      <c r="AH421" s="448">
        <f t="shared" si="230"/>
        <v>-3949.5023422988525</v>
      </c>
      <c r="AI421" s="466">
        <f t="shared" si="235"/>
        <v>-0.15446507204046678</v>
      </c>
      <c r="AJ421" s="465"/>
      <c r="AK421" s="445"/>
      <c r="AL421" s="446">
        <f t="shared" si="236"/>
        <v>21015.16</v>
      </c>
      <c r="AM421" s="450"/>
      <c r="AN421" s="448">
        <f t="shared" si="210"/>
        <v>604.2400000000016</v>
      </c>
      <c r="AO421" s="451">
        <f t="shared" si="231"/>
        <v>2.8752576711288499E-2</v>
      </c>
      <c r="AP421" s="101">
        <f>AF421-Print_Mois!AF421</f>
        <v>0</v>
      </c>
      <c r="AQ421" s="446">
        <v>289205.88</v>
      </c>
      <c r="AR421" s="446">
        <f t="shared" si="211"/>
        <v>-267586.48</v>
      </c>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c r="N422" s="96"/>
      <c r="O422" s="96"/>
      <c r="P422" s="958"/>
      <c r="Q422" s="1092"/>
      <c r="R422" s="79"/>
      <c r="S422" s="1090"/>
      <c r="T422" s="1090"/>
      <c r="U422" s="23"/>
      <c r="V422" s="280" t="s">
        <v>114</v>
      </c>
      <c r="W422" s="460" t="s">
        <v>217</v>
      </c>
      <c r="X422" s="455"/>
      <c r="Y422" s="455"/>
      <c r="Z422" s="87">
        <f t="shared" si="232"/>
        <v>54420.077005977015</v>
      </c>
      <c r="AA422" s="455"/>
      <c r="AB422" s="455"/>
      <c r="AC422" s="87">
        <f t="shared" si="233"/>
        <v>54420.077005977015</v>
      </c>
      <c r="AD422" s="462"/>
      <c r="AE422" s="461"/>
      <c r="AF422" s="87">
        <f t="shared" si="234"/>
        <v>43265.14</v>
      </c>
      <c r="AG422" s="456"/>
      <c r="AH422" s="457">
        <f t="shared" si="230"/>
        <v>-11154.937005977015</v>
      </c>
      <c r="AI422" s="458">
        <f t="shared" si="235"/>
        <v>-0.20497833923961292</v>
      </c>
      <c r="AJ422" s="462"/>
      <c r="AK422" s="455"/>
      <c r="AL422" s="87">
        <f t="shared" si="236"/>
        <v>50200.78</v>
      </c>
      <c r="AM422" s="459"/>
      <c r="AN422" s="457">
        <f t="shared" si="210"/>
        <v>-6935.6399999999994</v>
      </c>
      <c r="AO422" s="214">
        <f t="shared" si="231"/>
        <v>-0.13815801268426506</v>
      </c>
      <c r="AP422" s="101">
        <f>AF422-Print_Mois!AF422</f>
        <v>0</v>
      </c>
      <c r="AQ422" s="87">
        <v>622600.68999999994</v>
      </c>
      <c r="AR422" s="87">
        <f t="shared" si="211"/>
        <v>-579335.54999999993</v>
      </c>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c r="N423" s="1093"/>
      <c r="O423" s="1095"/>
      <c r="P423" s="1089"/>
      <c r="Q423" s="1092"/>
      <c r="R423" s="79"/>
      <c r="S423" s="1090"/>
      <c r="T423" s="1090"/>
      <c r="U423" s="79"/>
      <c r="V423" s="280" t="s">
        <v>115</v>
      </c>
      <c r="W423" s="460" t="s">
        <v>218</v>
      </c>
      <c r="X423" s="455"/>
      <c r="Y423" s="455"/>
      <c r="Z423" s="87">
        <f t="shared" si="232"/>
        <v>28269.988941915435</v>
      </c>
      <c r="AA423" s="455"/>
      <c r="AB423" s="455"/>
      <c r="AC423" s="87">
        <f t="shared" si="233"/>
        <v>28269.988941915435</v>
      </c>
      <c r="AD423" s="462"/>
      <c r="AE423" s="461"/>
      <c r="AF423" s="87">
        <f t="shared" si="234"/>
        <v>19158.14</v>
      </c>
      <c r="AG423" s="456"/>
      <c r="AH423" s="457">
        <f t="shared" si="230"/>
        <v>-9111.8489419154357</v>
      </c>
      <c r="AI423" s="458">
        <f t="shared" si="235"/>
        <v>-0.32231526374619307</v>
      </c>
      <c r="AJ423" s="462"/>
      <c r="AK423" s="455"/>
      <c r="AL423" s="87">
        <f t="shared" si="236"/>
        <v>24615.4</v>
      </c>
      <c r="AM423" s="459"/>
      <c r="AN423" s="457">
        <f t="shared" si="210"/>
        <v>-5457.260000000002</v>
      </c>
      <c r="AO423" s="214">
        <f t="shared" si="231"/>
        <v>-0.22170104893684447</v>
      </c>
      <c r="AP423" s="101">
        <f>AF423-Print_Mois!AF423</f>
        <v>0</v>
      </c>
      <c r="AQ423" s="87">
        <v>313152.77</v>
      </c>
      <c r="AR423" s="87">
        <f t="shared" si="211"/>
        <v>-293994.63</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095"/>
      <c r="P424" s="1094"/>
      <c r="Q424" s="1099"/>
      <c r="R424" s="79"/>
      <c r="S424" s="1090"/>
      <c r="T424" s="1090"/>
      <c r="U424" s="79"/>
      <c r="V424" s="280" t="s">
        <v>42</v>
      </c>
      <c r="W424" s="460"/>
      <c r="X424" s="455"/>
      <c r="Y424" s="455"/>
      <c r="Z424" s="87">
        <f t="shared" si="232"/>
        <v>0</v>
      </c>
      <c r="AA424" s="455"/>
      <c r="AB424" s="455"/>
      <c r="AC424" s="87">
        <f t="shared" si="233"/>
        <v>0</v>
      </c>
      <c r="AD424" s="462"/>
      <c r="AE424" s="461"/>
      <c r="AF424" s="87">
        <f t="shared" si="234"/>
        <v>0</v>
      </c>
      <c r="AG424" s="456"/>
      <c r="AH424" s="457">
        <f t="shared" ref="AH424:AH426" si="237">AF424-AC424</f>
        <v>0</v>
      </c>
      <c r="AI424" s="458">
        <f t="shared" ref="AI424:AI426" si="238">IF(AC424=0,0,AH424/AC424)</f>
        <v>0</v>
      </c>
      <c r="AJ424" s="462"/>
      <c r="AK424" s="455"/>
      <c r="AL424" s="87">
        <f t="shared" si="236"/>
        <v>0</v>
      </c>
      <c r="AM424" s="459"/>
      <c r="AN424" s="457">
        <f t="shared" ref="AN424:AN426" si="239">AF424-AL424</f>
        <v>0</v>
      </c>
      <c r="AO424" s="214">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095"/>
      <c r="P425" s="1094"/>
      <c r="Q425" s="1099"/>
      <c r="R425" s="79"/>
      <c r="S425" s="1090"/>
      <c r="T425" s="1090"/>
      <c r="U425" s="79"/>
      <c r="V425" s="280" t="s">
        <v>42</v>
      </c>
      <c r="W425" s="460"/>
      <c r="X425" s="455"/>
      <c r="Y425" s="455"/>
      <c r="Z425" s="87">
        <f t="shared" si="232"/>
        <v>0</v>
      </c>
      <c r="AA425" s="455"/>
      <c r="AB425" s="455"/>
      <c r="AC425" s="87">
        <f t="shared" si="233"/>
        <v>0</v>
      </c>
      <c r="AD425" s="462"/>
      <c r="AE425" s="461"/>
      <c r="AF425" s="87">
        <f t="shared" si="234"/>
        <v>0</v>
      </c>
      <c r="AG425" s="456"/>
      <c r="AH425" s="457">
        <f t="shared" si="237"/>
        <v>0</v>
      </c>
      <c r="AI425" s="458">
        <f t="shared" si="238"/>
        <v>0</v>
      </c>
      <c r="AJ425" s="462"/>
      <c r="AK425" s="455"/>
      <c r="AL425" s="87">
        <f t="shared" si="236"/>
        <v>0</v>
      </c>
      <c r="AM425" s="459"/>
      <c r="AN425" s="457">
        <f t="shared" si="239"/>
        <v>0</v>
      </c>
      <c r="AO425" s="214">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095"/>
      <c r="P426" s="1094"/>
      <c r="Q426" s="1099"/>
      <c r="R426" s="79"/>
      <c r="S426" s="1090"/>
      <c r="T426" s="1090"/>
      <c r="U426" s="79"/>
      <c r="V426" s="280" t="s">
        <v>42</v>
      </c>
      <c r="W426" s="460"/>
      <c r="X426" s="455"/>
      <c r="Y426" s="455"/>
      <c r="Z426" s="87">
        <f t="shared" si="232"/>
        <v>0</v>
      </c>
      <c r="AA426" s="455"/>
      <c r="AB426" s="455"/>
      <c r="AC426" s="87">
        <f t="shared" si="233"/>
        <v>0</v>
      </c>
      <c r="AD426" s="462"/>
      <c r="AE426" s="461"/>
      <c r="AF426" s="87">
        <f t="shared" si="234"/>
        <v>0</v>
      </c>
      <c r="AG426" s="456"/>
      <c r="AH426" s="457">
        <f t="shared" si="237"/>
        <v>0</v>
      </c>
      <c r="AI426" s="458">
        <f t="shared" si="238"/>
        <v>0</v>
      </c>
      <c r="AJ426" s="462"/>
      <c r="AK426" s="455"/>
      <c r="AL426" s="87">
        <f t="shared" si="236"/>
        <v>0</v>
      </c>
      <c r="AM426" s="459"/>
      <c r="AN426" s="457">
        <f t="shared" si="239"/>
        <v>0</v>
      </c>
      <c r="AO426" s="214">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c r="M427" s="96"/>
      <c r="N427" s="57"/>
      <c r="O427" s="1095"/>
      <c r="P427" s="1094"/>
      <c r="Q427" s="1099"/>
      <c r="R427" s="79"/>
      <c r="S427" s="1090"/>
      <c r="T427" s="1090"/>
      <c r="U427" s="79"/>
      <c r="V427" s="282" t="s">
        <v>116</v>
      </c>
      <c r="W427" s="463" t="s">
        <v>219</v>
      </c>
      <c r="X427" s="445"/>
      <c r="Y427" s="445"/>
      <c r="Z427" s="446">
        <f t="shared" si="232"/>
        <v>34587.24660872305</v>
      </c>
      <c r="AA427" s="445"/>
      <c r="AB427" s="445"/>
      <c r="AC427" s="446">
        <f t="shared" si="233"/>
        <v>34587.24660872305</v>
      </c>
      <c r="AD427" s="465"/>
      <c r="AE427" s="464"/>
      <c r="AF427" s="446">
        <f t="shared" si="234"/>
        <v>34586.53</v>
      </c>
      <c r="AG427" s="447"/>
      <c r="AH427" s="448">
        <f t="shared" si="230"/>
        <v>-0.71660872305074008</v>
      </c>
      <c r="AI427" s="466">
        <f t="shared" si="235"/>
        <v>-2.0718871645307792E-5</v>
      </c>
      <c r="AJ427" s="465"/>
      <c r="AK427" s="445"/>
      <c r="AL427" s="446">
        <f t="shared" si="236"/>
        <v>22034.920000000002</v>
      </c>
      <c r="AM427" s="450"/>
      <c r="AN427" s="448">
        <f t="shared" si="210"/>
        <v>12551.609999999997</v>
      </c>
      <c r="AO427" s="215">
        <f t="shared" si="231"/>
        <v>0.5696235793004919</v>
      </c>
      <c r="AP427" s="101">
        <f>AF427-Print_Mois!AF427</f>
        <v>0</v>
      </c>
      <c r="AQ427" s="446">
        <v>448116.67</v>
      </c>
      <c r="AR427" s="446">
        <f t="shared" si="211"/>
        <v>-413530.14</v>
      </c>
      <c r="AS427" s="79"/>
      <c r="AT427" s="79" t="s">
        <v>3112</v>
      </c>
      <c r="AU427" s="79"/>
      <c r="AV427" s="79"/>
      <c r="AW427" s="79"/>
      <c r="AX427" s="79"/>
      <c r="AY427" s="79"/>
      <c r="AZ427" s="79"/>
      <c r="BA427" s="79"/>
      <c r="BB427" s="79"/>
      <c r="BC427" s="79"/>
      <c r="BD427" s="79"/>
      <c r="BE427" s="79"/>
      <c r="BF427" s="79"/>
      <c r="BG427" s="79"/>
      <c r="BH427" s="79"/>
      <c r="BI427" s="79"/>
    </row>
    <row r="428" spans="1:61" ht="15.75" customHeight="1">
      <c r="A428" s="570" t="str">
        <f t="shared" si="199"/>
        <v>Déduction à la source</v>
      </c>
      <c r="B428" s="165"/>
      <c r="C428" s="79"/>
      <c r="D428" s="79"/>
      <c r="E428" s="79"/>
      <c r="F428" s="79"/>
      <c r="G428" s="79"/>
      <c r="H428" s="79"/>
      <c r="I428" s="79"/>
      <c r="J428" s="79"/>
      <c r="K428" s="79"/>
      <c r="L428" s="23"/>
      <c r="M428" s="96"/>
      <c r="N428" s="96"/>
      <c r="O428" s="96"/>
      <c r="P428" s="1094"/>
      <c r="Q428" s="1092"/>
      <c r="R428" s="79"/>
      <c r="S428" s="958"/>
      <c r="T428" s="958"/>
      <c r="U428" s="1101"/>
      <c r="V428" s="280" t="s">
        <v>117</v>
      </c>
      <c r="W428" s="460" t="s">
        <v>220</v>
      </c>
      <c r="X428" s="455"/>
      <c r="Y428" s="455"/>
      <c r="Z428" s="87">
        <f t="shared" si="232"/>
        <v>30976.424729045859</v>
      </c>
      <c r="AA428" s="455"/>
      <c r="AB428" s="455"/>
      <c r="AC428" s="87">
        <f t="shared" si="233"/>
        <v>30976.424729045859</v>
      </c>
      <c r="AD428" s="462"/>
      <c r="AE428" s="461"/>
      <c r="AF428" s="87">
        <f t="shared" si="234"/>
        <v>33057.549999999996</v>
      </c>
      <c r="AG428" s="456"/>
      <c r="AH428" s="457">
        <f t="shared" si="230"/>
        <v>2081.1252709541368</v>
      </c>
      <c r="AI428" s="458">
        <f t="shared" si="235"/>
        <v>6.718416631867509E-2</v>
      </c>
      <c r="AJ428" s="462"/>
      <c r="AK428" s="455"/>
      <c r="AL428" s="87">
        <f t="shared" si="236"/>
        <v>31766.530000000002</v>
      </c>
      <c r="AM428" s="459"/>
      <c r="AN428" s="457">
        <f t="shared" si="210"/>
        <v>1291.0199999999932</v>
      </c>
      <c r="AO428" s="214">
        <f t="shared" si="231"/>
        <v>4.0640888381576243E-2</v>
      </c>
      <c r="AP428" s="101">
        <f>AF428-Print_Mois!AF428</f>
        <v>0</v>
      </c>
      <c r="AQ428" s="87">
        <v>385921.10000000003</v>
      </c>
      <c r="AR428" s="87">
        <f t="shared" si="211"/>
        <v>-352863.55000000005</v>
      </c>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Bénéfices marginaux</v>
      </c>
      <c r="B429" s="165"/>
      <c r="C429" s="79"/>
      <c r="D429" s="79"/>
      <c r="E429" s="79"/>
      <c r="F429" s="79"/>
      <c r="G429" s="79"/>
      <c r="H429" s="79"/>
      <c r="I429" s="79"/>
      <c r="J429" s="79"/>
      <c r="K429" s="79"/>
      <c r="L429" s="23"/>
      <c r="M429" s="96"/>
      <c r="N429" s="96"/>
      <c r="O429" s="96"/>
      <c r="P429" s="1094"/>
      <c r="Q429" s="1092"/>
      <c r="R429" s="79"/>
      <c r="S429" s="1090"/>
      <c r="T429" s="1090"/>
      <c r="U429" s="1101"/>
      <c r="V429" s="280" t="s">
        <v>118</v>
      </c>
      <c r="W429" s="460" t="s">
        <v>221</v>
      </c>
      <c r="X429" s="455"/>
      <c r="Y429" s="455"/>
      <c r="Z429" s="87">
        <f t="shared" si="232"/>
        <v>24598.925520124656</v>
      </c>
      <c r="AA429" s="455"/>
      <c r="AB429" s="455"/>
      <c r="AC429" s="87">
        <f t="shared" si="233"/>
        <v>24598.925520124656</v>
      </c>
      <c r="AD429" s="462"/>
      <c r="AE429" s="461"/>
      <c r="AF429" s="87">
        <f t="shared" si="234"/>
        <v>19229.230000000003</v>
      </c>
      <c r="AG429" s="456"/>
      <c r="AH429" s="457">
        <f t="shared" si="230"/>
        <v>-5369.6955201246528</v>
      </c>
      <c r="AI429" s="458">
        <f t="shared" si="235"/>
        <v>-0.21828984016930517</v>
      </c>
      <c r="AJ429" s="462"/>
      <c r="AK429" s="455"/>
      <c r="AL429" s="87">
        <f t="shared" si="236"/>
        <v>18505.86</v>
      </c>
      <c r="AM429" s="459"/>
      <c r="AN429" s="457">
        <f t="shared" si="210"/>
        <v>723.37000000000262</v>
      </c>
      <c r="AO429" s="214">
        <f t="shared" si="231"/>
        <v>3.9088699471410818E-2</v>
      </c>
      <c r="AP429" s="101">
        <f>AF429-Print_Mois!AF429</f>
        <v>0</v>
      </c>
      <c r="AQ429" s="87">
        <v>304590.91000000003</v>
      </c>
      <c r="AR429" s="87">
        <f t="shared" si="211"/>
        <v>-285361.68000000005</v>
      </c>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Csst</v>
      </c>
      <c r="B430" s="165"/>
      <c r="C430" s="79"/>
      <c r="D430" s="79"/>
      <c r="E430" s="79"/>
      <c r="F430" s="79"/>
      <c r="G430" s="79"/>
      <c r="H430" s="79"/>
      <c r="I430" s="79"/>
      <c r="J430" s="79"/>
      <c r="K430" s="79"/>
      <c r="L430" s="23"/>
      <c r="M430" s="96"/>
      <c r="N430" s="96"/>
      <c r="O430" s="96"/>
      <c r="P430" s="1094"/>
      <c r="Q430" s="1092"/>
      <c r="R430" s="79"/>
      <c r="S430" s="1090"/>
      <c r="T430" s="1090"/>
      <c r="U430" s="1101"/>
      <c r="V430" s="280" t="s">
        <v>119</v>
      </c>
      <c r="W430" s="460"/>
      <c r="X430" s="455"/>
      <c r="Y430" s="455"/>
      <c r="Z430" s="87">
        <f t="shared" si="232"/>
        <v>10021.784471161896</v>
      </c>
      <c r="AA430" s="455"/>
      <c r="AB430" s="455"/>
      <c r="AC430" s="87">
        <f t="shared" si="233"/>
        <v>10021.784471161896</v>
      </c>
      <c r="AD430" s="462"/>
      <c r="AE430" s="461"/>
      <c r="AF430" s="87">
        <f t="shared" si="234"/>
        <v>13378.75</v>
      </c>
      <c r="AG430" s="456"/>
      <c r="AH430" s="457">
        <f t="shared" si="230"/>
        <v>3356.9655288381036</v>
      </c>
      <c r="AI430" s="97">
        <f t="shared" si="235"/>
        <v>0.33496684532559168</v>
      </c>
      <c r="AJ430" s="462"/>
      <c r="AK430" s="455"/>
      <c r="AL430" s="87">
        <f t="shared" si="236"/>
        <v>5020.3100000000004</v>
      </c>
      <c r="AM430" s="459"/>
      <c r="AN430" s="457">
        <f t="shared" si="210"/>
        <v>8358.4399999999987</v>
      </c>
      <c r="AO430" s="214">
        <f t="shared" si="231"/>
        <v>1.664925074347998</v>
      </c>
      <c r="AP430" s="101">
        <f>AF430-Print_Mois!AF430</f>
        <v>0</v>
      </c>
      <c r="AQ430" s="87">
        <v>169569.68</v>
      </c>
      <c r="AR430" s="87">
        <f t="shared" si="211"/>
        <v>-156190.93</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089"/>
      <c r="Q431" s="1092"/>
      <c r="R431" s="79"/>
      <c r="S431" s="1090"/>
      <c r="T431" s="1090"/>
      <c r="U431" s="23"/>
      <c r="V431" s="291" t="s">
        <v>42</v>
      </c>
      <c r="W431" s="460"/>
      <c r="X431" s="455"/>
      <c r="Y431" s="461"/>
      <c r="Z431" s="87">
        <f t="shared" si="232"/>
        <v>0</v>
      </c>
      <c r="AA431" s="455"/>
      <c r="AB431" s="461"/>
      <c r="AC431" s="87">
        <f t="shared" si="233"/>
        <v>0</v>
      </c>
      <c r="AD431" s="462"/>
      <c r="AE431" s="461"/>
      <c r="AF431" s="87">
        <f t="shared" si="234"/>
        <v>0</v>
      </c>
      <c r="AG431" s="456"/>
      <c r="AH431" s="457"/>
      <c r="AI431" s="458"/>
      <c r="AJ431" s="462"/>
      <c r="AK431" s="457"/>
      <c r="AL431" s="87">
        <f t="shared" si="236"/>
        <v>0</v>
      </c>
      <c r="AM431" s="459"/>
      <c r="AN431" s="457"/>
      <c r="AO431" s="215"/>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58"/>
      <c r="M432" s="958"/>
      <c r="N432" s="958"/>
      <c r="O432" s="1096"/>
      <c r="P432" s="958"/>
      <c r="Q432" s="1100"/>
      <c r="R432" s="79"/>
      <c r="S432" s="1090"/>
      <c r="T432" s="1090"/>
      <c r="U432" s="79"/>
      <c r="V432" s="467" t="s">
        <v>120</v>
      </c>
      <c r="W432" s="88"/>
      <c r="X432" s="89">
        <f>Z432/Z406</f>
        <v>0.58803582860960146</v>
      </c>
      <c r="Y432" s="88"/>
      <c r="Z432" s="90">
        <f>SUM(Z419:Z431)</f>
        <v>260746.81255901686</v>
      </c>
      <c r="AA432" s="89">
        <f>AC432/AC406</f>
        <v>0.58803582860960146</v>
      </c>
      <c r="AB432" s="88"/>
      <c r="AC432" s="90">
        <f>SUM(AC419:AC431)</f>
        <v>260746.81255901686</v>
      </c>
      <c r="AD432" s="91">
        <f>AF432/AF406</f>
        <v>0.43800976612478726</v>
      </c>
      <c r="AE432" s="98"/>
      <c r="AF432" s="90">
        <f>SUM(AF419:AF431)</f>
        <v>236283.65</v>
      </c>
      <c r="AG432" s="99"/>
      <c r="AH432" s="93">
        <f t="shared" ref="AH432:AH446" si="241">AF432-AC432</f>
        <v>-24463.16255901687</v>
      </c>
      <c r="AI432" s="89">
        <f>AH432/AC432</f>
        <v>-9.3819603464874307E-2</v>
      </c>
      <c r="AJ432" s="91">
        <f>IF($AL$406=0,0,AL432/$AL$406)</f>
        <v>0.708638329211431</v>
      </c>
      <c r="AK432" s="88"/>
      <c r="AL432" s="90">
        <f>SUM(AL419:AL431)</f>
        <v>210762.72999999998</v>
      </c>
      <c r="AM432" s="100"/>
      <c r="AN432" s="93">
        <f t="shared" ref="AN432:AN446" si="242">AF432-AL432</f>
        <v>25520.920000000013</v>
      </c>
      <c r="AO432" s="453">
        <f>IF(AL432=0,0,AN432/AL432)</f>
        <v>0.12108839167152567</v>
      </c>
      <c r="AP432" s="101">
        <f>AF432-Print_Mois!AF432</f>
        <v>0</v>
      </c>
      <c r="AQ432" s="90">
        <v>3150280.47</v>
      </c>
      <c r="AR432" s="90">
        <f t="shared" si="211"/>
        <v>-2913996.8200000003</v>
      </c>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096"/>
      <c r="N433" s="1093"/>
      <c r="O433" s="1097"/>
      <c r="P433" s="1089"/>
      <c r="Q433" s="1092"/>
      <c r="R433" s="79"/>
      <c r="S433" s="958"/>
      <c r="T433" s="958"/>
      <c r="U433" s="79"/>
      <c r="V433" s="300" t="s">
        <v>121</v>
      </c>
      <c r="W433" s="468" t="s">
        <v>211</v>
      </c>
      <c r="X433" s="469"/>
      <c r="Y433" s="469"/>
      <c r="Z433" s="470">
        <f t="shared" ref="Z433:Z450" si="243">+SUMIF($C:$C,$V433,F:F)</f>
        <v>10644.25</v>
      </c>
      <c r="AA433" s="469"/>
      <c r="AB433" s="469"/>
      <c r="AC433" s="470">
        <f t="shared" ref="AC433:AC450" si="244">+SUMIF($C:$C,$V433,I:I)</f>
        <v>10644.25</v>
      </c>
      <c r="AD433" s="471"/>
      <c r="AE433" s="472"/>
      <c r="AF433" s="470">
        <f t="shared" ref="AF433:AF446" si="245">+SUMIF($C:$C,$V433,L:L)</f>
        <v>10640.73</v>
      </c>
      <c r="AG433" s="471"/>
      <c r="AH433" s="473">
        <f t="shared" si="241"/>
        <v>-3.5200000000004366</v>
      </c>
      <c r="AI433" s="474">
        <f>IF(AC433=0,0,AH433/AC433)</f>
        <v>-3.3069497616087905E-4</v>
      </c>
      <c r="AJ433" s="471"/>
      <c r="AK433" s="469"/>
      <c r="AL433" s="470">
        <f t="shared" ref="AL433:AL450" si="246">+SUMIF($C:$C,$V433,Q:Q)</f>
        <v>11345.369999999999</v>
      </c>
      <c r="AM433" s="475"/>
      <c r="AN433" s="473">
        <f t="shared" si="242"/>
        <v>-704.63999999999942</v>
      </c>
      <c r="AO433" s="213">
        <f t="shared" ref="AO433:AO446" si="247">IF(AL433=0,0,AN433/AL433)</f>
        <v>-6.2108155132886762E-2</v>
      </c>
      <c r="AP433" s="101">
        <f>AF433-Print_Mois!AF433</f>
        <v>0</v>
      </c>
      <c r="AQ433" s="470">
        <v>125430</v>
      </c>
      <c r="AR433" s="470">
        <f t="shared" si="211"/>
        <v>-114789.27</v>
      </c>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c r="M434" s="79"/>
      <c r="N434" s="958"/>
      <c r="O434" s="1095"/>
      <c r="P434" s="1098"/>
      <c r="Q434" s="1099"/>
      <c r="R434" s="79"/>
      <c r="S434" s="958"/>
      <c r="T434" s="958"/>
      <c r="U434" s="79"/>
      <c r="V434" s="305" t="s">
        <v>122</v>
      </c>
      <c r="W434" s="460" t="s">
        <v>222</v>
      </c>
      <c r="X434" s="455"/>
      <c r="Y434" s="455"/>
      <c r="Z434" s="87">
        <f t="shared" si="243"/>
        <v>2506.5808325317239</v>
      </c>
      <c r="AA434" s="455"/>
      <c r="AB434" s="455"/>
      <c r="AC434" s="87">
        <f t="shared" si="244"/>
        <v>2506.5808325317239</v>
      </c>
      <c r="AD434" s="462"/>
      <c r="AE434" s="461"/>
      <c r="AF434" s="87">
        <f t="shared" si="245"/>
        <v>2532.54</v>
      </c>
      <c r="AG434" s="456"/>
      <c r="AH434" s="457">
        <f t="shared" si="241"/>
        <v>25.959167468276064</v>
      </c>
      <c r="AI434" s="458">
        <f t="shared" ref="AI434:AI446" si="248">IF(AC434=0,0,AH434/AC434)</f>
        <v>1.0356405479274532E-2</v>
      </c>
      <c r="AJ434" s="462"/>
      <c r="AK434" s="455"/>
      <c r="AL434" s="87">
        <f t="shared" si="246"/>
        <v>324.87</v>
      </c>
      <c r="AM434" s="459"/>
      <c r="AN434" s="457">
        <f t="shared" si="242"/>
        <v>2207.67</v>
      </c>
      <c r="AO434" s="214">
        <f t="shared" si="247"/>
        <v>6.7955489888263001</v>
      </c>
      <c r="AP434" s="101">
        <f>AF434-Print_Mois!AF434</f>
        <v>0</v>
      </c>
      <c r="AQ434" s="87">
        <v>49781.939999999995</v>
      </c>
      <c r="AR434" s="87">
        <f t="shared" si="211"/>
        <v>-47249.399999999994</v>
      </c>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c r="M435" s="96"/>
      <c r="N435" s="96"/>
      <c r="O435" s="96"/>
      <c r="P435" s="1098"/>
      <c r="Q435" s="1099"/>
      <c r="R435" s="79"/>
      <c r="S435" s="958"/>
      <c r="T435" s="958"/>
      <c r="U435" s="79"/>
      <c r="V435" s="306" t="s">
        <v>123</v>
      </c>
      <c r="W435" s="463" t="s">
        <v>223</v>
      </c>
      <c r="X435" s="445"/>
      <c r="Y435" s="445"/>
      <c r="Z435" s="446">
        <f t="shared" si="243"/>
        <v>17680.484444444442</v>
      </c>
      <c r="AA435" s="445"/>
      <c r="AB435" s="445"/>
      <c r="AC435" s="446">
        <f t="shared" si="244"/>
        <v>17680.484444444442</v>
      </c>
      <c r="AD435" s="465"/>
      <c r="AE435" s="464"/>
      <c r="AF435" s="446">
        <f t="shared" si="245"/>
        <v>18185.55</v>
      </c>
      <c r="AG435" s="447"/>
      <c r="AH435" s="448">
        <f t="shared" si="241"/>
        <v>505.06555555555678</v>
      </c>
      <c r="AI435" s="466">
        <f t="shared" si="248"/>
        <v>2.8566273573700542E-2</v>
      </c>
      <c r="AJ435" s="465"/>
      <c r="AK435" s="445"/>
      <c r="AL435" s="446">
        <f t="shared" si="246"/>
        <v>18132.73</v>
      </c>
      <c r="AM435" s="450"/>
      <c r="AN435" s="448">
        <f t="shared" si="242"/>
        <v>52.819999999999709</v>
      </c>
      <c r="AO435" s="451">
        <f t="shared" si="247"/>
        <v>2.9129645673872445E-3</v>
      </c>
      <c r="AP435" s="101">
        <f>AF435-Print_Mois!AF435</f>
        <v>0</v>
      </c>
      <c r="AQ435" s="446">
        <v>264277.83</v>
      </c>
      <c r="AR435" s="446">
        <f t="shared" si="211"/>
        <v>-246092.28000000003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c r="M436" s="96"/>
      <c r="N436" s="96"/>
      <c r="O436" s="96"/>
      <c r="P436" s="1098"/>
      <c r="Q436" s="1099"/>
      <c r="R436" s="79"/>
      <c r="S436" s="958"/>
      <c r="T436" s="958"/>
      <c r="U436" s="79"/>
      <c r="V436" s="305" t="s">
        <v>124</v>
      </c>
      <c r="W436" s="460" t="s">
        <v>224</v>
      </c>
      <c r="X436" s="455"/>
      <c r="Y436" s="455"/>
      <c r="Z436" s="87">
        <f t="shared" si="243"/>
        <v>20034.202416666667</v>
      </c>
      <c r="AA436" s="455"/>
      <c r="AB436" s="455"/>
      <c r="AC436" s="87">
        <f t="shared" si="244"/>
        <v>20034.202416666667</v>
      </c>
      <c r="AD436" s="462"/>
      <c r="AE436" s="461"/>
      <c r="AF436" s="87">
        <f t="shared" si="245"/>
        <v>19984.36</v>
      </c>
      <c r="AG436" s="456"/>
      <c r="AH436" s="457">
        <f t="shared" si="241"/>
        <v>-49.842416666666395</v>
      </c>
      <c r="AI436" s="458">
        <f t="shared" si="248"/>
        <v>-2.4878662813749928E-3</v>
      </c>
      <c r="AJ436" s="462"/>
      <c r="AK436" s="455"/>
      <c r="AL436" s="87">
        <f t="shared" si="246"/>
        <v>17343.57</v>
      </c>
      <c r="AM436" s="459"/>
      <c r="AN436" s="457">
        <f t="shared" si="242"/>
        <v>2640.7900000000009</v>
      </c>
      <c r="AO436" s="214">
        <f t="shared" si="247"/>
        <v>0.15226334601238389</v>
      </c>
      <c r="AP436" s="101">
        <f>AF436-Print_Mois!AF436</f>
        <v>0</v>
      </c>
      <c r="AQ436" s="87">
        <v>196527.27999999997</v>
      </c>
      <c r="AR436" s="87">
        <f t="shared" si="211"/>
        <v>-176542.91999999998</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c r="M437" s="96"/>
      <c r="N437" s="96"/>
      <c r="O437" s="96"/>
      <c r="P437" s="1098"/>
      <c r="Q437" s="1099"/>
      <c r="R437" s="79"/>
      <c r="S437" s="958"/>
      <c r="T437" s="958"/>
      <c r="U437" s="79"/>
      <c r="V437" s="305" t="s">
        <v>125</v>
      </c>
      <c r="W437" s="460" t="s">
        <v>225</v>
      </c>
      <c r="X437" s="455"/>
      <c r="Y437" s="455"/>
      <c r="Z437" s="87">
        <f t="shared" si="243"/>
        <v>2475.4431250000002</v>
      </c>
      <c r="AA437" s="455"/>
      <c r="AB437" s="455"/>
      <c r="AC437" s="87">
        <f t="shared" si="244"/>
        <v>2475.4431250000002</v>
      </c>
      <c r="AD437" s="462"/>
      <c r="AE437" s="461"/>
      <c r="AF437" s="87">
        <f t="shared" si="245"/>
        <v>917.97</v>
      </c>
      <c r="AG437" s="456"/>
      <c r="AH437" s="457">
        <f t="shared" si="241"/>
        <v>-1557.4731250000002</v>
      </c>
      <c r="AI437" s="458">
        <f t="shared" si="248"/>
        <v>-0.62916942395919517</v>
      </c>
      <c r="AJ437" s="462"/>
      <c r="AK437" s="455"/>
      <c r="AL437" s="87">
        <f t="shared" si="246"/>
        <v>230.06</v>
      </c>
      <c r="AM437" s="459"/>
      <c r="AN437" s="457">
        <f t="shared" si="242"/>
        <v>687.91000000000008</v>
      </c>
      <c r="AO437" s="214">
        <f t="shared" si="247"/>
        <v>2.9901330087803184</v>
      </c>
      <c r="AP437" s="101">
        <f>AF437-Print_Mois!AF437</f>
        <v>0</v>
      </c>
      <c r="AQ437" s="87">
        <v>23315.16</v>
      </c>
      <c r="AR437" s="87">
        <f t="shared" si="211"/>
        <v>-22397.19</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c r="P438" s="1098"/>
      <c r="Q438" s="1092"/>
      <c r="R438" s="79"/>
      <c r="S438" s="958"/>
      <c r="T438" s="958"/>
      <c r="U438" s="79"/>
      <c r="V438" s="305" t="s">
        <v>126</v>
      </c>
      <c r="W438" s="460" t="s">
        <v>226</v>
      </c>
      <c r="X438" s="455"/>
      <c r="Y438" s="455"/>
      <c r="Z438" s="87">
        <f t="shared" si="243"/>
        <v>20117.604355555559</v>
      </c>
      <c r="AA438" s="455"/>
      <c r="AB438" s="455"/>
      <c r="AC438" s="87">
        <f t="shared" si="244"/>
        <v>20117.604355555559</v>
      </c>
      <c r="AD438" s="462"/>
      <c r="AE438" s="461"/>
      <c r="AF438" s="87">
        <f t="shared" si="245"/>
        <v>18824.919999999998</v>
      </c>
      <c r="AG438" s="456"/>
      <c r="AH438" s="457">
        <f t="shared" si="241"/>
        <v>-1292.6843555555606</v>
      </c>
      <c r="AI438" s="458">
        <f t="shared" si="248"/>
        <v>-6.4256376291572742E-2</v>
      </c>
      <c r="AJ438" s="462"/>
      <c r="AK438" s="455"/>
      <c r="AL438" s="87">
        <f t="shared" si="246"/>
        <v>13891.41</v>
      </c>
      <c r="AM438" s="459"/>
      <c r="AN438" s="457">
        <f t="shared" si="242"/>
        <v>4933.5099999999984</v>
      </c>
      <c r="AO438" s="214">
        <f t="shared" si="247"/>
        <v>0.35514825348902657</v>
      </c>
      <c r="AP438" s="101">
        <f>AF438-Print_Mois!AF438</f>
        <v>0</v>
      </c>
      <c r="AQ438" s="87">
        <v>210105.43</v>
      </c>
      <c r="AR438" s="87">
        <f t="shared" si="211"/>
        <v>-191280.51</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58"/>
      <c r="M439" s="1096"/>
      <c r="N439" s="1093"/>
      <c r="O439" s="1095"/>
      <c r="P439" s="1098"/>
      <c r="Q439" s="79"/>
      <c r="R439" s="79"/>
      <c r="S439" s="958"/>
      <c r="T439" s="958"/>
      <c r="U439" s="79"/>
      <c r="V439" s="688" t="s">
        <v>1993</v>
      </c>
      <c r="W439" s="689"/>
      <c r="X439" s="690"/>
      <c r="Y439" s="690"/>
      <c r="Z439" s="691">
        <f t="shared" si="243"/>
        <v>0</v>
      </c>
      <c r="AA439" s="690"/>
      <c r="AB439" s="690"/>
      <c r="AC439" s="691">
        <f t="shared" si="244"/>
        <v>0</v>
      </c>
      <c r="AD439" s="692"/>
      <c r="AE439" s="693"/>
      <c r="AF439" s="691">
        <f t="shared" si="245"/>
        <v>0</v>
      </c>
      <c r="AG439" s="694"/>
      <c r="AH439" s="695">
        <f t="shared" ref="AH439" si="249">AF439-AC439</f>
        <v>0</v>
      </c>
      <c r="AI439" s="696">
        <f t="shared" ref="AI439" si="250">IF(AC439=0,0,AH439/AC439)</f>
        <v>0</v>
      </c>
      <c r="AJ439" s="692"/>
      <c r="AK439" s="690"/>
      <c r="AL439" s="691">
        <f t="shared" si="246"/>
        <v>0</v>
      </c>
      <c r="AM439" s="697"/>
      <c r="AN439" s="695">
        <f t="shared" ref="AN439" si="251">AF439-AL439</f>
        <v>0</v>
      </c>
      <c r="AO439" s="698">
        <f t="shared" ref="AO439" si="252">IF(AL439=0,0,AN439/AL439)</f>
        <v>0</v>
      </c>
      <c r="AP439" s="101">
        <f>AF439-Print_Mois!AF439</f>
        <v>0</v>
      </c>
      <c r="AQ439" s="691">
        <v>0</v>
      </c>
      <c r="AR439" s="691">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ref="A440:A483" si="253">+U440&amp;V440</f>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3"/>
        <v>878.89702940367886</v>
      </c>
      <c r="AA440" s="455"/>
      <c r="AB440" s="461"/>
      <c r="AC440" s="87">
        <f t="shared" si="244"/>
        <v>878.89702940367886</v>
      </c>
      <c r="AD440" s="462"/>
      <c r="AE440" s="461"/>
      <c r="AF440" s="87">
        <f t="shared" si="245"/>
        <v>2453.5699999999997</v>
      </c>
      <c r="AG440" s="456"/>
      <c r="AH440" s="457">
        <f t="shared" si="241"/>
        <v>1574.6729705963207</v>
      </c>
      <c r="AI440" s="458">
        <f t="shared" si="248"/>
        <v>1.7916467093587944</v>
      </c>
      <c r="AJ440" s="462"/>
      <c r="AK440" s="455"/>
      <c r="AL440" s="87">
        <f t="shared" si="246"/>
        <v>2332.67</v>
      </c>
      <c r="AM440" s="459"/>
      <c r="AN440" s="457">
        <f t="shared" si="242"/>
        <v>120.89999999999964</v>
      </c>
      <c r="AO440" s="214">
        <f t="shared" si="247"/>
        <v>5.1829019964246818E-2</v>
      </c>
      <c r="AP440" s="101">
        <f>AF440-Print_Mois!AF440</f>
        <v>0</v>
      </c>
      <c r="AQ440" s="87">
        <v>11807.78</v>
      </c>
      <c r="AR440" s="87">
        <f t="shared" si="211"/>
        <v>-9354.2100000000009</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53"/>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3"/>
        <v>467.02277717171074</v>
      </c>
      <c r="AA441" s="455"/>
      <c r="AB441" s="455"/>
      <c r="AC441" s="87">
        <f t="shared" si="244"/>
        <v>467.02277717171074</v>
      </c>
      <c r="AD441" s="462"/>
      <c r="AE441" s="461"/>
      <c r="AF441" s="87">
        <f t="shared" si="245"/>
        <v>635.27</v>
      </c>
      <c r="AG441" s="456"/>
      <c r="AH441" s="457">
        <f t="shared" si="241"/>
        <v>168.24722282828924</v>
      </c>
      <c r="AI441" s="97">
        <f t="shared" si="248"/>
        <v>0.3602548549070651</v>
      </c>
      <c r="AJ441" s="462"/>
      <c r="AK441" s="455"/>
      <c r="AL441" s="87">
        <f t="shared" si="246"/>
        <v>509.73</v>
      </c>
      <c r="AM441" s="459"/>
      <c r="AN441" s="457">
        <f t="shared" si="242"/>
        <v>125.53999999999996</v>
      </c>
      <c r="AO441" s="214">
        <f t="shared" si="247"/>
        <v>0.24628725011280475</v>
      </c>
      <c r="AP441" s="101">
        <f>AF441-Print_Mois!AF441</f>
        <v>0</v>
      </c>
      <c r="AQ441" s="87">
        <v>8653.5300000000007</v>
      </c>
      <c r="AR441" s="87">
        <f t="shared" si="211"/>
        <v>-8018.26</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53"/>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3"/>
        <v>2040.2009999999998</v>
      </c>
      <c r="AA442" s="455"/>
      <c r="AB442" s="455"/>
      <c r="AC442" s="87">
        <f t="shared" si="244"/>
        <v>2040.2009999999998</v>
      </c>
      <c r="AD442" s="462"/>
      <c r="AE442" s="461"/>
      <c r="AF442" s="87">
        <f t="shared" si="245"/>
        <v>2643.5</v>
      </c>
      <c r="AG442" s="456"/>
      <c r="AH442" s="457">
        <f t="shared" si="241"/>
        <v>603.29900000000021</v>
      </c>
      <c r="AI442" s="458">
        <f t="shared" si="248"/>
        <v>0.29570566821602395</v>
      </c>
      <c r="AJ442" s="462"/>
      <c r="AK442" s="455"/>
      <c r="AL442" s="87">
        <f t="shared" si="246"/>
        <v>1007.3100000000001</v>
      </c>
      <c r="AM442" s="459"/>
      <c r="AN442" s="457">
        <f t="shared" si="242"/>
        <v>1636.19</v>
      </c>
      <c r="AO442" s="214">
        <f t="shared" si="247"/>
        <v>1.6243162482254718</v>
      </c>
      <c r="AP442" s="101">
        <f>AF442-Print_Mois!AF442</f>
        <v>0</v>
      </c>
      <c r="AQ442" s="87">
        <v>23241.73</v>
      </c>
      <c r="AR442" s="87">
        <f t="shared" si="211"/>
        <v>-20598.23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53"/>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3"/>
        <v>942.07664583333337</v>
      </c>
      <c r="AA443" s="455"/>
      <c r="AB443" s="455"/>
      <c r="AC443" s="87">
        <f t="shared" si="244"/>
        <v>942.07664583333337</v>
      </c>
      <c r="AD443" s="462"/>
      <c r="AE443" s="461"/>
      <c r="AF443" s="87">
        <f t="shared" si="245"/>
        <v>674.38</v>
      </c>
      <c r="AG443" s="456"/>
      <c r="AH443" s="457">
        <f t="shared" si="241"/>
        <v>-267.69664583333338</v>
      </c>
      <c r="AI443" s="97">
        <f t="shared" si="248"/>
        <v>-0.28415590920050543</v>
      </c>
      <c r="AJ443" s="462"/>
      <c r="AK443" s="455"/>
      <c r="AL443" s="87">
        <f t="shared" si="246"/>
        <v>1363.01</v>
      </c>
      <c r="AM443" s="459"/>
      <c r="AN443" s="457">
        <f t="shared" si="242"/>
        <v>-688.63</v>
      </c>
      <c r="AO443" s="214">
        <f t="shared" si="247"/>
        <v>-0.50522740111958098</v>
      </c>
      <c r="AP443" s="101">
        <f>AF443-Print_Mois!AF443</f>
        <v>0</v>
      </c>
      <c r="AQ443" s="87">
        <v>9864.81</v>
      </c>
      <c r="AR443" s="87">
        <f t="shared" si="211"/>
        <v>-9190.43</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53"/>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3"/>
        <v>502.86585416666657</v>
      </c>
      <c r="AA444" s="455"/>
      <c r="AB444" s="455"/>
      <c r="AC444" s="87">
        <f t="shared" si="244"/>
        <v>502.86585416666657</v>
      </c>
      <c r="AD444" s="462"/>
      <c r="AE444" s="461"/>
      <c r="AF444" s="87">
        <f t="shared" si="245"/>
        <v>85.190000000000012</v>
      </c>
      <c r="AG444" s="456"/>
      <c r="AH444" s="457">
        <f t="shared" si="241"/>
        <v>-417.67585416666657</v>
      </c>
      <c r="AI444" s="458">
        <f t="shared" si="248"/>
        <v>-0.83059100296007538</v>
      </c>
      <c r="AJ444" s="462"/>
      <c r="AK444" s="455"/>
      <c r="AL444" s="87">
        <f t="shared" si="246"/>
        <v>183.03</v>
      </c>
      <c r="AM444" s="459"/>
      <c r="AN444" s="457">
        <f t="shared" si="242"/>
        <v>-97.839999999999989</v>
      </c>
      <c r="AO444" s="214">
        <f t="shared" si="247"/>
        <v>-0.53455717641916622</v>
      </c>
      <c r="AP444" s="101">
        <f>AF444-Print_Mois!AF444</f>
        <v>0</v>
      </c>
      <c r="AQ444" s="87">
        <v>5873.8099999999995</v>
      </c>
      <c r="AR444" s="87">
        <f t="shared" si="211"/>
        <v>-5788.62</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53"/>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3"/>
        <v>2425.729979166666</v>
      </c>
      <c r="AA445" s="455"/>
      <c r="AB445" s="461"/>
      <c r="AC445" s="87">
        <f t="shared" si="244"/>
        <v>2425.729979166666</v>
      </c>
      <c r="AD445" s="462"/>
      <c r="AE445" s="461"/>
      <c r="AF445" s="87">
        <f t="shared" si="245"/>
        <v>1035.6199999999999</v>
      </c>
      <c r="AG445" s="456"/>
      <c r="AH445" s="457">
        <f t="shared" si="241"/>
        <v>-1390.1099791666661</v>
      </c>
      <c r="AI445" s="97">
        <f t="shared" si="248"/>
        <v>-0.57306872203649961</v>
      </c>
      <c r="AJ445" s="462"/>
      <c r="AK445" s="455"/>
      <c r="AL445" s="87">
        <f t="shared" si="246"/>
        <v>788.43</v>
      </c>
      <c r="AM445" s="459"/>
      <c r="AN445" s="457">
        <f t="shared" si="242"/>
        <v>247.18999999999994</v>
      </c>
      <c r="AO445" s="214">
        <f t="shared" si="247"/>
        <v>0.31352180916504946</v>
      </c>
      <c r="AP445" s="101">
        <f>AF445-Print_Mois!AF445</f>
        <v>0</v>
      </c>
      <c r="AQ445" s="87">
        <v>30968.560000000001</v>
      </c>
      <c r="AR445" s="87">
        <f t="shared" si="211"/>
        <v>-29932.940000000002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53"/>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3"/>
        <v>3603.9258333333332</v>
      </c>
      <c r="AA446" s="455"/>
      <c r="AB446" s="461"/>
      <c r="AC446" s="87">
        <f t="shared" si="244"/>
        <v>3603.9258333333332</v>
      </c>
      <c r="AD446" s="462"/>
      <c r="AE446" s="461"/>
      <c r="AF446" s="87">
        <f t="shared" si="245"/>
        <v>825.45999999999992</v>
      </c>
      <c r="AG446" s="456"/>
      <c r="AH446" s="457">
        <f t="shared" si="241"/>
        <v>-2778.4658333333332</v>
      </c>
      <c r="AI446" s="458">
        <f t="shared" si="248"/>
        <v>-0.77095533088800616</v>
      </c>
      <c r="AJ446" s="462"/>
      <c r="AK446" s="455"/>
      <c r="AL446" s="87">
        <f t="shared" si="246"/>
        <v>1271.0400000000002</v>
      </c>
      <c r="AM446" s="459"/>
      <c r="AN446" s="457">
        <f t="shared" si="242"/>
        <v>-445.58000000000027</v>
      </c>
      <c r="AO446" s="214">
        <f t="shared" si="247"/>
        <v>-0.35056331822759329</v>
      </c>
      <c r="AP446" s="101">
        <f>AF446-Print_Mois!AF446</f>
        <v>0</v>
      </c>
      <c r="AQ446" s="87">
        <v>26640.46</v>
      </c>
      <c r="AR446" s="87">
        <f t="shared" si="211"/>
        <v>-25815</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70" t="str">
        <f t="shared" si="253"/>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3"/>
        <v>5260.1164656443607</v>
      </c>
      <c r="AA447" s="455"/>
      <c r="AB447" s="461"/>
      <c r="AC447" s="87">
        <f t="shared" si="244"/>
        <v>5260.1164656443607</v>
      </c>
      <c r="AD447" s="462"/>
      <c r="AE447" s="461"/>
      <c r="AF447" s="446">
        <f>SUMIFS(BV_Data_An_Cour!$P:$P,BV_Data_An_Cour!$V:$V,$V447)</f>
        <v>4981</v>
      </c>
      <c r="AG447" s="456"/>
      <c r="AH447" s="457">
        <f t="shared" ref="AH447:AH450" si="254">AF447-AC447</f>
        <v>-279.11646564436069</v>
      </c>
      <c r="AI447" s="458">
        <f t="shared" ref="AI447:AI450" si="255">IF(AC447=0,0,AH447/AC447)</f>
        <v>-5.3062791949069349E-2</v>
      </c>
      <c r="AJ447" s="462"/>
      <c r="AK447" s="455"/>
      <c r="AL447" s="87">
        <f>SUMIFS(BV_Data_An_Prec!$P:$P,BV_Data_An_Prec!$V:$V,$V447)</f>
        <v>4281.22</v>
      </c>
      <c r="AM447" s="459"/>
      <c r="AN447" s="457">
        <f t="shared" ref="AN447:AN450" si="256">AF447-AL447</f>
        <v>699.77999999999975</v>
      </c>
      <c r="AO447" s="214">
        <f t="shared" ref="AO447:AO450" si="257">IF(AL447=0,0,AN447/AL447)</f>
        <v>0.16345340814067011</v>
      </c>
      <c r="AP447" s="101">
        <f>AF447-Print_Mois!AF447</f>
        <v>0</v>
      </c>
      <c r="AQ447" s="446">
        <v>86028.79</v>
      </c>
      <c r="AR447" s="446">
        <f t="shared" si="211"/>
        <v>-81047.789999999994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253"/>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3"/>
        <v>0</v>
      </c>
      <c r="AA448" s="455"/>
      <c r="AB448" s="461"/>
      <c r="AC448" s="87">
        <f t="shared" si="244"/>
        <v>0</v>
      </c>
      <c r="AD448" s="462"/>
      <c r="AE448" s="461"/>
      <c r="AF448" s="87">
        <f>+SUMIF($C:$C,$V448,L:L)</f>
        <v>0</v>
      </c>
      <c r="AG448" s="456"/>
      <c r="AH448" s="457">
        <f t="shared" si="254"/>
        <v>0</v>
      </c>
      <c r="AI448" s="458">
        <f t="shared" si="255"/>
        <v>0</v>
      </c>
      <c r="AJ448" s="462"/>
      <c r="AK448" s="455"/>
      <c r="AL448" s="87">
        <f t="shared" si="246"/>
        <v>0</v>
      </c>
      <c r="AM448" s="459"/>
      <c r="AN448" s="457">
        <f t="shared" si="256"/>
        <v>0</v>
      </c>
      <c r="AO448" s="214">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253"/>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3"/>
        <v>0</v>
      </c>
      <c r="AA449" s="455"/>
      <c r="AB449" s="461"/>
      <c r="AC449" s="87">
        <f t="shared" si="244"/>
        <v>0</v>
      </c>
      <c r="AD449" s="462"/>
      <c r="AE449" s="461"/>
      <c r="AF449" s="87">
        <f>+SUMIF($C:$C,$V449,L:L)</f>
        <v>0</v>
      </c>
      <c r="AG449" s="456"/>
      <c r="AH449" s="457">
        <f t="shared" si="254"/>
        <v>0</v>
      </c>
      <c r="AI449" s="458">
        <f t="shared" si="255"/>
        <v>0</v>
      </c>
      <c r="AJ449" s="462"/>
      <c r="AK449" s="455"/>
      <c r="AL449" s="87">
        <f t="shared" si="246"/>
        <v>0</v>
      </c>
      <c r="AM449" s="459"/>
      <c r="AN449" s="457">
        <f t="shared" si="256"/>
        <v>0</v>
      </c>
      <c r="AO449" s="214">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53"/>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3"/>
        <v>0</v>
      </c>
      <c r="AA450" s="455"/>
      <c r="AB450" s="461"/>
      <c r="AC450" s="87">
        <f t="shared" si="244"/>
        <v>0</v>
      </c>
      <c r="AD450" s="462"/>
      <c r="AE450" s="461"/>
      <c r="AF450" s="87">
        <f>+SUMIF($C:$C,$V450,L:L)</f>
        <v>0</v>
      </c>
      <c r="AG450" s="456"/>
      <c r="AH450" s="457">
        <f t="shared" si="254"/>
        <v>0</v>
      </c>
      <c r="AI450" s="458">
        <f t="shared" si="255"/>
        <v>0</v>
      </c>
      <c r="AJ450" s="462"/>
      <c r="AK450" s="455"/>
      <c r="AL450" s="87">
        <f t="shared" si="246"/>
        <v>0</v>
      </c>
      <c r="AM450" s="459"/>
      <c r="AN450" s="457">
        <f t="shared" si="256"/>
        <v>0</v>
      </c>
      <c r="AO450" s="214">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53"/>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0.2020193329868584</v>
      </c>
      <c r="Y451" s="88"/>
      <c r="Z451" s="90">
        <f>+SUM(Z433:Z450)</f>
        <v>89579.400758918127</v>
      </c>
      <c r="AA451" s="89">
        <f>AC451/+AC406</f>
        <v>0.2020193329868584</v>
      </c>
      <c r="AB451" s="88"/>
      <c r="AC451" s="90">
        <f>+SUM(AC433:AC450)</f>
        <v>89579.400758918127</v>
      </c>
      <c r="AD451" s="91">
        <f>AF451/AF406</f>
        <v>0.15649331105576084</v>
      </c>
      <c r="AE451" s="88"/>
      <c r="AF451" s="90">
        <f>+SUM(AF433:AF450)</f>
        <v>84420.060000000027</v>
      </c>
      <c r="AG451" s="99"/>
      <c r="AH451" s="555">
        <f>+SUM(AH433:AH450)</f>
        <v>-5159.3407589181452</v>
      </c>
      <c r="AI451" s="89">
        <f>AH451/AC451</f>
        <v>-5.759516937162034E-2</v>
      </c>
      <c r="AJ451" s="91">
        <f>IF($AL$406=0,0,AL451/$AL$406)</f>
        <v>0.24545967625774939</v>
      </c>
      <c r="AK451" s="89"/>
      <c r="AL451" s="90">
        <f>+SUM(AL433:AL450)</f>
        <v>73004.449999999983</v>
      </c>
      <c r="AM451" s="100"/>
      <c r="AN451" s="93">
        <f>+SUM(AN433:AN450)</f>
        <v>11415.61</v>
      </c>
      <c r="AO451" s="636">
        <f>IF(AL451=0,0,AN451/AL451)</f>
        <v>0.1563686871142787</v>
      </c>
      <c r="AP451" s="101">
        <f>AF451-Print_Mois!AF451</f>
        <v>0</v>
      </c>
      <c r="AQ451" s="90">
        <v>1072517.1100000003</v>
      </c>
      <c r="AR451" s="90">
        <f t="shared" si="211"/>
        <v>-988097.05000000028</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53"/>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original'!$A$8:$A$500=$A452)*('Budget original'!$C$3:$AO$3=Z$2),'Budget original'!$C$8:$AO$500)</f>
        <v>26000</v>
      </c>
      <c r="AA452" s="455"/>
      <c r="AB452" s="461"/>
      <c r="AC452" s="87">
        <f>+SUMPRODUCT(('Budget révisé'!$A$8:$A$500=$A452)*('Budget révisé'!$C$3:$AO$3=AC$2),'Budget révisé'!$C$8:$AO$500)</f>
        <v>26000</v>
      </c>
      <c r="AD452" s="462"/>
      <c r="AE452" s="461"/>
      <c r="AF452" s="87">
        <f>SUMIFS(BV_Data_An_Cour!$P:$P,BV_Data_An_Cour!$V:$V,$V452)</f>
        <v>26000</v>
      </c>
      <c r="AG452" s="456"/>
      <c r="AH452" s="457">
        <f t="shared" ref="AH452:AH460" si="258">AF452-AC452</f>
        <v>0</v>
      </c>
      <c r="AI452" s="458">
        <f>IF(AC452=0,0,AH452/AC452)</f>
        <v>0</v>
      </c>
      <c r="AJ452" s="462"/>
      <c r="AK452" s="455"/>
      <c r="AL452" s="87">
        <f>SUMIFS(BV_Data_An_Prec!$P:$P,BV_Data_An_Prec!$V:$V,$V452)</f>
        <v>26000</v>
      </c>
      <c r="AM452" s="459"/>
      <c r="AN452" s="457">
        <f t="shared" ref="AN452:AN460" si="259">AF452-AL452</f>
        <v>0</v>
      </c>
      <c r="AO452" s="214">
        <f t="shared" ref="AO452:AO460" si="260">IF(AL452=0,0,AN452/AL452)</f>
        <v>0</v>
      </c>
      <c r="AP452" s="101">
        <f>AF452-Print_Mois!AF452</f>
        <v>0</v>
      </c>
      <c r="AQ452" s="87">
        <v>312000</v>
      </c>
      <c r="AR452" s="87">
        <f t="shared" si="211"/>
        <v>-286000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53"/>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original'!$A$8:$A$500=$A453)*('Budget original'!$C$3:$AO$3=Z$2),'Budget original'!$C$8:$AO$500)</f>
        <v>4930.2499999999991</v>
      </c>
      <c r="AA453" s="455"/>
      <c r="AB453" s="461"/>
      <c r="AC453" s="87">
        <f>+SUMPRODUCT(('Budget révisé'!$A$8:$A$500=$A453)*('Budget révisé'!$C$3:$AO$3=AC$2),'Budget révisé'!$C$8:$AO$500)</f>
        <v>4930.2499999999991</v>
      </c>
      <c r="AD453" s="462"/>
      <c r="AE453" s="461"/>
      <c r="AF453" s="87">
        <f>SUMIFS(BV_Data_An_Cour!$P:$P,BV_Data_An_Cour!$V:$V,$V453)</f>
        <v>4930</v>
      </c>
      <c r="AG453" s="456"/>
      <c r="AH453" s="457">
        <f t="shared" si="258"/>
        <v>-0.24999999999909051</v>
      </c>
      <c r="AI453" s="458">
        <f t="shared" ref="AI453:AI460" si="261">IF(AC453=0,0,AH453/AC453)</f>
        <v>-5.0707367780354051E-5</v>
      </c>
      <c r="AJ453" s="462"/>
      <c r="AK453" s="455"/>
      <c r="AL453" s="87">
        <f>SUMIFS(BV_Data_An_Prec!$P:$P,BV_Data_An_Prec!$V:$V,$V453)</f>
        <v>4810</v>
      </c>
      <c r="AM453" s="459"/>
      <c r="AN453" s="457">
        <f t="shared" si="259"/>
        <v>120</v>
      </c>
      <c r="AO453" s="214">
        <f t="shared" si="260"/>
        <v>2.4948024948024949E-2</v>
      </c>
      <c r="AP453" s="101">
        <f>AF453-Print_Mois!AF453</f>
        <v>0</v>
      </c>
      <c r="AQ453" s="87">
        <v>56955.519999999997</v>
      </c>
      <c r="AR453" s="87">
        <f t="shared" si="211"/>
        <v>-52025.52</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53"/>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original'!$A$8:$A$500=$A454)*('Budget original'!$C$3:$AO$3=Z$2),'Budget original'!$C$8:$AO$500)</f>
        <v>3279.9999999999995</v>
      </c>
      <c r="AA454" s="445"/>
      <c r="AB454" s="464"/>
      <c r="AC454" s="446">
        <f>+SUMPRODUCT(('Budget révisé'!$A$8:$A$500=$A454)*('Budget révisé'!$C$3:$AO$3=AC$2),'Budget révisé'!$C$8:$AO$500)</f>
        <v>3279.9999999999995</v>
      </c>
      <c r="AD454" s="465"/>
      <c r="AE454" s="464"/>
      <c r="AF454" s="446">
        <f>SUMIFS(BV_Data_An_Cour!$P:$P,BV_Data_An_Cour!$V:$V,$V454)</f>
        <v>3279.9999999999995</v>
      </c>
      <c r="AG454" s="447"/>
      <c r="AH454" s="448">
        <f t="shared" si="258"/>
        <v>0</v>
      </c>
      <c r="AI454" s="466">
        <f t="shared" si="261"/>
        <v>0</v>
      </c>
      <c r="AJ454" s="465"/>
      <c r="AK454" s="445"/>
      <c r="AL454" s="446">
        <f>SUMIFS(BV_Data_An_Prec!$P:$P,BV_Data_An_Prec!$V:$V,$V454)</f>
        <v>3200</v>
      </c>
      <c r="AM454" s="450"/>
      <c r="AN454" s="448">
        <f t="shared" si="259"/>
        <v>79.999999999999545</v>
      </c>
      <c r="AO454" s="451">
        <f t="shared" si="260"/>
        <v>2.4999999999999859E-2</v>
      </c>
      <c r="AP454" s="101">
        <f>AF454-Print_Mois!AF454</f>
        <v>0</v>
      </c>
      <c r="AQ454" s="446">
        <v>37694.32</v>
      </c>
      <c r="AR454" s="446">
        <f t="shared" si="211"/>
        <v>-34414.32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53"/>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original'!$A$8:$A$500=$A455)*('Budget original'!$C$3:$AO$3=Z$2),'Budget original'!$C$8:$AO$500)</f>
        <v>0</v>
      </c>
      <c r="AA455" s="455"/>
      <c r="AB455" s="461"/>
      <c r="AC455" s="87">
        <f>+SUMPRODUCT(('Budget révisé'!$A$8:$A$500=$A455)*('Budget révisé'!$C$3:$AO$3=AC$2),'Budget révisé'!$C$8:$AO$500)</f>
        <v>0</v>
      </c>
      <c r="AD455" s="462"/>
      <c r="AE455" s="461"/>
      <c r="AF455" s="87">
        <f>SUMIFS(BV_Data_An_Cour!$P:$P,BV_Data_An_Cour!$V:$V,$V455)</f>
        <v>0</v>
      </c>
      <c r="AG455" s="456"/>
      <c r="AH455" s="457">
        <f t="shared" si="258"/>
        <v>0</v>
      </c>
      <c r="AI455" s="458">
        <f t="shared" si="261"/>
        <v>0</v>
      </c>
      <c r="AJ455" s="462"/>
      <c r="AK455" s="455"/>
      <c r="AL455" s="87">
        <f>SUMIFS(BV_Data_An_Prec!$P:$P,BV_Data_An_Prec!$V:$V,$V455)</f>
        <v>0</v>
      </c>
      <c r="AM455" s="459"/>
      <c r="AN455" s="457">
        <f t="shared" si="259"/>
        <v>0</v>
      </c>
      <c r="AO455" s="214">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53"/>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original'!$A$8:$A$500=$A456)*('Budget original'!$C$3:$AO$3=Z$2),'Budget original'!$C$8:$AO$500)</f>
        <v>4270.5833333333321</v>
      </c>
      <c r="AA456" s="445"/>
      <c r="AB456" s="464"/>
      <c r="AC456" s="446">
        <f>+SUMPRODUCT(('Budget révisé'!$A$8:$A$500=$A456)*('Budget révisé'!$C$3:$AO$3=AC$2),'Budget révisé'!$C$8:$AO$500)</f>
        <v>4270.5833333333321</v>
      </c>
      <c r="AD456" s="465"/>
      <c r="AE456" s="464"/>
      <c r="AF456" s="446">
        <f>SUMIF(BV_Data_An_Cour!$V:$V,Print_AAD!$V456,BV_Data_An_Cour!$P:$P)</f>
        <v>4271</v>
      </c>
      <c r="AG456" s="447"/>
      <c r="AH456" s="448">
        <f t="shared" si="258"/>
        <v>0.41666666666787933</v>
      </c>
      <c r="AI456" s="466">
        <f t="shared" si="261"/>
        <v>9.7566686830732595E-5</v>
      </c>
      <c r="AJ456" s="465"/>
      <c r="AK456" s="445"/>
      <c r="AL456" s="446">
        <f>SUMIF(BV_Data_An_Prec!$V:$V,Print_AAD!$V456,BV_Data_An_Prec!$P:$P)</f>
        <v>3708.11</v>
      </c>
      <c r="AM456" s="450"/>
      <c r="AN456" s="448">
        <f t="shared" si="259"/>
        <v>562.88999999999987</v>
      </c>
      <c r="AO456" s="451">
        <f t="shared" si="260"/>
        <v>0.15179970389227931</v>
      </c>
      <c r="AP456" s="101">
        <f>AF456-Print_Mois!AF456</f>
        <v>0</v>
      </c>
      <c r="AQ456" s="446">
        <v>44497.32</v>
      </c>
      <c r="AR456" s="446">
        <f t="shared" si="211"/>
        <v>-40226.32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53"/>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original'!$A$8:$A$500=$A457)*('Budget original'!$C$3:$AO$3=Z$2),'Budget original'!$C$8:$AO$500)</f>
        <v>2838.4863750000004</v>
      </c>
      <c r="AA457" s="476"/>
      <c r="AB457" s="477"/>
      <c r="AC457" s="87">
        <f>+SUMPRODUCT(('Budget révisé'!$A$8:$A$500=$A457)*('Budget révisé'!$C$3:$AO$3=AC$2),'Budget révisé'!$C$8:$AO$500)</f>
        <v>2838.4863750000004</v>
      </c>
      <c r="AD457" s="462"/>
      <c r="AE457" s="461"/>
      <c r="AF457" s="87">
        <f>SUMIFS(BV_Data_An_Cour!$P:$P,BV_Data_An_Cour!$V:$V,$V457)</f>
        <v>3456.06</v>
      </c>
      <c r="AG457" s="456"/>
      <c r="AH457" s="457">
        <f t="shared" si="258"/>
        <v>617.57362499999954</v>
      </c>
      <c r="AI457" s="458">
        <f t="shared" si="261"/>
        <v>0.21757146007086239</v>
      </c>
      <c r="AJ457" s="462"/>
      <c r="AK457" s="455"/>
      <c r="AL457" s="87">
        <f>SUMIFS(BV_Data_An_Prec!$P:$P,BV_Data_An_Prec!$V:$V,$V457)</f>
        <v>1695.7600000000002</v>
      </c>
      <c r="AM457" s="459"/>
      <c r="AN457" s="457">
        <f t="shared" si="259"/>
        <v>1760.2999999999997</v>
      </c>
      <c r="AO457" s="214">
        <f t="shared" si="260"/>
        <v>1.0380596310798695</v>
      </c>
      <c r="AP457" s="101">
        <f>AF457-Print_Mois!AF457</f>
        <v>0</v>
      </c>
      <c r="AQ457" s="87">
        <v>32424.07</v>
      </c>
      <c r="AR457" s="87">
        <f t="shared" si="211"/>
        <v>-28968.01</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53"/>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original'!$A$8:$A$500=$A458)*('Budget original'!$C$3:$AO$3=Z$2),'Budget original'!$C$8:$AO$500)</f>
        <v>6122.833333333333</v>
      </c>
      <c r="AA458" s="455"/>
      <c r="AB458" s="461"/>
      <c r="AC458" s="87">
        <f>+SUMPRODUCT(('Budget révisé'!$A$8:$A$500=$A458)*('Budget révisé'!$C$3:$AO$3=AC$2),'Budget révisé'!$C$8:$AO$500)</f>
        <v>6122.833333333333</v>
      </c>
      <c r="AD458" s="462"/>
      <c r="AE458" s="461"/>
      <c r="AF458" s="87">
        <f>SUMIFS(BV_Data_An_Cour!$P:$P,BV_Data_An_Cour!$V:$V,$V458)</f>
        <v>6123.33</v>
      </c>
      <c r="AG458" s="456"/>
      <c r="AH458" s="457">
        <f t="shared" si="258"/>
        <v>0.49666666666689707</v>
      </c>
      <c r="AI458" s="458">
        <f t="shared" si="261"/>
        <v>8.1117129869106967E-5</v>
      </c>
      <c r="AJ458" s="462"/>
      <c r="AK458" s="455"/>
      <c r="AL458" s="87">
        <f>SUMIFS(BV_Data_An_Prec!$P:$P,BV_Data_An_Prec!$V:$V,$V458)</f>
        <v>6217.0999999999985</v>
      </c>
      <c r="AM458" s="459"/>
      <c r="AN458" s="457">
        <f t="shared" si="259"/>
        <v>-93.769999999998618</v>
      </c>
      <c r="AO458" s="214">
        <f t="shared" si="260"/>
        <v>-1.5082594778915995E-2</v>
      </c>
      <c r="AP458" s="101">
        <f>AF458-Print_Mois!AF458</f>
        <v>0</v>
      </c>
      <c r="AQ458" s="87">
        <v>77836.53</v>
      </c>
      <c r="AR458" s="87">
        <f t="shared" si="211"/>
        <v>-71713.2</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53"/>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original'!$A$8:$A$500=$A459)*('Budget original'!$C$3:$AO$3=Z$2),'Budget original'!$C$8:$AO$500)</f>
        <v>1188.8599166666665</v>
      </c>
      <c r="AA459" s="445"/>
      <c r="AB459" s="464"/>
      <c r="AC459" s="446">
        <f>+SUMPRODUCT(('Budget révisé'!$A$8:$A$500=$A459)*('Budget révisé'!$C$3:$AO$3=AC$2),'Budget révisé'!$C$8:$AO$500)</f>
        <v>1188.8599166666665</v>
      </c>
      <c r="AD459" s="465"/>
      <c r="AE459" s="464"/>
      <c r="AF459" s="446">
        <f>SUMIFS(BV_Data_An_Cour!$P:$P,BV_Data_An_Cour!$V:$V,$V459)</f>
        <v>1704.54</v>
      </c>
      <c r="AG459" s="447"/>
      <c r="AH459" s="448">
        <f t="shared" si="258"/>
        <v>515.68008333333341</v>
      </c>
      <c r="AI459" s="466">
        <f t="shared" si="261"/>
        <v>0.4337601731743137</v>
      </c>
      <c r="AJ459" s="465"/>
      <c r="AK459" s="445"/>
      <c r="AL459" s="446">
        <f>SUMIFS(BV_Data_An_Prec!$P:$P,BV_Data_An_Prec!$V:$V,$V459)</f>
        <v>2107.14</v>
      </c>
      <c r="AM459" s="450"/>
      <c r="AN459" s="448">
        <f t="shared" si="259"/>
        <v>-402.59999999999991</v>
      </c>
      <c r="AO459" s="451">
        <f t="shared" si="260"/>
        <v>-0.19106466585039433</v>
      </c>
      <c r="AP459" s="101">
        <f>AF459-Print_Mois!AF459</f>
        <v>0</v>
      </c>
      <c r="AQ459" s="446">
        <v>13715.12</v>
      </c>
      <c r="AR459" s="446">
        <f t="shared" si="211"/>
        <v>-12010.580000000002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53"/>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original'!$A$8:$A$500=$A460)*('Budget original'!$C$3:$AO$3=Z$2),'Budget original'!$C$8:$AO$500)</f>
        <v>230.625</v>
      </c>
      <c r="AA460" s="455"/>
      <c r="AB460" s="461"/>
      <c r="AC460" s="87">
        <f>+SUMPRODUCT(('Budget révisé'!$A$8:$A$500=$A460)*('Budget révisé'!$C$3:$AO$3=AC$2),'Budget révisé'!$C$8:$AO$500)</f>
        <v>230.625</v>
      </c>
      <c r="AD460" s="462"/>
      <c r="AE460" s="461"/>
      <c r="AF460" s="87">
        <f>SUMIFS(BV_Data_An_Cour!$P:$P,BV_Data_An_Cour!$V:$V,$V460)</f>
        <v>0</v>
      </c>
      <c r="AG460" s="456"/>
      <c r="AH460" s="457">
        <f t="shared" si="258"/>
        <v>-230.625</v>
      </c>
      <c r="AI460" s="478">
        <f t="shared" si="261"/>
        <v>-1</v>
      </c>
      <c r="AJ460" s="455"/>
      <c r="AK460" s="455"/>
      <c r="AL460" s="87">
        <f>SUMIFS(BV_Data_An_Prec!$P:$P,BV_Data_An_Prec!$V:$V,$V460)</f>
        <v>0</v>
      </c>
      <c r="AM460" s="459"/>
      <c r="AN460" s="457">
        <f t="shared" si="259"/>
        <v>0</v>
      </c>
      <c r="AO460" s="214">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253"/>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f>SUMIFS(BV_Data_An_Cour!$P:$P,BV_Data_An_Cour!$V:$V,$V461)</f>
        <v>0</v>
      </c>
      <c r="AG461" s="456"/>
      <c r="AH461" s="457">
        <v>0</v>
      </c>
      <c r="AI461" s="97">
        <v>0</v>
      </c>
      <c r="AJ461" s="455"/>
      <c r="AK461" s="455"/>
      <c r="AL461" s="87">
        <v>0</v>
      </c>
      <c r="AM461" s="459"/>
      <c r="AN461" s="457">
        <v>0</v>
      </c>
      <c r="AO461" s="214">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253"/>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253"/>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53"/>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53"/>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0.11019269413906131</v>
      </c>
      <c r="Y465" s="88"/>
      <c r="Z465" s="90">
        <f>SUM(Z452:Z464)</f>
        <v>48861.637958333333</v>
      </c>
      <c r="AA465" s="89">
        <f>AC465/+AC406</f>
        <v>0.11019269413906131</v>
      </c>
      <c r="AB465" s="88"/>
      <c r="AC465" s="90">
        <f>SUM(AC452:AC464)</f>
        <v>48861.637958333333</v>
      </c>
      <c r="AD465" s="91">
        <f>AF465/AF406</f>
        <v>9.2251517828323762E-2</v>
      </c>
      <c r="AE465" s="88"/>
      <c r="AF465" s="90">
        <f>SUM(AF452:AF464)</f>
        <v>49764.93</v>
      </c>
      <c r="AG465" s="99"/>
      <c r="AH465" s="557">
        <f>SUM(AH452:AH464)</f>
        <v>903.29204166666864</v>
      </c>
      <c r="AI465" s="89">
        <f>IF(AC465=0,0,AH465/AC465)</f>
        <v>1.8486732729609868E-2</v>
      </c>
      <c r="AJ465" s="91">
        <f>IF($AL$406=0,0,AL465/$AL$406)</f>
        <v>0.16050776392064911</v>
      </c>
      <c r="AK465" s="89"/>
      <c r="AL465" s="90">
        <f>SUM(AL452:AL464)</f>
        <v>47738.11</v>
      </c>
      <c r="AM465" s="100"/>
      <c r="AN465" s="93">
        <f>SUM(AN452:AN464)</f>
        <v>2026.8200000000006</v>
      </c>
      <c r="AO465" s="636">
        <f>IF(AL465=0,0,AN465/AL465)</f>
        <v>4.2457064177865454E-2</v>
      </c>
      <c r="AP465" s="101">
        <f>AF465-Print_Mois!AF465</f>
        <v>0</v>
      </c>
      <c r="AQ465" s="90">
        <v>575262.88</v>
      </c>
      <c r="AR465" s="90">
        <f t="shared" si="211"/>
        <v>-525497.94999999995</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53"/>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2">AF466-AC466</f>
        <v>0</v>
      </c>
      <c r="AI466" s="458"/>
      <c r="AJ466" s="462"/>
      <c r="AK466" s="455"/>
      <c r="AL466" s="105"/>
      <c r="AM466" s="479"/>
      <c r="AN466" s="457">
        <f t="shared" ref="AN466:AN472" si="263">AF466-AL466</f>
        <v>0</v>
      </c>
      <c r="AO466" s="480">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53"/>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1.1164246853876918</v>
      </c>
      <c r="Y467" s="88"/>
      <c r="Z467" s="90">
        <f>Z418+Z432+Z451+Z465</f>
        <v>495044.96837438236</v>
      </c>
      <c r="AA467" s="89">
        <f>AC467/+AC406</f>
        <v>1.1164246853876918</v>
      </c>
      <c r="AB467" s="88"/>
      <c r="AC467" s="90">
        <f>AC418+AC432+AC451+AC465</f>
        <v>495044.96837438236</v>
      </c>
      <c r="AD467" s="91">
        <f>AF467/AF406</f>
        <v>0.91476033034932225</v>
      </c>
      <c r="AE467" s="88"/>
      <c r="AF467" s="90">
        <f>AF418+AF432+AF451+AF465</f>
        <v>493465.96</v>
      </c>
      <c r="AG467" s="99"/>
      <c r="AH467" s="93">
        <f t="shared" si="262"/>
        <v>-1579.0083743823343</v>
      </c>
      <c r="AI467" s="89">
        <f>AH467/AC467</f>
        <v>-3.1896261456155119E-3</v>
      </c>
      <c r="AJ467" s="91">
        <f>IF($AL$406=0,0,AL467/$AL$406)</f>
        <v>1.3558529082777806</v>
      </c>
      <c r="AK467" s="89"/>
      <c r="AL467" s="90">
        <f>AL418+AL432+AL451+AL465</f>
        <v>403256.85</v>
      </c>
      <c r="AM467" s="100"/>
      <c r="AN467" s="93">
        <f t="shared" si="263"/>
        <v>90209.110000000044</v>
      </c>
      <c r="AO467" s="453">
        <f>IF(AL467=0,0,AN467/AL467)</f>
        <v>0.22370137047888969</v>
      </c>
      <c r="AP467" s="101">
        <f>AF467-Print_Mois!AF467</f>
        <v>0</v>
      </c>
      <c r="AQ467" s="90">
        <v>6536747.29</v>
      </c>
      <c r="AR467" s="90">
        <f t="shared" ref="AR467:AR480" si="264">AF467-AQ467</f>
        <v>-6043281.3300000001</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53"/>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original'!$A$8:$A$500=$A468)*('Budget original'!$C$3:$AO$3=Z$2),'Budget original'!$C$8:$AO$500)</f>
        <v>360</v>
      </c>
      <c r="AA468" s="249"/>
      <c r="AB468" s="250"/>
      <c r="AC468" s="248">
        <f>+SUMPRODUCT(('Budget révisé'!$A$8:$A$500=$A468)*('Budget révisé'!$C$3:$AO$3=AC$2),'Budget révisé'!$C$8:$AO$500)</f>
        <v>360</v>
      </c>
      <c r="AD468" s="252"/>
      <c r="AE468" s="250"/>
      <c r="AF468" s="87">
        <f>-SUMIFS(BV_Data_An_Cour!$P:$P,BV_Data_An_Cour!$V:$V,$V468)</f>
        <v>181.1</v>
      </c>
      <c r="AG468" s="251"/>
      <c r="AH468" s="482">
        <f t="shared" si="262"/>
        <v>-178.9</v>
      </c>
      <c r="AI468" s="483">
        <f t="shared" ref="AI468:AI472" si="265">IF(AH468=0,0,AH468/AC468)</f>
        <v>-0.49694444444444447</v>
      </c>
      <c r="AJ468" s="252"/>
      <c r="AK468" s="249"/>
      <c r="AL468" s="484">
        <f>-SUMIFS(BV_Data_An_Prec!$P:$P,BV_Data_An_Prec!$V:$V,$V468)</f>
        <v>33828.54</v>
      </c>
      <c r="AM468" s="253"/>
      <c r="AN468" s="482">
        <f t="shared" si="263"/>
        <v>-33647.440000000002</v>
      </c>
      <c r="AO468" s="261">
        <f>IF(AL468=0,0,AN468/AL468)</f>
        <v>-0.99464653218850119</v>
      </c>
      <c r="AP468" s="101">
        <f>AF468-Print_Mois!AF468</f>
        <v>0</v>
      </c>
      <c r="AQ468" s="87">
        <v>244107.66</v>
      </c>
      <c r="AR468" s="87">
        <f t="shared" si="264"/>
        <v>-243926.56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53"/>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6">+SUMIF($C:$C,$V469,F:F)</f>
        <v>40795.839813252998</v>
      </c>
      <c r="AA469" s="255"/>
      <c r="AB469" s="247"/>
      <c r="AC469" s="254">
        <f t="shared" ref="AC469:AC479" si="267">+SUMIF($C:$C,$V469,I:I)</f>
        <v>40795.839813252998</v>
      </c>
      <c r="AD469" s="258"/>
      <c r="AE469" s="247"/>
      <c r="AF469" s="254">
        <f t="shared" ref="AF469:AF479" si="268">+SUMIF($C:$C,$V469,L:L)</f>
        <v>55812.85</v>
      </c>
      <c r="AG469" s="256"/>
      <c r="AH469" s="482">
        <f t="shared" si="262"/>
        <v>15017.010186747</v>
      </c>
      <c r="AI469" s="257">
        <f>IF(AC469=0,0,AH469/AC469)</f>
        <v>0.36810150876875813</v>
      </c>
      <c r="AJ469" s="258"/>
      <c r="AK469" s="255"/>
      <c r="AL469" s="259">
        <f t="shared" ref="AL469:AL479" si="269">+SUMIF($C:$C,$V469,Q:Q)</f>
        <v>22341</v>
      </c>
      <c r="AM469" s="260"/>
      <c r="AN469" s="482">
        <f t="shared" si="263"/>
        <v>33471.85</v>
      </c>
      <c r="AO469" s="261">
        <f>IF(AL469=0,0,AN469/AL469)</f>
        <v>1.498225236112976</v>
      </c>
      <c r="AP469" s="101">
        <f>AF469-Print_Mois!AF469</f>
        <v>0</v>
      </c>
      <c r="AQ469" s="254">
        <v>793765.53</v>
      </c>
      <c r="AR469" s="254">
        <f t="shared" si="264"/>
        <v>-737952.68</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53"/>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6"/>
        <v>0</v>
      </c>
      <c r="AA470" s="255"/>
      <c r="AB470" s="247"/>
      <c r="AC470" s="254">
        <f t="shared" si="267"/>
        <v>0</v>
      </c>
      <c r="AD470" s="258"/>
      <c r="AE470" s="247"/>
      <c r="AF470" s="254">
        <f t="shared" si="268"/>
        <v>0</v>
      </c>
      <c r="AG470" s="256"/>
      <c r="AH470" s="482">
        <f t="shared" si="262"/>
        <v>0</v>
      </c>
      <c r="AI470" s="257">
        <f t="shared" si="265"/>
        <v>0</v>
      </c>
      <c r="AJ470" s="258"/>
      <c r="AK470" s="255"/>
      <c r="AL470" s="259">
        <f t="shared" si="269"/>
        <v>11500</v>
      </c>
      <c r="AM470" s="260"/>
      <c r="AN470" s="482">
        <f t="shared" si="263"/>
        <v>-11500</v>
      </c>
      <c r="AO470" s="261">
        <f t="shared" ref="AO470:AO472" si="270">IF(AL470=0,0,AN470/AL470)</f>
        <v>-1</v>
      </c>
      <c r="AP470" s="101">
        <f>AF470-Print_Mois!AF470</f>
        <v>0</v>
      </c>
      <c r="AQ470" s="254">
        <v>105276.52</v>
      </c>
      <c r="AR470" s="254">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53"/>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6"/>
        <v>0</v>
      </c>
      <c r="AA471" s="255"/>
      <c r="AB471" s="247"/>
      <c r="AC471" s="254">
        <f t="shared" si="267"/>
        <v>0</v>
      </c>
      <c r="AD471" s="258"/>
      <c r="AE471" s="247"/>
      <c r="AF471" s="254">
        <f t="shared" si="268"/>
        <v>0</v>
      </c>
      <c r="AG471" s="256"/>
      <c r="AH471" s="482">
        <f t="shared" si="262"/>
        <v>0</v>
      </c>
      <c r="AI471" s="257">
        <f t="shared" si="265"/>
        <v>0</v>
      </c>
      <c r="AJ471" s="258"/>
      <c r="AK471" s="255"/>
      <c r="AL471" s="259">
        <f t="shared" si="269"/>
        <v>0</v>
      </c>
      <c r="AM471" s="260"/>
      <c r="AN471" s="482">
        <f t="shared" si="263"/>
        <v>0</v>
      </c>
      <c r="AO471" s="261">
        <f t="shared" si="270"/>
        <v>0</v>
      </c>
      <c r="AP471" s="101">
        <f>AF471-Print_Mois!AF471</f>
        <v>0</v>
      </c>
      <c r="AQ471" s="254">
        <v>0</v>
      </c>
      <c r="AR471" s="254">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53"/>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6"/>
        <v>0</v>
      </c>
      <c r="AA472" s="255"/>
      <c r="AB472" s="247"/>
      <c r="AC472" s="254">
        <f t="shared" si="267"/>
        <v>0</v>
      </c>
      <c r="AD472" s="258"/>
      <c r="AE472" s="247"/>
      <c r="AF472" s="254">
        <f t="shared" si="268"/>
        <v>0</v>
      </c>
      <c r="AG472" s="256"/>
      <c r="AH472" s="482">
        <f t="shared" si="262"/>
        <v>0</v>
      </c>
      <c r="AI472" s="257">
        <f t="shared" si="265"/>
        <v>0</v>
      </c>
      <c r="AJ472" s="258"/>
      <c r="AK472" s="255"/>
      <c r="AL472" s="259">
        <f t="shared" si="269"/>
        <v>0</v>
      </c>
      <c r="AM472" s="260"/>
      <c r="AN472" s="482">
        <f t="shared" si="263"/>
        <v>0</v>
      </c>
      <c r="AO472" s="261">
        <f t="shared" si="270"/>
        <v>0</v>
      </c>
      <c r="AP472" s="101">
        <f>AF472-Print_Mois!AF472</f>
        <v>0</v>
      </c>
      <c r="AQ472" s="254">
        <v>0</v>
      </c>
      <c r="AR472" s="254">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53"/>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6"/>
        <v>0</v>
      </c>
      <c r="AA473" s="255"/>
      <c r="AB473" s="247"/>
      <c r="AC473" s="254">
        <f t="shared" si="267"/>
        <v>0</v>
      </c>
      <c r="AD473" s="258"/>
      <c r="AE473" s="247"/>
      <c r="AF473" s="254">
        <f t="shared" si="268"/>
        <v>0</v>
      </c>
      <c r="AG473" s="256"/>
      <c r="AH473" s="482">
        <f t="shared" ref="AH473:AH478" si="271">AF473-AC473</f>
        <v>0</v>
      </c>
      <c r="AI473" s="257">
        <f t="shared" ref="AI473:AI478" si="272">IF(AH473=0,0,AH473/AC473)</f>
        <v>0</v>
      </c>
      <c r="AJ473" s="258"/>
      <c r="AK473" s="255"/>
      <c r="AL473" s="259">
        <f t="shared" si="269"/>
        <v>0</v>
      </c>
      <c r="AM473" s="260"/>
      <c r="AN473" s="482">
        <f t="shared" ref="AN473:AN475" si="273">AF473-AL473</f>
        <v>0</v>
      </c>
      <c r="AO473" s="261">
        <f t="shared" ref="AO473:AO475" si="274">IF(AL473=0,0,AN473/AL473)</f>
        <v>0</v>
      </c>
      <c r="AP473" s="101">
        <f>AF473-Print_Mois!AF473</f>
        <v>0</v>
      </c>
      <c r="AQ473" s="254">
        <v>17000</v>
      </c>
      <c r="AR473" s="254">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53"/>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6"/>
        <v>0</v>
      </c>
      <c r="AA474" s="255"/>
      <c r="AB474" s="247"/>
      <c r="AC474" s="254">
        <f t="shared" si="267"/>
        <v>0</v>
      </c>
      <c r="AD474" s="258"/>
      <c r="AE474" s="247"/>
      <c r="AF474" s="254">
        <f t="shared" si="268"/>
        <v>0</v>
      </c>
      <c r="AG474" s="256"/>
      <c r="AH474" s="482">
        <f t="shared" si="271"/>
        <v>0</v>
      </c>
      <c r="AI474" s="257">
        <f t="shared" si="272"/>
        <v>0</v>
      </c>
      <c r="AJ474" s="258"/>
      <c r="AK474" s="255"/>
      <c r="AL474" s="259">
        <f t="shared" si="269"/>
        <v>0</v>
      </c>
      <c r="AM474" s="260"/>
      <c r="AN474" s="482">
        <f t="shared" si="273"/>
        <v>0</v>
      </c>
      <c r="AO474" s="261">
        <f t="shared" si="274"/>
        <v>0</v>
      </c>
      <c r="AP474" s="101">
        <f>AF474-Print_Mois!AF474</f>
        <v>0</v>
      </c>
      <c r="AQ474" s="254">
        <v>0</v>
      </c>
      <c r="AR474" s="254">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53"/>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6"/>
        <v>0</v>
      </c>
      <c r="AA475" s="255"/>
      <c r="AB475" s="247"/>
      <c r="AC475" s="254">
        <f t="shared" si="267"/>
        <v>0</v>
      </c>
      <c r="AD475" s="258"/>
      <c r="AE475" s="247"/>
      <c r="AF475" s="254">
        <f t="shared" si="268"/>
        <v>0</v>
      </c>
      <c r="AG475" s="256"/>
      <c r="AH475" s="482">
        <f t="shared" si="271"/>
        <v>0</v>
      </c>
      <c r="AI475" s="257">
        <f t="shared" si="272"/>
        <v>0</v>
      </c>
      <c r="AJ475" s="258"/>
      <c r="AK475" s="255"/>
      <c r="AL475" s="259">
        <f t="shared" si="269"/>
        <v>0</v>
      </c>
      <c r="AM475" s="260"/>
      <c r="AN475" s="482">
        <f t="shared" si="273"/>
        <v>0</v>
      </c>
      <c r="AO475" s="261">
        <f t="shared" si="274"/>
        <v>0</v>
      </c>
      <c r="AP475" s="101">
        <f>AF475-Print_Mois!AF475</f>
        <v>0</v>
      </c>
      <c r="AQ475" s="254">
        <v>0</v>
      </c>
      <c r="AR475" s="254">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253"/>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6"/>
        <v>0</v>
      </c>
      <c r="AA476" s="255"/>
      <c r="AB476" s="247"/>
      <c r="AC476" s="254">
        <f t="shared" si="267"/>
        <v>0</v>
      </c>
      <c r="AD476" s="258"/>
      <c r="AE476" s="247"/>
      <c r="AF476" s="254">
        <f t="shared" si="268"/>
        <v>0</v>
      </c>
      <c r="AG476" s="256"/>
      <c r="AH476" s="482">
        <f t="shared" si="271"/>
        <v>0</v>
      </c>
      <c r="AI476" s="257">
        <f t="shared" si="272"/>
        <v>0</v>
      </c>
      <c r="AJ476" s="258"/>
      <c r="AK476" s="255"/>
      <c r="AL476" s="259">
        <f t="shared" si="269"/>
        <v>0</v>
      </c>
      <c r="AM476" s="260"/>
      <c r="AN476" s="482">
        <f t="shared" ref="AN476:AN479" si="275">AF476-AL476</f>
        <v>0</v>
      </c>
      <c r="AO476" s="261">
        <f t="shared" ref="AO476:AO479" si="276">IF(AL476=0,0,AN476/AL476)</f>
        <v>0</v>
      </c>
      <c r="AP476" s="101">
        <f>AF476-Print_Mois!AF476</f>
        <v>0</v>
      </c>
      <c r="AQ476" s="254">
        <v>0</v>
      </c>
      <c r="AR476" s="254">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253"/>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6"/>
        <v>0</v>
      </c>
      <c r="AA477" s="255"/>
      <c r="AB477" s="247"/>
      <c r="AC477" s="254">
        <f t="shared" si="267"/>
        <v>0</v>
      </c>
      <c r="AD477" s="258"/>
      <c r="AE477" s="247"/>
      <c r="AF477" s="254">
        <f t="shared" si="268"/>
        <v>0</v>
      </c>
      <c r="AG477" s="256"/>
      <c r="AH477" s="482">
        <f t="shared" si="271"/>
        <v>0</v>
      </c>
      <c r="AI477" s="257">
        <f t="shared" si="272"/>
        <v>0</v>
      </c>
      <c r="AJ477" s="258"/>
      <c r="AK477" s="255"/>
      <c r="AL477" s="259">
        <f t="shared" si="269"/>
        <v>0</v>
      </c>
      <c r="AM477" s="260"/>
      <c r="AN477" s="482">
        <f t="shared" si="275"/>
        <v>0</v>
      </c>
      <c r="AO477" s="261">
        <f t="shared" si="276"/>
        <v>0</v>
      </c>
      <c r="AP477" s="101">
        <f>AF477-Print_Mois!AF477</f>
        <v>0</v>
      </c>
      <c r="AQ477" s="254">
        <v>0</v>
      </c>
      <c r="AR477" s="254">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253"/>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6"/>
        <v>0</v>
      </c>
      <c r="AA478" s="255"/>
      <c r="AB478" s="247"/>
      <c r="AC478" s="254">
        <f t="shared" si="267"/>
        <v>0</v>
      </c>
      <c r="AD478" s="258"/>
      <c r="AE478" s="247"/>
      <c r="AF478" s="254">
        <f t="shared" si="268"/>
        <v>0</v>
      </c>
      <c r="AG478" s="256"/>
      <c r="AH478" s="482">
        <f t="shared" si="271"/>
        <v>0</v>
      </c>
      <c r="AI478" s="257">
        <f t="shared" si="272"/>
        <v>0</v>
      </c>
      <c r="AJ478" s="258"/>
      <c r="AK478" s="255"/>
      <c r="AL478" s="259">
        <f t="shared" si="269"/>
        <v>0</v>
      </c>
      <c r="AM478" s="260"/>
      <c r="AN478" s="482">
        <f t="shared" si="275"/>
        <v>0</v>
      </c>
      <c r="AO478" s="261">
        <f t="shared" si="276"/>
        <v>0</v>
      </c>
      <c r="AP478" s="101">
        <f>AF478-Print_Mois!AF478</f>
        <v>0</v>
      </c>
      <c r="AQ478" s="254">
        <v>0</v>
      </c>
      <c r="AR478" s="254">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53"/>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6"/>
        <v>23634.08942098491</v>
      </c>
      <c r="AA479" s="255"/>
      <c r="AB479" s="247"/>
      <c r="AC479" s="254">
        <f t="shared" si="267"/>
        <v>23634.08942098491</v>
      </c>
      <c r="AD479" s="258"/>
      <c r="AE479" s="247"/>
      <c r="AF479" s="254">
        <f t="shared" si="268"/>
        <v>18826</v>
      </c>
      <c r="AG479" s="256"/>
      <c r="AH479" s="482">
        <f t="shared" ref="AH479:AH480" si="277">AF479-AC479</f>
        <v>-4808.0894209849102</v>
      </c>
      <c r="AI479" s="257">
        <f>IF(AH479=0,0,AH479/AC479)</f>
        <v>-0.20343874203656717</v>
      </c>
      <c r="AJ479" s="258"/>
      <c r="AK479" s="255"/>
      <c r="AL479" s="259">
        <f t="shared" si="269"/>
        <v>11496</v>
      </c>
      <c r="AM479" s="260"/>
      <c r="AN479" s="482">
        <f t="shared" si="275"/>
        <v>7330</v>
      </c>
      <c r="AO479" s="261">
        <f t="shared" si="276"/>
        <v>0.63761308281141271</v>
      </c>
      <c r="AP479" s="101">
        <f>AF479-Print_Mois!AF479</f>
        <v>0</v>
      </c>
      <c r="AQ479" s="254">
        <v>377721.88</v>
      </c>
      <c r="AR479" s="254">
        <f t="shared" si="264"/>
        <v>-358895.88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53"/>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0.14611415322359628</v>
      </c>
      <c r="Y480" s="103"/>
      <c r="Z480" s="90">
        <f>SUM(Z468:Z479)</f>
        <v>64789.929234237905</v>
      </c>
      <c r="AA480" s="89">
        <f>AC480/+AC406</f>
        <v>0.14611415322359628</v>
      </c>
      <c r="AB480" s="103"/>
      <c r="AC480" s="90">
        <f>SUM(AC468:AC479)</f>
        <v>64789.929234237905</v>
      </c>
      <c r="AD480" s="89">
        <f>AF480/+AF406</f>
        <v>0.13869714980688794</v>
      </c>
      <c r="AE480" s="103"/>
      <c r="AF480" s="90">
        <f>SUM(AF468:AF479)</f>
        <v>74819.95</v>
      </c>
      <c r="AG480" s="99"/>
      <c r="AH480" s="93">
        <f t="shared" si="277"/>
        <v>10030.020765762092</v>
      </c>
      <c r="AI480" s="89">
        <f>AH480/AC480</f>
        <v>0.15480833031164631</v>
      </c>
      <c r="AJ480" s="109"/>
      <c r="AK480" s="110"/>
      <c r="AL480" s="90">
        <f>SUM(AL468:AL479)</f>
        <v>79165.540000000008</v>
      </c>
      <c r="AM480" s="111"/>
      <c r="AN480" s="93">
        <f t="shared" ref="AN480:AN482" si="278">AF480-AL480</f>
        <v>-4345.5900000000111</v>
      </c>
      <c r="AO480" s="636">
        <f>IF(AL480=0,0,AN480/AL480)</f>
        <v>-5.4892444364050455E-2</v>
      </c>
      <c r="AP480" s="101">
        <f>AF480-Print_Mois!AF480</f>
        <v>0</v>
      </c>
      <c r="AQ480" s="90">
        <v>1537871.5899999999</v>
      </c>
      <c r="AR480" s="90">
        <f t="shared" si="264"/>
        <v>-1463051.64</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53"/>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6">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53"/>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4.3690218193368976E-3</v>
      </c>
      <c r="Z482" s="491">
        <f>Z406-Z467+Z480</f>
        <v>13164.902082735294</v>
      </c>
      <c r="AA482" s="489" t="s">
        <v>258</v>
      </c>
      <c r="AB482" s="490">
        <f>AC482/AC405</f>
        <v>4.3690218193368976E-3</v>
      </c>
      <c r="AC482" s="491">
        <f>AC406-AC467+AC480</f>
        <v>13164.902082735294</v>
      </c>
      <c r="AD482" s="489" t="s">
        <v>258</v>
      </c>
      <c r="AE482" s="490">
        <f>AF482/AF405</f>
        <v>3.3417993276867584E-2</v>
      </c>
      <c r="AF482" s="217">
        <f>AF406-AF467+AF480</f>
        <v>120802.34999999985</v>
      </c>
      <c r="AG482" s="492"/>
      <c r="AH482" s="492">
        <f>AF482-AC482</f>
        <v>107637.44791726455</v>
      </c>
      <c r="AI482" s="546">
        <f>AH482/AC482</f>
        <v>8.1760917962635187</v>
      </c>
      <c r="AJ482" s="493" t="s">
        <v>258</v>
      </c>
      <c r="AK482" s="490">
        <f>IF($AL$405=0,0,AL482/$AL$405)</f>
        <v>-1.2724691772707906E-2</v>
      </c>
      <c r="AL482" s="217">
        <f>AL406-AL467+AL480</f>
        <v>-26671.989999999903</v>
      </c>
      <c r="AM482" s="218"/>
      <c r="AN482" s="217">
        <f t="shared" si="278"/>
        <v>147474.33999999973</v>
      </c>
      <c r="AO482" s="494">
        <f>IF(AL482=0,0,AN482/AL482)</f>
        <v>-5.5291839866466761</v>
      </c>
      <c r="AP482" s="101">
        <f>AF482-Print_Mois!AF482</f>
        <v>0</v>
      </c>
      <c r="AQ482" s="217">
        <v>2159824.8199999994</v>
      </c>
      <c r="AR482" s="217">
        <f>AF482-AQ482</f>
        <v>-2039022.4699999995</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53"/>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0">+U484&amp;V484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Janvier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0"/>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0"/>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0"/>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0"/>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4.3690218193368976E-3</v>
      </c>
      <c r="Z488" s="499">
        <f>Z482</f>
        <v>13164.902082735294</v>
      </c>
      <c r="AA488" s="497" t="s">
        <v>258</v>
      </c>
      <c r="AB488" s="498">
        <f>AC488/AC405</f>
        <v>4.3690218193368976E-3</v>
      </c>
      <c r="AC488" s="499">
        <f>AC482</f>
        <v>13164.902082735294</v>
      </c>
      <c r="AD488" s="497" t="s">
        <v>258</v>
      </c>
      <c r="AE488" s="498">
        <f>AF488/AF405</f>
        <v>3.3417993276867584E-2</v>
      </c>
      <c r="AF488" s="499">
        <f>AF482</f>
        <v>120802.34999999985</v>
      </c>
      <c r="AG488" s="500"/>
      <c r="AH488" s="492">
        <f>AF488-AC488</f>
        <v>107637.44791726455</v>
      </c>
      <c r="AI488" s="546">
        <f>AH488/AC488</f>
        <v>8.1760917962635187</v>
      </c>
      <c r="AJ488" s="497" t="s">
        <v>258</v>
      </c>
      <c r="AK488" s="498">
        <f>IF($AL$405=0,0,AL488/$AL$405)</f>
        <v>-1.2724691772707906E-2</v>
      </c>
      <c r="AL488" s="501">
        <f>AL482</f>
        <v>-26671.989999999903</v>
      </c>
      <c r="AM488" s="502"/>
      <c r="AN488" s="503">
        <f>AF488-AL488</f>
        <v>147474.33999999973</v>
      </c>
      <c r="AO488" s="504">
        <f>IF(AL488=0,0,AN488/AL488)</f>
        <v>-5.5291839866466761</v>
      </c>
      <c r="AP488" s="101">
        <f>AF488-Print_Mois!AF488</f>
        <v>0</v>
      </c>
      <c r="AQ488" s="499">
        <v>2159824.8199999994</v>
      </c>
      <c r="AR488" s="499">
        <f>AF488-AQ488</f>
        <v>-2039022.4699999995</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0"/>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0"/>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original'!$A$8:$A$500=$A490)*('Budget original'!$C$3:$AO$3=Z$2),'Budget original'!$C$8:$AO$500)</f>
        <v>7144.916666666667</v>
      </c>
      <c r="AA490" s="455"/>
      <c r="AB490" s="461"/>
      <c r="AC490" s="87">
        <f>+SUMPRODUCT(('Budget révisé'!$A$8:$A$500=$A490)*('Budget révisé'!$C$3:$AO$3=AC$2),'Budget révisé'!$C$8:$AO$500)</f>
        <v>7144.916666666667</v>
      </c>
      <c r="AD490" s="455"/>
      <c r="AE490" s="461"/>
      <c r="AF490" s="87">
        <f>SUMIFS(BV_Data_An_Cour!$P:$P,BV_Data_An_Cour!$V:$V,$V490)</f>
        <v>4314.5</v>
      </c>
      <c r="AG490" s="455"/>
      <c r="AH490" s="457">
        <f t="shared" ref="AH490:AH491" si="281">AF490-AC490</f>
        <v>-2830.416666666667</v>
      </c>
      <c r="AI490" s="97">
        <f>IF(AC490=0,0,AH490/AC490)</f>
        <v>-0.39614411178110315</v>
      </c>
      <c r="AJ490" s="455"/>
      <c r="AK490" s="455"/>
      <c r="AL490" s="87">
        <f>SUMIFS(BV_Data_An_Prec!$P:$P,BV_Data_An_Prec!$V:$V,$V490)</f>
        <v>9167</v>
      </c>
      <c r="AM490" s="459"/>
      <c r="AN490" s="457">
        <f t="shared" ref="AN490:AN491" si="282">AF490-AL490</f>
        <v>-4852.5</v>
      </c>
      <c r="AO490" s="214">
        <f>IF(AL490=0,0,AN490/AL490)</f>
        <v>-0.529344387476819</v>
      </c>
      <c r="AP490" s="101">
        <f>AF490-Print_Mois!AF490</f>
        <v>0</v>
      </c>
      <c r="AQ490" s="87">
        <v>54471.5</v>
      </c>
      <c r="AR490" s="87">
        <f t="shared" ref="AR490:AR492" si="283">AF490-AQ490</f>
        <v>-50157</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0"/>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original'!$A$8:$A$500=$A491)*('Budget original'!$C$3:$AO$3=Z$2),'Budget original'!$C$8:$AO$500)</f>
        <v>0</v>
      </c>
      <c r="AA491" s="439"/>
      <c r="AB491" s="439"/>
      <c r="AC491" s="87">
        <f>+SUMPRODUCT(('Budget révisé'!$A$8:$A$500=$A491)*('Budget révisé'!$C$3:$AO$3=AC$2),'Budget révisé'!$C$8:$AO$500)</f>
        <v>0</v>
      </c>
      <c r="AD491" s="439"/>
      <c r="AE491" s="178"/>
      <c r="AF491" s="254">
        <f>SUMIFS(BV_Data_An_Cour!$P:$P,BV_Data_An_Cour!$V:$V,$V491)</f>
        <v>0</v>
      </c>
      <c r="AG491" s="439"/>
      <c r="AH491" s="457">
        <f t="shared" si="281"/>
        <v>0</v>
      </c>
      <c r="AI491" s="97">
        <f t="shared" ref="AI491" si="284">IF(AC491=0,0,AH491/AC491)</f>
        <v>0</v>
      </c>
      <c r="AJ491" s="439"/>
      <c r="AK491" s="439"/>
      <c r="AL491" s="87">
        <f>SUMIFS(BV_Data_An_Prec!$P:$P,BV_Data_An_Prec!$V:$V,$V491)</f>
        <v>-3540.56</v>
      </c>
      <c r="AM491" s="508"/>
      <c r="AN491" s="457">
        <f t="shared" si="282"/>
        <v>3540.56</v>
      </c>
      <c r="AO491" s="214">
        <f t="shared" ref="AO491" si="285">IF(AL491=0,0,AN491/AL491)</f>
        <v>-1</v>
      </c>
      <c r="AP491" s="101">
        <f>AF491-Print_Mois!AF491</f>
        <v>0</v>
      </c>
      <c r="AQ491" s="254">
        <v>-4458.1099999999997</v>
      </c>
      <c r="AR491" s="254">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0"/>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original'!$A$8:$A$500=$A492)*('Budget original'!$C$3:$AO$3=Z$2),'Budget original'!$C$8:$AO$500)</f>
        <v>450.06</v>
      </c>
      <c r="AA492" s="439"/>
      <c r="AB492" s="439"/>
      <c r="AC492" s="87">
        <f>+SUMPRODUCT(('Budget révisé'!$A$8:$A$500=$A492)*('Budget révisé'!$C$3:$AO$3=AC$2),'Budget révisé'!$C$8:$AO$500)</f>
        <v>450.06</v>
      </c>
      <c r="AD492" s="439"/>
      <c r="AE492" s="178"/>
      <c r="AF492" s="87">
        <f>SUMIFS(BV_Data_An_Cour!$P:$P,BV_Data_An_Cour!$V:$V,$V492)</f>
        <v>426.79</v>
      </c>
      <c r="AG492" s="439"/>
      <c r="AH492" s="457">
        <f t="shared" ref="AH492:AH496" si="286">AF492-AC492</f>
        <v>-23.269999999999982</v>
      </c>
      <c r="AI492" s="97">
        <f t="shared" ref="AI492:AI496" si="287">IF(AC492=0,0,AH492/AC492)</f>
        <v>-5.1704217215482337E-2</v>
      </c>
      <c r="AJ492" s="439"/>
      <c r="AK492" s="439"/>
      <c r="AL492" s="87">
        <f>SUMIFS(BV_Data_An_Prec!$P:$P,BV_Data_An_Prec!$V:$V,$V492)</f>
        <v>570.58999999999992</v>
      </c>
      <c r="AM492" s="508"/>
      <c r="AN492" s="457">
        <f t="shared" ref="AN492:AN496" si="288">AF492-AL492</f>
        <v>-143.7999999999999</v>
      </c>
      <c r="AO492" s="214">
        <f t="shared" ref="AO492:AO496" si="289">IF(AL492=0,0,AN492/AL492)</f>
        <v>-0.25201983911389952</v>
      </c>
      <c r="AP492" s="101">
        <f>AF492-Print_Mois!AF492</f>
        <v>0</v>
      </c>
      <c r="AQ492" s="87">
        <v>6847.08</v>
      </c>
      <c r="AR492" s="87">
        <f t="shared" si="283"/>
        <v>-6420.29</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0"/>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original'!$A$8:$A$500=$A493)*('Budget original'!$C$3:$AO$3=Z$2),'Budget original'!$C$8:$AO$500)</f>
        <v>0</v>
      </c>
      <c r="AA493" s="439"/>
      <c r="AB493" s="439"/>
      <c r="AC493" s="87">
        <f>+SUMPRODUCT(('Budget révisé'!$A$8:$A$500=$A493)*('Budget révisé'!$C$3:$AO$3=AC$2),'Budget révisé'!$C$8:$AO$500)</f>
        <v>0</v>
      </c>
      <c r="AD493" s="439"/>
      <c r="AE493" s="178"/>
      <c r="AF493" s="87">
        <f>SUMIFS(BV_Data_An_Cour!$P:$P,BV_Data_An_Cour!$V:$V,$V493)</f>
        <v>0</v>
      </c>
      <c r="AG493" s="439"/>
      <c r="AH493" s="457">
        <f t="shared" si="286"/>
        <v>0</v>
      </c>
      <c r="AI493" s="97">
        <f t="shared" si="287"/>
        <v>0</v>
      </c>
      <c r="AJ493" s="439"/>
      <c r="AK493" s="439"/>
      <c r="AL493" s="87">
        <f>SUMIFS(BV_Data_An_Prec!$P:$P,BV_Data_An_Prec!$V:$V,$V493)</f>
        <v>0</v>
      </c>
      <c r="AM493" s="508"/>
      <c r="AN493" s="457">
        <f t="shared" si="288"/>
        <v>0</v>
      </c>
      <c r="AO493" s="214">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0"/>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original'!$A$8:$A$500=$A494)*('Budget original'!$C$3:$AO$3=Z$2),'Budget original'!$C$8:$AO$500)</f>
        <v>0</v>
      </c>
      <c r="AA494" s="439"/>
      <c r="AB494" s="439"/>
      <c r="AC494" s="87">
        <f>+SUMPRODUCT(('Budget révisé'!$A$8:$A$500=$A494)*('Budget révisé'!$C$3:$AO$3=AC$2),'Budget révisé'!$C$8:$AO$500)</f>
        <v>0</v>
      </c>
      <c r="AD494" s="439"/>
      <c r="AE494" s="178"/>
      <c r="AF494" s="87">
        <f>SUMIFS(BV_Data_An_Cour!$P:$P,BV_Data_An_Cour!$V:$V,$V494)</f>
        <v>0</v>
      </c>
      <c r="AG494" s="439"/>
      <c r="AH494" s="457">
        <f t="shared" si="286"/>
        <v>0</v>
      </c>
      <c r="AI494" s="97">
        <f t="shared" si="287"/>
        <v>0</v>
      </c>
      <c r="AJ494" s="439"/>
      <c r="AK494" s="439"/>
      <c r="AL494" s="87">
        <f>SUMIFS(BV_Data_An_Prec!$P:$P,BV_Data_An_Prec!$V:$V,$V494)</f>
        <v>0</v>
      </c>
      <c r="AM494" s="508"/>
      <c r="AN494" s="457">
        <f t="shared" si="288"/>
        <v>0</v>
      </c>
      <c r="AO494" s="214">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0"/>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original'!$A$8:$A$500=$A495)*('Budget original'!$C$3:$AO$3=Z$2),'Budget original'!$C$8:$AO$500)</f>
        <v>0</v>
      </c>
      <c r="AA495" s="439"/>
      <c r="AB495" s="439"/>
      <c r="AC495" s="87">
        <f>+SUMPRODUCT(('Budget révisé'!$A$8:$A$500=$A495)*('Budget révisé'!$C$3:$AO$3=AC$2),'Budget révisé'!$C$8:$AO$500)</f>
        <v>0</v>
      </c>
      <c r="AD495" s="439"/>
      <c r="AE495" s="178"/>
      <c r="AF495" s="87">
        <f>SUMIFS(BV_Data_An_Cour!$P:$P,BV_Data_An_Cour!$V:$V,$V495)</f>
        <v>0</v>
      </c>
      <c r="AG495" s="439"/>
      <c r="AH495" s="457">
        <f t="shared" si="286"/>
        <v>0</v>
      </c>
      <c r="AI495" s="97">
        <f t="shared" si="287"/>
        <v>0</v>
      </c>
      <c r="AJ495" s="439"/>
      <c r="AK495" s="439"/>
      <c r="AL495" s="87">
        <f>SUMIFS(BV_Data_An_Prec!$P:$P,BV_Data_An_Prec!$V:$V,$V495)</f>
        <v>0</v>
      </c>
      <c r="AM495" s="508"/>
      <c r="AN495" s="457">
        <f t="shared" si="288"/>
        <v>0</v>
      </c>
      <c r="AO495" s="214">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0"/>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original'!$A$2:$AO$500,MATCH($A496,'Budget original'!$A$2:$A$500,0),MATCH(F$2,'Budget original'!$A$2:$AO$2,0))</f>
        <v>0</v>
      </c>
      <c r="AA496" s="439"/>
      <c r="AB496" s="439"/>
      <c r="AC496" s="87">
        <f>+SUMPRODUCT(('Budget révisé'!$A$8:$A$500=$A496)*('Budget révisé'!$C$3:$AO$3=AC$2),'Budget révisé'!$C$8:$AO$500)</f>
        <v>0</v>
      </c>
      <c r="AD496" s="439"/>
      <c r="AE496" s="178"/>
      <c r="AF496" s="87">
        <f>SUMIFS(BV_Data_An_Cour!$P:$P,BV_Data_An_Cour!$V:$V,$V496)</f>
        <v>0</v>
      </c>
      <c r="AG496" s="439"/>
      <c r="AH496" s="457">
        <f t="shared" si="286"/>
        <v>0</v>
      </c>
      <c r="AI496" s="97">
        <f t="shared" si="287"/>
        <v>0</v>
      </c>
      <c r="AJ496" s="439"/>
      <c r="AK496" s="439"/>
      <c r="AL496" s="87">
        <f>SUMIFS(BV_Data_An_Prec!$P:$P,BV_Data_An_Prec!$V:$V,$V496)</f>
        <v>0</v>
      </c>
      <c r="AM496" s="508"/>
      <c r="AN496" s="457">
        <f t="shared" si="288"/>
        <v>0</v>
      </c>
      <c r="AO496" s="214">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0"/>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1.8484851252176444E-3</v>
      </c>
      <c r="Z497" s="491">
        <f>Z488-Z490-Z491-Z492-Z496</f>
        <v>5569.9254160686269</v>
      </c>
      <c r="AA497" s="489" t="s">
        <v>258</v>
      </c>
      <c r="AB497" s="490">
        <f>AC497/AC405</f>
        <v>1.8484851252176444E-3</v>
      </c>
      <c r="AC497" s="491">
        <f>AC488-AC490-AC491-AC492-AC496</f>
        <v>5569.9254160686269</v>
      </c>
      <c r="AD497" s="489" t="s">
        <v>258</v>
      </c>
      <c r="AE497" s="490">
        <f>AF497/AF405</f>
        <v>3.210639298644543E-2</v>
      </c>
      <c r="AF497" s="217">
        <f>AF488-AF490-AF491-AF492-AF496</f>
        <v>116061.05999999985</v>
      </c>
      <c r="AG497" s="492"/>
      <c r="AH497" s="492">
        <f>AF497-AC497</f>
        <v>110491.13458393123</v>
      </c>
      <c r="AI497" s="546">
        <f>AH497/AC497</f>
        <v>19.837094095582746</v>
      </c>
      <c r="AJ497" s="493" t="s">
        <v>258</v>
      </c>
      <c r="AK497" s="490">
        <f>IF($AL$405=0,0,AL497/$AL$405)</f>
        <v>-1.5681175209310286E-2</v>
      </c>
      <c r="AL497" s="217">
        <f>AL488-AL490-AL491-AL492-AL496</f>
        <v>-32869.019999999902</v>
      </c>
      <c r="AM497" s="218"/>
      <c r="AN497" s="217">
        <f>AF497-AL497</f>
        <v>148930.07999999975</v>
      </c>
      <c r="AO497" s="509">
        <f>IF(AL497=0,0,AN497/AL497)</f>
        <v>-4.5310167446428338</v>
      </c>
      <c r="AP497" s="101">
        <f>AF497-Print_Mois!AF497</f>
        <v>0</v>
      </c>
      <c r="AQ497" s="217">
        <v>2102964.3499999992</v>
      </c>
      <c r="AR497" s="217">
        <f>AF497-AQ497</f>
        <v>-1986903.2899999993</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0">+U498&amp;V498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5569.9254160686269</v>
      </c>
      <c r="AA499" s="79"/>
      <c r="AB499" s="79"/>
      <c r="AC499" s="101">
        <f>Z499</f>
        <v>5569.9254160686269</v>
      </c>
      <c r="AD499" s="79"/>
      <c r="AE499" s="79"/>
      <c r="AF499" s="126">
        <f>AF497</f>
        <v>116061.05999999985</v>
      </c>
      <c r="AG499" s="79"/>
      <c r="AH499" s="79"/>
      <c r="AI499" s="79"/>
      <c r="AJ499" s="79"/>
      <c r="AK499" s="79"/>
      <c r="AL499" s="79">
        <v>-32869.019999999997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21">
        <f>+Z497-Z499</f>
        <v>0</v>
      </c>
      <c r="AA500" s="79"/>
      <c r="AB500" s="79"/>
      <c r="AC500" s="1021">
        <f>+AC497-AC499</f>
        <v>0</v>
      </c>
      <c r="AD500" s="79"/>
      <c r="AE500" s="79"/>
      <c r="AF500" s="1021">
        <f>+AF497-AF499</f>
        <v>0</v>
      </c>
      <c r="AG500" s="79"/>
      <c r="AH500" s="79"/>
      <c r="AI500" s="79"/>
      <c r="AJ500" s="79"/>
      <c r="AK500" s="79"/>
      <c r="AL500" s="1021">
        <f>+AL497-AL499</f>
        <v>9.4587448984384537E-11</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L3" sqref="L3"/>
    </sheetView>
  </sheetViews>
  <sheetFormatPr baseColWidth="10" defaultColWidth="11" defaultRowHeight="14.25"/>
  <cols>
    <col min="1" max="2" width="11" style="1140"/>
    <col min="3" max="3" width="13.875" style="1140" bestFit="1" customWidth="1"/>
    <col min="4" max="4" width="23.625" style="1140" bestFit="1" customWidth="1"/>
    <col min="5" max="5" width="11.25" style="1256" customWidth="1"/>
    <col min="6" max="6" width="13.375" style="1256" bestFit="1" customWidth="1"/>
    <col min="7" max="7" width="21.125" style="1140" bestFit="1" customWidth="1"/>
    <col min="8" max="8" width="11.625" style="1140" customWidth="1"/>
    <col min="9" max="11" width="11" style="1134"/>
    <col min="12" max="12" width="12.375" style="1134" bestFit="1" customWidth="1"/>
    <col min="13" max="13" width="11" style="1134"/>
    <col min="14" max="16384" width="11" style="1131"/>
  </cols>
  <sheetData>
    <row r="1" spans="1:13" ht="15">
      <c r="A1" s="1132" t="s">
        <v>2924</v>
      </c>
      <c r="B1" s="1132" t="s">
        <v>5</v>
      </c>
      <c r="C1" s="1132" t="s">
        <v>2932</v>
      </c>
      <c r="D1" s="1132" t="s">
        <v>2933</v>
      </c>
      <c r="E1" s="1251" t="s">
        <v>2925</v>
      </c>
      <c r="F1" s="1251" t="s">
        <v>2926</v>
      </c>
      <c r="G1" s="1132" t="s">
        <v>2927</v>
      </c>
      <c r="H1" s="1133" t="s">
        <v>2928</v>
      </c>
      <c r="L1" s="1135" t="s">
        <v>2925</v>
      </c>
      <c r="M1" s="1135" t="s">
        <v>2926</v>
      </c>
    </row>
    <row r="2" spans="1:13" ht="15">
      <c r="A2" s="1136" t="s">
        <v>3170</v>
      </c>
      <c r="B2" s="1136" t="s">
        <v>2973</v>
      </c>
      <c r="C2" s="1142" t="s">
        <v>2971</v>
      </c>
      <c r="D2" s="1136" t="s">
        <v>2918</v>
      </c>
      <c r="E2" s="1257">
        <v>39088</v>
      </c>
      <c r="F2" s="1257">
        <v>-41407.800000000003</v>
      </c>
      <c r="G2" s="1136" t="s">
        <v>3171</v>
      </c>
      <c r="H2" s="1137">
        <v>5</v>
      </c>
      <c r="K2" s="1135" t="s">
        <v>2929</v>
      </c>
      <c r="L2" s="1138">
        <f>+SUM(E2:E10000)</f>
        <v>1018000.9699999999</v>
      </c>
      <c r="M2" s="1139">
        <f>+SUM(F2:F10000)</f>
        <v>-836052.14</v>
      </c>
    </row>
    <row r="3" spans="1:13">
      <c r="A3" s="1136" t="s">
        <v>3166</v>
      </c>
      <c r="B3" s="1136" t="s">
        <v>2973</v>
      </c>
      <c r="C3" s="1142" t="s">
        <v>2971</v>
      </c>
      <c r="D3" s="1136" t="s">
        <v>2918</v>
      </c>
      <c r="E3" s="1257">
        <v>37598</v>
      </c>
      <c r="F3" s="1257">
        <v>-39315.15</v>
      </c>
      <c r="G3" s="1136" t="s">
        <v>3167</v>
      </c>
      <c r="H3" s="1137">
        <v>7</v>
      </c>
      <c r="K3" s="1193" t="s">
        <v>3104</v>
      </c>
      <c r="L3" s="1134">
        <f>COUNT(E:E)</f>
        <v>25</v>
      </c>
    </row>
    <row r="4" spans="1:13">
      <c r="A4" s="1136" t="s">
        <v>3162</v>
      </c>
      <c r="B4" s="1136" t="s">
        <v>2973</v>
      </c>
      <c r="C4" s="1142" t="s">
        <v>2971</v>
      </c>
      <c r="D4" s="1136" t="s">
        <v>2911</v>
      </c>
      <c r="E4" s="1257">
        <v>36007</v>
      </c>
      <c r="F4" s="1257">
        <v>-38395.35</v>
      </c>
      <c r="G4" s="1136" t="s">
        <v>3163</v>
      </c>
      <c r="H4" s="1137">
        <v>10</v>
      </c>
    </row>
    <row r="5" spans="1:13">
      <c r="A5" s="1136" t="s">
        <v>3164</v>
      </c>
      <c r="B5" s="1136" t="s">
        <v>2973</v>
      </c>
      <c r="C5" s="1142" t="s">
        <v>2971</v>
      </c>
      <c r="D5" s="1136" t="s">
        <v>2911</v>
      </c>
      <c r="E5" s="1257">
        <v>37007</v>
      </c>
      <c r="F5" s="1257">
        <v>-39395.35</v>
      </c>
      <c r="G5" s="1136" t="s">
        <v>3165</v>
      </c>
      <c r="H5" s="1137">
        <v>10</v>
      </c>
    </row>
    <row r="6" spans="1:13">
      <c r="A6" s="1136" t="s">
        <v>3172</v>
      </c>
      <c r="B6" s="1136" t="s">
        <v>2973</v>
      </c>
      <c r="C6" s="1142" t="s">
        <v>2971</v>
      </c>
      <c r="D6" s="1136" t="s">
        <v>2918</v>
      </c>
      <c r="E6" s="1257">
        <v>42150</v>
      </c>
      <c r="F6" s="1257"/>
      <c r="G6" s="1136" t="s">
        <v>3173</v>
      </c>
      <c r="H6" s="1137">
        <v>10</v>
      </c>
    </row>
    <row r="7" spans="1:13">
      <c r="A7" s="1136" t="s">
        <v>3156</v>
      </c>
      <c r="B7" s="1136" t="s">
        <v>2973</v>
      </c>
      <c r="C7" s="1142" t="s">
        <v>2971</v>
      </c>
      <c r="D7" s="1136" t="s">
        <v>2911</v>
      </c>
      <c r="E7" s="1257">
        <v>29922</v>
      </c>
      <c r="F7" s="1257">
        <v>-31255.35</v>
      </c>
      <c r="G7" s="1136" t="s">
        <v>3157</v>
      </c>
      <c r="H7" s="1137">
        <v>13</v>
      </c>
    </row>
    <row r="8" spans="1:13">
      <c r="A8" s="1136" t="s">
        <v>3160</v>
      </c>
      <c r="B8" s="1136" t="s">
        <v>2973</v>
      </c>
      <c r="C8" s="1142" t="s">
        <v>2971</v>
      </c>
      <c r="D8" s="1136" t="s">
        <v>2911</v>
      </c>
      <c r="E8" s="1257">
        <v>35845.800000000003</v>
      </c>
      <c r="F8" s="1257">
        <v>-37914.449999999997</v>
      </c>
      <c r="G8" s="1136" t="s">
        <v>3161</v>
      </c>
      <c r="H8" s="1137">
        <v>13</v>
      </c>
    </row>
    <row r="9" spans="1:13">
      <c r="A9" s="1136" t="s">
        <v>3174</v>
      </c>
      <c r="B9" s="1136" t="s">
        <v>2973</v>
      </c>
      <c r="C9" s="1142" t="s">
        <v>2971</v>
      </c>
      <c r="D9" s="1136" t="s">
        <v>2918</v>
      </c>
      <c r="E9" s="1257">
        <v>42155</v>
      </c>
      <c r="F9" s="1257"/>
      <c r="G9" s="1136" t="s">
        <v>3175</v>
      </c>
      <c r="H9" s="1137">
        <v>13</v>
      </c>
    </row>
    <row r="10" spans="1:13">
      <c r="A10" s="1136" t="s">
        <v>3176</v>
      </c>
      <c r="B10" s="1136" t="s">
        <v>2973</v>
      </c>
      <c r="C10" s="1142" t="s">
        <v>2971</v>
      </c>
      <c r="D10" s="1136" t="s">
        <v>2916</v>
      </c>
      <c r="E10" s="1257">
        <v>45154</v>
      </c>
      <c r="F10" s="1257"/>
      <c r="G10" s="1136" t="s">
        <v>3177</v>
      </c>
      <c r="H10" s="1137">
        <v>14</v>
      </c>
    </row>
    <row r="11" spans="1:13">
      <c r="A11" s="1136" t="s">
        <v>3158</v>
      </c>
      <c r="B11" s="1136" t="s">
        <v>2973</v>
      </c>
      <c r="C11" s="1142" t="s">
        <v>2971</v>
      </c>
      <c r="D11" s="1136" t="s">
        <v>2911</v>
      </c>
      <c r="E11" s="1257">
        <v>29972</v>
      </c>
      <c r="F11" s="1257">
        <v>-31307.85</v>
      </c>
      <c r="G11" s="1136" t="s">
        <v>3159</v>
      </c>
      <c r="H11" s="1137">
        <v>17</v>
      </c>
    </row>
    <row r="12" spans="1:13">
      <c r="A12" s="1136" t="s">
        <v>3168</v>
      </c>
      <c r="B12" s="1136" t="s">
        <v>2973</v>
      </c>
      <c r="C12" s="1142" t="s">
        <v>2971</v>
      </c>
      <c r="D12" s="1136" t="s">
        <v>2911</v>
      </c>
      <c r="E12" s="1257">
        <v>37926.35</v>
      </c>
      <c r="F12" s="1257">
        <v>-38395.35</v>
      </c>
      <c r="G12" s="1136" t="s">
        <v>3169</v>
      </c>
      <c r="H12" s="1137">
        <v>21</v>
      </c>
    </row>
    <row r="13" spans="1:13">
      <c r="A13" s="1136" t="s">
        <v>3178</v>
      </c>
      <c r="B13" s="1136" t="s">
        <v>2973</v>
      </c>
      <c r="C13" s="1142" t="s">
        <v>2971</v>
      </c>
      <c r="D13" s="1136" t="s">
        <v>2916</v>
      </c>
      <c r="E13" s="1257">
        <v>47664.45</v>
      </c>
      <c r="F13" s="1257">
        <v>-48700.05</v>
      </c>
      <c r="G13" s="1136" t="s">
        <v>3179</v>
      </c>
      <c r="H13" s="1137">
        <v>26</v>
      </c>
    </row>
    <row r="14" spans="1:13">
      <c r="A14" s="1136" t="s">
        <v>3016</v>
      </c>
      <c r="B14" s="1136" t="s">
        <v>2973</v>
      </c>
      <c r="C14" s="1142" t="s">
        <v>2971</v>
      </c>
      <c r="D14" s="1136" t="s">
        <v>2918</v>
      </c>
      <c r="E14" s="1257">
        <v>34347.75</v>
      </c>
      <c r="F14" s="1257">
        <v>-35188.65</v>
      </c>
      <c r="G14" s="1136" t="s">
        <v>3017</v>
      </c>
      <c r="H14" s="1137">
        <v>68</v>
      </c>
    </row>
    <row r="15" spans="1:13">
      <c r="A15" s="1136" t="s">
        <v>3014</v>
      </c>
      <c r="B15" s="1136" t="s">
        <v>2972</v>
      </c>
      <c r="C15" s="1142" t="s">
        <v>2971</v>
      </c>
      <c r="D15" s="1136" t="s">
        <v>2918</v>
      </c>
      <c r="E15" s="1257">
        <v>41012.080000000002</v>
      </c>
      <c r="F15" s="1257">
        <v>-41026.65</v>
      </c>
      <c r="G15" s="1136" t="s">
        <v>3015</v>
      </c>
      <c r="H15" s="1137">
        <v>73</v>
      </c>
    </row>
    <row r="16" spans="1:13">
      <c r="A16" s="1136" t="s">
        <v>3012</v>
      </c>
      <c r="B16" s="1136" t="s">
        <v>2973</v>
      </c>
      <c r="C16" s="1142" t="s">
        <v>2971</v>
      </c>
      <c r="D16" s="1136" t="s">
        <v>2918</v>
      </c>
      <c r="E16" s="1257">
        <v>37534.75</v>
      </c>
      <c r="F16" s="1257">
        <v>-38397.449999999997</v>
      </c>
      <c r="G16" s="1136" t="s">
        <v>3013</v>
      </c>
      <c r="H16" s="1137">
        <v>74</v>
      </c>
    </row>
    <row r="17" spans="1:8">
      <c r="A17" s="1136" t="s">
        <v>3010</v>
      </c>
      <c r="B17" s="1136" t="s">
        <v>2973</v>
      </c>
      <c r="C17" s="1142" t="s">
        <v>2971</v>
      </c>
      <c r="D17" s="1136" t="s">
        <v>2916</v>
      </c>
      <c r="E17" s="1257">
        <v>52214.01</v>
      </c>
      <c r="F17" s="1257">
        <v>-48306.54</v>
      </c>
      <c r="G17" s="1136" t="s">
        <v>3011</v>
      </c>
      <c r="H17" s="1137">
        <v>86</v>
      </c>
    </row>
    <row r="18" spans="1:8">
      <c r="A18" s="1136" t="s">
        <v>3008</v>
      </c>
      <c r="B18" s="1136" t="s">
        <v>2973</v>
      </c>
      <c r="C18" s="1142" t="s">
        <v>2971</v>
      </c>
      <c r="D18" s="1136" t="s">
        <v>2918</v>
      </c>
      <c r="E18" s="1257">
        <v>37572.949999999997</v>
      </c>
      <c r="F18" s="1257">
        <v>-38397.449999999997</v>
      </c>
      <c r="G18" s="1136" t="s">
        <v>3009</v>
      </c>
      <c r="H18" s="1137">
        <v>87</v>
      </c>
    </row>
    <row r="19" spans="1:8">
      <c r="A19" s="1136" t="s">
        <v>3006</v>
      </c>
      <c r="B19" s="1136" t="s">
        <v>2973</v>
      </c>
      <c r="C19" s="1142" t="s">
        <v>2971</v>
      </c>
      <c r="D19" s="1136" t="s">
        <v>2918</v>
      </c>
      <c r="E19" s="1257">
        <v>36677.85</v>
      </c>
      <c r="F19" s="1257">
        <v>-38397.449999999997</v>
      </c>
      <c r="G19" s="1136" t="s">
        <v>3007</v>
      </c>
      <c r="H19" s="1137">
        <v>89</v>
      </c>
    </row>
    <row r="20" spans="1:8">
      <c r="A20" s="1136" t="s">
        <v>2980</v>
      </c>
      <c r="B20" s="1136" t="s">
        <v>2972</v>
      </c>
      <c r="C20" s="1142" t="s">
        <v>2971</v>
      </c>
      <c r="D20" s="1136" t="s">
        <v>2942</v>
      </c>
      <c r="E20" s="1257">
        <v>24958.57</v>
      </c>
      <c r="F20" s="1257">
        <v>-23085.63</v>
      </c>
      <c r="G20" s="1136" t="s">
        <v>2981</v>
      </c>
      <c r="H20" s="1137">
        <v>112</v>
      </c>
    </row>
    <row r="21" spans="1:8">
      <c r="A21" s="1136" t="s">
        <v>2979</v>
      </c>
      <c r="B21" s="1136" t="s">
        <v>2972</v>
      </c>
      <c r="C21" s="1142" t="s">
        <v>2971</v>
      </c>
      <c r="D21" s="1136" t="s">
        <v>2916</v>
      </c>
      <c r="E21" s="1257">
        <v>51571.66</v>
      </c>
      <c r="F21" s="1257">
        <v>-45143.7</v>
      </c>
      <c r="G21" s="1136" t="s">
        <v>2947</v>
      </c>
      <c r="H21" s="1137">
        <v>130</v>
      </c>
    </row>
    <row r="22" spans="1:8">
      <c r="A22" s="1136" t="s">
        <v>2943</v>
      </c>
      <c r="B22" s="1136" t="s">
        <v>2972</v>
      </c>
      <c r="C22" s="1142" t="s">
        <v>2971</v>
      </c>
      <c r="D22" s="1136" t="s">
        <v>2916</v>
      </c>
      <c r="E22" s="1257">
        <v>52943</v>
      </c>
      <c r="F22" s="1257">
        <v>-55427.4</v>
      </c>
      <c r="G22" s="1136" t="s">
        <v>2948</v>
      </c>
      <c r="H22" s="1137">
        <v>158</v>
      </c>
    </row>
    <row r="23" spans="1:8">
      <c r="A23" s="1136" t="s">
        <v>2944</v>
      </c>
      <c r="B23" s="1136" t="s">
        <v>2972</v>
      </c>
      <c r="C23" s="1142" t="s">
        <v>2971</v>
      </c>
      <c r="D23" s="1136" t="s">
        <v>2916</v>
      </c>
      <c r="E23" s="1257">
        <v>59155.92</v>
      </c>
      <c r="F23" s="1257">
        <v>-55965</v>
      </c>
      <c r="G23" s="1136" t="s">
        <v>2949</v>
      </c>
      <c r="H23" s="1137">
        <v>168</v>
      </c>
    </row>
    <row r="24" spans="1:8">
      <c r="A24" s="1136" t="s">
        <v>2945</v>
      </c>
      <c r="B24" s="1136" t="s">
        <v>2972</v>
      </c>
      <c r="C24" s="1142" t="s">
        <v>2971</v>
      </c>
      <c r="D24" s="1136" t="s">
        <v>2916</v>
      </c>
      <c r="E24" s="1257">
        <v>50036.480000000003</v>
      </c>
      <c r="F24" s="1257">
        <v>-46982.12</v>
      </c>
      <c r="G24" s="1136" t="s">
        <v>2950</v>
      </c>
      <c r="H24" s="1137">
        <v>173</v>
      </c>
    </row>
    <row r="25" spans="1:8">
      <c r="A25" s="1136" t="s">
        <v>2946</v>
      </c>
      <c r="B25" s="1136" t="s">
        <v>2972</v>
      </c>
      <c r="C25" s="1142" t="s">
        <v>2971</v>
      </c>
      <c r="D25" s="1136" t="s">
        <v>2941</v>
      </c>
      <c r="E25" s="1257">
        <v>25780.9</v>
      </c>
      <c r="F25" s="1257">
        <v>-23647.4</v>
      </c>
      <c r="G25" s="1136" t="s">
        <v>2951</v>
      </c>
      <c r="H25" s="1137">
        <v>179</v>
      </c>
    </row>
    <row r="26" spans="1:8">
      <c r="A26" s="1136" t="s">
        <v>3058</v>
      </c>
      <c r="B26" s="1136" t="s">
        <v>2972</v>
      </c>
      <c r="C26" s="1142" t="s">
        <v>2971</v>
      </c>
      <c r="D26" s="1136" t="s">
        <v>2916</v>
      </c>
      <c r="E26" s="1257">
        <v>53705.45</v>
      </c>
      <c r="F26" s="1257"/>
      <c r="G26" s="1136" t="s">
        <v>3059</v>
      </c>
      <c r="H26" s="1137">
        <v>180</v>
      </c>
    </row>
    <row r="27" spans="1:8">
      <c r="A27" s="1136"/>
      <c r="B27" s="1136"/>
      <c r="C27" s="1142"/>
      <c r="D27" s="1136"/>
      <c r="E27" s="1257"/>
      <c r="F27" s="1257"/>
      <c r="G27" s="1136"/>
      <c r="H27" s="1137"/>
    </row>
    <row r="28" spans="1:8">
      <c r="A28" s="1136"/>
      <c r="B28" s="1136"/>
      <c r="C28" s="1142"/>
      <c r="D28" s="1136"/>
      <c r="E28" s="1257"/>
      <c r="F28" s="1257"/>
      <c r="G28" s="1136"/>
      <c r="H28" s="1137"/>
    </row>
    <row r="29" spans="1:8">
      <c r="A29" s="1136"/>
      <c r="B29" s="1136"/>
      <c r="C29" s="1142"/>
      <c r="D29" s="1136"/>
      <c r="E29" s="1257"/>
      <c r="F29" s="1257"/>
      <c r="G29" s="1136"/>
      <c r="H29" s="1137"/>
    </row>
    <row r="30" spans="1:8">
      <c r="A30" s="1136"/>
      <c r="B30" s="1136"/>
      <c r="C30" s="1142"/>
      <c r="D30" s="1136"/>
      <c r="E30" s="1257"/>
      <c r="F30" s="1257"/>
      <c r="G30" s="1136"/>
      <c r="H30" s="1137"/>
    </row>
    <row r="31" spans="1:8">
      <c r="A31" s="1136"/>
      <c r="B31" s="1136"/>
      <c r="C31" s="1142"/>
      <c r="D31" s="1136"/>
      <c r="E31" s="1257"/>
      <c r="F31" s="1257"/>
      <c r="G31" s="1136"/>
      <c r="H31" s="1137"/>
    </row>
    <row r="32" spans="1:8">
      <c r="A32" s="1136"/>
      <c r="B32" s="1136"/>
      <c r="C32" s="1142"/>
      <c r="D32" s="1136"/>
      <c r="E32" s="1257"/>
      <c r="F32" s="1257"/>
      <c r="G32" s="1136"/>
      <c r="H32" s="1137"/>
    </row>
    <row r="33" spans="1:8">
      <c r="A33" s="1136"/>
      <c r="B33" s="1136"/>
      <c r="C33" s="1142"/>
      <c r="D33" s="1136"/>
      <c r="E33" s="1257"/>
      <c r="F33" s="1257"/>
      <c r="G33" s="1136"/>
      <c r="H33" s="1137"/>
    </row>
    <row r="34" spans="1:8">
      <c r="A34" s="1136"/>
      <c r="B34" s="1136"/>
      <c r="C34" s="1142"/>
      <c r="D34" s="1136"/>
      <c r="E34" s="1257"/>
      <c r="F34" s="1257"/>
      <c r="G34" s="1136"/>
      <c r="H34" s="1137"/>
    </row>
    <row r="35" spans="1:8">
      <c r="A35" s="1136"/>
      <c r="B35" s="1136"/>
      <c r="C35" s="1142"/>
      <c r="D35" s="1136"/>
      <c r="E35" s="1257"/>
      <c r="F35" s="1257"/>
      <c r="G35" s="1136"/>
      <c r="H35" s="1137"/>
    </row>
    <row r="36" spans="1:8">
      <c r="A36" s="1136"/>
      <c r="B36" s="1136"/>
      <c r="C36" s="1142"/>
      <c r="D36" s="1136"/>
      <c r="E36" s="1257"/>
      <c r="F36" s="1257"/>
      <c r="G36" s="1136"/>
      <c r="H36" s="1137"/>
    </row>
    <row r="37" spans="1:8">
      <c r="A37" s="1136"/>
      <c r="B37" s="1136"/>
      <c r="C37" s="1142"/>
      <c r="D37" s="1136"/>
      <c r="E37" s="1257"/>
      <c r="F37" s="1257"/>
      <c r="G37" s="1136"/>
      <c r="H37" s="1137"/>
    </row>
    <row r="38" spans="1:8">
      <c r="A38" s="1136"/>
      <c r="B38" s="1136"/>
      <c r="C38" s="1142"/>
      <c r="D38" s="1136"/>
      <c r="E38" s="1257"/>
      <c r="F38" s="1257"/>
      <c r="G38" s="1136"/>
      <c r="H38" s="1137"/>
    </row>
    <row r="39" spans="1:8">
      <c r="A39" s="1136"/>
      <c r="B39" s="1136"/>
      <c r="C39" s="1142"/>
      <c r="D39" s="1136"/>
      <c r="E39" s="1257"/>
      <c r="F39" s="1257"/>
      <c r="G39" s="1136"/>
      <c r="H39" s="1137"/>
    </row>
    <row r="40" spans="1:8">
      <c r="A40" s="1136"/>
      <c r="B40" s="1136"/>
      <c r="C40" s="1142"/>
      <c r="D40" s="1136"/>
      <c r="E40" s="1257"/>
      <c r="F40" s="1257"/>
      <c r="G40" s="1136"/>
      <c r="H40" s="1137"/>
    </row>
    <row r="41" spans="1:8">
      <c r="A41" s="1136"/>
      <c r="B41" s="1136"/>
      <c r="C41" s="1142"/>
      <c r="D41" s="1136"/>
      <c r="E41" s="1257"/>
      <c r="F41" s="1257"/>
      <c r="G41" s="1136"/>
      <c r="H41" s="1137"/>
    </row>
    <row r="42" spans="1:8">
      <c r="A42" s="1136"/>
      <c r="B42" s="1136"/>
      <c r="C42" s="1142"/>
      <c r="D42" s="1136"/>
      <c r="E42" s="1257"/>
      <c r="F42" s="1257"/>
      <c r="G42" s="1136"/>
      <c r="H42" s="1137"/>
    </row>
    <row r="43" spans="1:8">
      <c r="A43" s="1136"/>
      <c r="B43" s="1136"/>
      <c r="C43" s="1142"/>
      <c r="D43" s="1136"/>
      <c r="E43" s="1257"/>
      <c r="F43" s="1257"/>
      <c r="G43" s="1136"/>
      <c r="H43" s="1137"/>
    </row>
    <row r="44" spans="1:8">
      <c r="A44" s="1136"/>
      <c r="B44" s="1136"/>
      <c r="C44" s="1142"/>
      <c r="D44" s="1136"/>
      <c r="E44" s="1257"/>
      <c r="F44" s="1257"/>
      <c r="G44" s="1136"/>
      <c r="H44" s="1137"/>
    </row>
    <row r="45" spans="1:8">
      <c r="A45" s="1136"/>
      <c r="B45" s="1136"/>
      <c r="C45" s="1142"/>
      <c r="D45" s="1136"/>
      <c r="E45" s="1257"/>
      <c r="F45" s="1257"/>
      <c r="G45" s="1136"/>
      <c r="H45" s="1137"/>
    </row>
    <row r="46" spans="1:8">
      <c r="A46" s="1136"/>
      <c r="B46" s="1136"/>
      <c r="C46" s="1142"/>
      <c r="D46" s="1136"/>
      <c r="E46" s="1257"/>
      <c r="F46" s="1257"/>
      <c r="G46" s="1136"/>
      <c r="H46" s="1137"/>
    </row>
    <row r="47" spans="1:8">
      <c r="A47" s="1136"/>
      <c r="B47" s="1136"/>
      <c r="C47" s="1142"/>
      <c r="D47" s="1136"/>
      <c r="E47" s="1257"/>
      <c r="F47" s="1257"/>
      <c r="G47" s="1136"/>
      <c r="H47" s="1137"/>
    </row>
    <row r="48" spans="1:8">
      <c r="A48" s="1136"/>
      <c r="B48" s="1136"/>
      <c r="C48" s="1142"/>
      <c r="D48" s="1136"/>
      <c r="E48" s="1257"/>
      <c r="F48" s="1257"/>
      <c r="G48" s="1136"/>
      <c r="H48" s="1137"/>
    </row>
    <row r="49" spans="1:8">
      <c r="A49" s="1136"/>
      <c r="B49" s="1136"/>
      <c r="C49" s="1142"/>
      <c r="D49" s="1136"/>
      <c r="E49" s="1257"/>
      <c r="F49" s="1257"/>
      <c r="G49" s="1136"/>
      <c r="H49" s="1137"/>
    </row>
    <row r="50" spans="1:8">
      <c r="A50" s="1136"/>
      <c r="B50" s="1136"/>
      <c r="C50" s="1142"/>
      <c r="D50" s="1136"/>
      <c r="E50" s="1257"/>
      <c r="F50" s="1257"/>
      <c r="G50" s="1136"/>
      <c r="H50" s="1137"/>
    </row>
    <row r="51" spans="1:8">
      <c r="A51" s="1136"/>
      <c r="B51" s="1136"/>
      <c r="C51" s="1142"/>
      <c r="D51" s="1136"/>
      <c r="E51" s="1257"/>
      <c r="F51" s="1257"/>
      <c r="G51" s="1136"/>
      <c r="H51" s="1137"/>
    </row>
    <row r="52" spans="1:8">
      <c r="A52" s="1136"/>
      <c r="B52" s="1136"/>
      <c r="C52" s="1142"/>
      <c r="D52" s="1136"/>
      <c r="E52" s="1257"/>
      <c r="F52" s="1257"/>
      <c r="G52" s="1136"/>
      <c r="H52" s="1137"/>
    </row>
    <row r="53" spans="1:8">
      <c r="A53" s="1136"/>
      <c r="B53" s="1136"/>
      <c r="C53" s="1142"/>
      <c r="D53" s="1136"/>
      <c r="E53" s="1257"/>
      <c r="F53" s="1257"/>
      <c r="G53" s="1136"/>
      <c r="H53" s="1137"/>
    </row>
    <row r="54" spans="1:8">
      <c r="A54" s="1136"/>
      <c r="B54" s="1136"/>
      <c r="C54" s="1142"/>
      <c r="D54" s="1136"/>
      <c r="E54" s="1257"/>
      <c r="F54" s="1257"/>
      <c r="G54" s="1136"/>
      <c r="H54" s="1137"/>
    </row>
    <row r="55" spans="1:8">
      <c r="A55" s="1136"/>
      <c r="B55" s="1136"/>
      <c r="C55" s="1142"/>
      <c r="D55" s="1136"/>
      <c r="E55" s="1257"/>
      <c r="F55" s="1257"/>
      <c r="G55" s="1136"/>
      <c r="H55" s="1137"/>
    </row>
    <row r="56" spans="1:8">
      <c r="A56" s="1136"/>
      <c r="B56" s="1136"/>
      <c r="C56" s="1142"/>
      <c r="D56" s="1136"/>
      <c r="E56" s="1257"/>
      <c r="F56" s="1257"/>
      <c r="G56" s="1136"/>
      <c r="H56" s="1137"/>
    </row>
    <row r="57" spans="1:8">
      <c r="A57" s="1136"/>
      <c r="B57" s="1136"/>
      <c r="C57" s="1142"/>
      <c r="D57" s="1136"/>
      <c r="E57" s="1257"/>
      <c r="F57" s="1257"/>
      <c r="G57" s="1136"/>
      <c r="H57" s="1137"/>
    </row>
    <row r="58" spans="1:8">
      <c r="A58" s="1136"/>
      <c r="B58" s="1136"/>
      <c r="C58" s="1142"/>
      <c r="D58" s="1136"/>
      <c r="E58" s="1257"/>
      <c r="F58" s="1257"/>
      <c r="G58" s="1136"/>
      <c r="H58" s="1137"/>
    </row>
    <row r="59" spans="1:8">
      <c r="A59" s="1136"/>
      <c r="B59" s="1136"/>
      <c r="C59" s="1142"/>
      <c r="D59" s="1136"/>
      <c r="E59" s="1257"/>
      <c r="F59" s="1257"/>
      <c r="G59" s="1136"/>
      <c r="H59" s="1137"/>
    </row>
    <row r="60" spans="1:8">
      <c r="A60" s="1136"/>
      <c r="B60" s="1136"/>
      <c r="C60" s="1142"/>
      <c r="D60" s="1136"/>
      <c r="E60" s="1257"/>
      <c r="F60" s="1257"/>
      <c r="G60" s="1136"/>
      <c r="H60" s="1137"/>
    </row>
    <row r="61" spans="1:8">
      <c r="A61" s="1136"/>
      <c r="B61" s="1136"/>
      <c r="C61" s="1142"/>
      <c r="D61" s="1136"/>
      <c r="E61" s="1257"/>
      <c r="F61" s="1257"/>
      <c r="G61" s="1136"/>
      <c r="H61" s="1137"/>
    </row>
    <row r="62" spans="1:8">
      <c r="A62" s="1136"/>
      <c r="B62" s="1136"/>
      <c r="C62" s="1142"/>
      <c r="D62" s="1136"/>
      <c r="E62" s="1257"/>
      <c r="F62" s="1257"/>
      <c r="G62" s="1136"/>
      <c r="H62" s="1137"/>
    </row>
    <row r="63" spans="1:8">
      <c r="A63" s="1136"/>
      <c r="B63" s="1136"/>
      <c r="C63" s="1142"/>
      <c r="D63" s="1136"/>
      <c r="E63" s="1257"/>
      <c r="F63" s="1257"/>
      <c r="G63" s="1136"/>
      <c r="H63" s="1137"/>
    </row>
    <row r="64" spans="1:8">
      <c r="A64" s="1136"/>
      <c r="B64" s="1136"/>
      <c r="C64" s="1142"/>
      <c r="D64" s="1136"/>
      <c r="E64" s="1257"/>
      <c r="F64" s="1257"/>
      <c r="G64" s="1136"/>
      <c r="H64" s="1137"/>
    </row>
    <row r="65" spans="1:8">
      <c r="A65" s="1136"/>
      <c r="B65" s="1136"/>
      <c r="C65" s="1142"/>
      <c r="D65" s="1136"/>
      <c r="E65" s="1257"/>
      <c r="F65" s="1257"/>
      <c r="G65" s="1136"/>
      <c r="H65" s="1137"/>
    </row>
    <row r="66" spans="1:8">
      <c r="B66" s="1136"/>
      <c r="C66" s="1142"/>
    </row>
    <row r="67" spans="1:8">
      <c r="B67" s="1136"/>
      <c r="C67" s="1142"/>
    </row>
    <row r="68" spans="1:8">
      <c r="B68" s="1136"/>
      <c r="C68" s="1142"/>
    </row>
    <row r="69" spans="1:8">
      <c r="B69" s="1136"/>
      <c r="C69" s="1142"/>
    </row>
    <row r="70" spans="1:8">
      <c r="B70" s="1136"/>
      <c r="C70" s="1142"/>
    </row>
    <row r="71" spans="1:8">
      <c r="B71" s="1136"/>
      <c r="C71" s="1142"/>
    </row>
    <row r="72" spans="1:8">
      <c r="B72" s="1136"/>
      <c r="C72" s="1142"/>
    </row>
    <row r="73" spans="1:8">
      <c r="B73" s="1136"/>
      <c r="C73" s="1142"/>
    </row>
    <row r="74" spans="1:8">
      <c r="B74" s="1136"/>
      <c r="C74" s="1142"/>
    </row>
    <row r="75" spans="1:8">
      <c r="B75" s="1136"/>
      <c r="C75" s="1142"/>
    </row>
    <row r="76" spans="1:8">
      <c r="B76" s="1136"/>
      <c r="C76" s="1142"/>
    </row>
    <row r="77" spans="1:8">
      <c r="B77" s="1136"/>
      <c r="C77" s="1142"/>
    </row>
    <row r="78" spans="1:8">
      <c r="B78" s="1136"/>
      <c r="C78" s="1142"/>
    </row>
    <row r="79" spans="1:8">
      <c r="B79" s="1136"/>
      <c r="C79" s="1142"/>
    </row>
    <row r="80" spans="1:8">
      <c r="B80" s="1136"/>
      <c r="C80" s="1142"/>
    </row>
    <row r="81" spans="2:3">
      <c r="B81" s="1136"/>
      <c r="C81" s="1142"/>
    </row>
    <row r="82" spans="2:3">
      <c r="B82" s="1136"/>
      <c r="C82" s="1142"/>
    </row>
    <row r="83" spans="2:3">
      <c r="B83" s="1136"/>
      <c r="C83" s="1142"/>
    </row>
    <row r="84" spans="2:3">
      <c r="B84" s="1136"/>
      <c r="C84" s="1142"/>
    </row>
    <row r="85" spans="2:3">
      <c r="B85" s="1136"/>
      <c r="C85" s="1142"/>
    </row>
    <row r="86" spans="2:3">
      <c r="B86" s="1136"/>
      <c r="C86" s="1142"/>
    </row>
    <row r="87" spans="2:3">
      <c r="B87" s="1136"/>
      <c r="C87" s="1142"/>
    </row>
    <row r="88" spans="2:3">
      <c r="B88" s="1136"/>
      <c r="C88" s="1142"/>
    </row>
    <row r="89" spans="2:3">
      <c r="B89" s="1136"/>
      <c r="C89" s="1142"/>
    </row>
    <row r="90" spans="2:3">
      <c r="B90" s="1136"/>
      <c r="C90" s="1142"/>
    </row>
    <row r="91" spans="2:3">
      <c r="B91" s="1136"/>
      <c r="C91" s="1142"/>
    </row>
    <row r="92" spans="2:3">
      <c r="B92" s="1136"/>
      <c r="C92" s="1142"/>
    </row>
    <row r="93" spans="2:3">
      <c r="B93" s="1136"/>
      <c r="C93" s="1142"/>
    </row>
    <row r="94" spans="2:3">
      <c r="B94" s="1136"/>
      <c r="C94" s="1142"/>
    </row>
    <row r="95" spans="2:3">
      <c r="B95" s="1136"/>
      <c r="C95" s="1142"/>
    </row>
    <row r="96" spans="2:3">
      <c r="B96" s="1136"/>
      <c r="C96" s="1142"/>
    </row>
    <row r="97" spans="2:3">
      <c r="B97" s="1136"/>
      <c r="C97" s="1142"/>
    </row>
    <row r="98" spans="2:3">
      <c r="B98" s="1136"/>
      <c r="C98" s="1142"/>
    </row>
    <row r="99" spans="2:3">
      <c r="B99" s="1136"/>
      <c r="C99" s="1142"/>
    </row>
    <row r="100" spans="2:3">
      <c r="B100" s="1136"/>
      <c r="C100" s="1142"/>
    </row>
    <row r="101" spans="2:3">
      <c r="B101" s="1136"/>
      <c r="C101" s="1142"/>
    </row>
    <row r="102" spans="2:3">
      <c r="B102" s="1136"/>
      <c r="C102" s="1142"/>
    </row>
    <row r="103" spans="2:3">
      <c r="B103" s="1136"/>
      <c r="C103" s="1142"/>
    </row>
    <row r="104" spans="2:3">
      <c r="B104" s="1136"/>
      <c r="C104" s="1142"/>
    </row>
    <row r="105" spans="2:3">
      <c r="B105" s="1136"/>
      <c r="C105" s="1142"/>
    </row>
    <row r="106" spans="2:3">
      <c r="B106" s="1136"/>
      <c r="C106" s="1142"/>
    </row>
    <row r="107" spans="2:3">
      <c r="B107" s="1136"/>
      <c r="C107" s="1142"/>
    </row>
    <row r="108" spans="2:3">
      <c r="B108" s="1136"/>
      <c r="C108" s="1142"/>
    </row>
    <row r="109" spans="2:3">
      <c r="B109" s="1136"/>
      <c r="C109" s="1142"/>
    </row>
    <row r="110" spans="2:3">
      <c r="B110" s="1136"/>
      <c r="C110" s="1142"/>
    </row>
    <row r="111" spans="2:3">
      <c r="B111" s="1136"/>
      <c r="C111" s="1142"/>
    </row>
  </sheetData>
  <autoFilter ref="A1:H26" xr:uid="{00000000-0009-0000-0000-000008000000}">
    <sortState xmlns:xlrd2="http://schemas.microsoft.com/office/spreadsheetml/2017/richdata2" ref="A2:H26">
      <sortCondition ref="H1:H26"/>
    </sortState>
  </autoFilter>
  <phoneticPr fontId="86" type="noConversion"/>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3"/>
  <sheetViews>
    <sheetView workbookViewId="0">
      <selection activeCell="L2" sqref="L2"/>
    </sheetView>
  </sheetViews>
  <sheetFormatPr baseColWidth="10" defaultColWidth="11" defaultRowHeight="14.25"/>
  <cols>
    <col min="1" max="2" width="11" style="1140"/>
    <col min="3" max="3" width="16.625" style="1140" bestFit="1" customWidth="1"/>
    <col min="4" max="4" width="16.625" style="1140" customWidth="1"/>
    <col min="5" max="5" width="12" style="1256" bestFit="1" customWidth="1"/>
    <col min="6" max="6" width="12.625" style="1256" bestFit="1" customWidth="1"/>
    <col min="7" max="7" width="20" style="1140" bestFit="1" customWidth="1"/>
    <col min="8" max="8" width="11" style="1140"/>
    <col min="9" max="13" width="11" style="1134"/>
    <col min="14" max="16384" width="11" style="1131"/>
  </cols>
  <sheetData>
    <row r="1" spans="1:13" ht="15">
      <c r="A1" s="1132" t="s">
        <v>2924</v>
      </c>
      <c r="B1" s="1132" t="s">
        <v>5</v>
      </c>
      <c r="C1" s="1132" t="s">
        <v>2932</v>
      </c>
      <c r="D1" s="1132" t="s">
        <v>2933</v>
      </c>
      <c r="E1" s="1251" t="s">
        <v>2930</v>
      </c>
      <c r="F1" s="1251" t="s">
        <v>2931</v>
      </c>
      <c r="G1" s="1132" t="s">
        <v>2927</v>
      </c>
      <c r="H1" s="1133" t="s">
        <v>2928</v>
      </c>
      <c r="L1" s="1135" t="s">
        <v>2925</v>
      </c>
      <c r="M1" s="1135" t="s">
        <v>2926</v>
      </c>
    </row>
    <row r="2" spans="1:13" ht="15">
      <c r="A2" s="1150" t="s">
        <v>2952</v>
      </c>
      <c r="B2" s="1152" t="s">
        <v>2982</v>
      </c>
      <c r="C2" s="1150" t="s">
        <v>2970</v>
      </c>
      <c r="D2" s="1150" t="s">
        <v>2953</v>
      </c>
      <c r="E2" s="1254">
        <v>8469.2099999999991</v>
      </c>
      <c r="F2" s="1252"/>
      <c r="G2" s="1150" t="s">
        <v>2954</v>
      </c>
      <c r="H2" s="1151">
        <v>342</v>
      </c>
      <c r="K2" s="1135" t="s">
        <v>2929</v>
      </c>
      <c r="L2" s="1138">
        <f>+SUM(E2:E9999)</f>
        <v>1977278.2099999997</v>
      </c>
      <c r="M2" s="1139">
        <f>+SUM(F2:F9999)</f>
        <v>-938796.34</v>
      </c>
    </row>
    <row r="3" spans="1:13">
      <c r="A3" s="1150" t="s">
        <v>2959</v>
      </c>
      <c r="B3" s="1152" t="s">
        <v>2985</v>
      </c>
      <c r="C3" s="1150" t="s">
        <v>2971</v>
      </c>
      <c r="D3" s="1150" t="s">
        <v>2916</v>
      </c>
      <c r="E3" s="1254">
        <v>41656.99</v>
      </c>
      <c r="F3" s="1192">
        <v>-38923.199999999997</v>
      </c>
      <c r="G3" s="1150" t="s">
        <v>2969</v>
      </c>
      <c r="H3" s="1151">
        <v>200</v>
      </c>
      <c r="K3" s="1193" t="s">
        <v>3104</v>
      </c>
      <c r="L3" s="1134">
        <f>COUNT(E:E)</f>
        <v>89</v>
      </c>
    </row>
    <row r="4" spans="1:13">
      <c r="A4" s="1150" t="s">
        <v>2958</v>
      </c>
      <c r="B4" s="1152" t="s">
        <v>2985</v>
      </c>
      <c r="C4" s="1150" t="s">
        <v>2971</v>
      </c>
      <c r="D4" s="1150" t="s">
        <v>2963</v>
      </c>
      <c r="E4" s="1254">
        <v>32757.91</v>
      </c>
      <c r="F4" s="1192"/>
      <c r="G4" s="1150" t="s">
        <v>2968</v>
      </c>
      <c r="H4" s="1151">
        <v>145</v>
      </c>
    </row>
    <row r="5" spans="1:13">
      <c r="A5" s="1150" t="s">
        <v>2957</v>
      </c>
      <c r="B5" s="1152" t="s">
        <v>2987</v>
      </c>
      <c r="C5" s="1150" t="s">
        <v>2971</v>
      </c>
      <c r="D5" s="1150" t="s">
        <v>2963</v>
      </c>
      <c r="E5" s="1254">
        <v>24301.39</v>
      </c>
      <c r="F5" s="1192"/>
      <c r="G5" s="1150" t="s">
        <v>2967</v>
      </c>
      <c r="H5" s="1151">
        <v>137</v>
      </c>
    </row>
    <row r="6" spans="1:13">
      <c r="A6" s="1150" t="s">
        <v>3060</v>
      </c>
      <c r="B6" s="1152" t="s">
        <v>3061</v>
      </c>
      <c r="C6" s="1150" t="s">
        <v>2934</v>
      </c>
      <c r="D6" s="1150" t="s">
        <v>3062</v>
      </c>
      <c r="E6" s="1254">
        <v>1415</v>
      </c>
      <c r="F6" s="1192"/>
      <c r="G6" s="1150" t="s">
        <v>3063</v>
      </c>
      <c r="H6" s="1151">
        <v>136</v>
      </c>
    </row>
    <row r="7" spans="1:13">
      <c r="A7" s="1150" t="s">
        <v>2956</v>
      </c>
      <c r="B7" s="1152" t="s">
        <v>2985</v>
      </c>
      <c r="C7" s="1150" t="s">
        <v>2971</v>
      </c>
      <c r="D7" s="1150" t="s">
        <v>2942</v>
      </c>
      <c r="E7" s="1254">
        <v>18297.63</v>
      </c>
      <c r="F7" s="1252">
        <v>-14680.07</v>
      </c>
      <c r="G7" s="1150" t="s">
        <v>2966</v>
      </c>
      <c r="H7" s="1151">
        <v>124</v>
      </c>
    </row>
    <row r="8" spans="1:13">
      <c r="A8" s="1150" t="s">
        <v>2955</v>
      </c>
      <c r="B8" s="1152" t="s">
        <v>2988</v>
      </c>
      <c r="C8" s="1150" t="s">
        <v>2971</v>
      </c>
      <c r="D8" s="1150" t="s">
        <v>2960</v>
      </c>
      <c r="E8" s="1254">
        <v>27322.59</v>
      </c>
      <c r="F8" s="1192">
        <v>-28250.19</v>
      </c>
      <c r="G8" s="1150" t="s">
        <v>2965</v>
      </c>
      <c r="H8" s="1151">
        <v>123</v>
      </c>
    </row>
    <row r="9" spans="1:13">
      <c r="A9" s="1150" t="s">
        <v>2989</v>
      </c>
      <c r="B9" s="1152" t="s">
        <v>2985</v>
      </c>
      <c r="C9" s="1150" t="s">
        <v>2971</v>
      </c>
      <c r="D9" s="1150" t="s">
        <v>2963</v>
      </c>
      <c r="E9" s="1254">
        <v>30475.52</v>
      </c>
      <c r="F9" s="1253">
        <v>-26100</v>
      </c>
      <c r="G9" s="1150" t="s">
        <v>2990</v>
      </c>
      <c r="H9" s="1151">
        <v>118</v>
      </c>
    </row>
    <row r="10" spans="1:13">
      <c r="A10" s="1150" t="s">
        <v>2991</v>
      </c>
      <c r="B10" s="1152" t="s">
        <v>2985</v>
      </c>
      <c r="C10" s="1150" t="s">
        <v>2971</v>
      </c>
      <c r="D10" s="1150" t="s">
        <v>2942</v>
      </c>
      <c r="E10" s="1254">
        <v>18977.23</v>
      </c>
      <c r="F10" s="1253">
        <v>-14850</v>
      </c>
      <c r="G10" s="1150" t="s">
        <v>2992</v>
      </c>
      <c r="H10" s="1151">
        <v>109</v>
      </c>
    </row>
    <row r="11" spans="1:13">
      <c r="A11" s="1150" t="s">
        <v>2993</v>
      </c>
      <c r="B11" s="1152" t="s">
        <v>2983</v>
      </c>
      <c r="C11" s="1150" t="s">
        <v>2971</v>
      </c>
      <c r="D11" s="1150" t="s">
        <v>2964</v>
      </c>
      <c r="E11" s="1254">
        <v>22850.67</v>
      </c>
      <c r="F11" s="1192"/>
      <c r="G11" s="1150" t="s">
        <v>2994</v>
      </c>
      <c r="H11" s="1151">
        <v>108</v>
      </c>
    </row>
    <row r="12" spans="1:13">
      <c r="A12" s="1150" t="s">
        <v>2995</v>
      </c>
      <c r="B12" s="1152" t="s">
        <v>2983</v>
      </c>
      <c r="C12" s="1150" t="s">
        <v>2971</v>
      </c>
      <c r="D12" s="1150" t="s">
        <v>2918</v>
      </c>
      <c r="E12" s="1254">
        <v>19157.59</v>
      </c>
      <c r="F12" s="1192">
        <v>-18083.43</v>
      </c>
      <c r="G12" s="1150" t="s">
        <v>2996</v>
      </c>
      <c r="H12" s="1151">
        <v>105</v>
      </c>
    </row>
    <row r="13" spans="1:13">
      <c r="A13" s="1150" t="s">
        <v>2998</v>
      </c>
      <c r="B13" s="1152" t="s">
        <v>2987</v>
      </c>
      <c r="C13" s="1150" t="s">
        <v>2971</v>
      </c>
      <c r="D13" s="1150" t="s">
        <v>2961</v>
      </c>
      <c r="E13" s="1254">
        <v>10128.790000000001</v>
      </c>
      <c r="F13" s="1192">
        <v>-8100</v>
      </c>
      <c r="G13" s="1150" t="s">
        <v>2999</v>
      </c>
      <c r="H13" s="1151">
        <v>98</v>
      </c>
    </row>
    <row r="14" spans="1:13">
      <c r="A14" s="1150" t="s">
        <v>3001</v>
      </c>
      <c r="B14" s="1152" t="s">
        <v>2985</v>
      </c>
      <c r="C14" s="1150" t="s">
        <v>2971</v>
      </c>
      <c r="D14" s="1150" t="s">
        <v>2942</v>
      </c>
      <c r="E14" s="1254">
        <v>13963.51</v>
      </c>
      <c r="F14" s="1252">
        <v>-12162.11</v>
      </c>
      <c r="G14" s="1150" t="s">
        <v>3002</v>
      </c>
      <c r="H14" s="1151">
        <v>95</v>
      </c>
    </row>
    <row r="15" spans="1:13">
      <c r="A15" s="1150" t="s">
        <v>3018</v>
      </c>
      <c r="B15" s="1152" t="s">
        <v>2983</v>
      </c>
      <c r="C15" s="1150" t="s">
        <v>2971</v>
      </c>
      <c r="D15" s="1150" t="s">
        <v>2960</v>
      </c>
      <c r="E15" s="1254">
        <v>24504.799999999999</v>
      </c>
      <c r="F15" s="1254">
        <v>-20744</v>
      </c>
      <c r="G15" s="1150" t="s">
        <v>3019</v>
      </c>
      <c r="H15" s="1151">
        <v>87</v>
      </c>
    </row>
    <row r="16" spans="1:13">
      <c r="A16" s="1150" t="s">
        <v>3020</v>
      </c>
      <c r="B16" s="1152" t="s">
        <v>2983</v>
      </c>
      <c r="C16" s="1150" t="s">
        <v>2971</v>
      </c>
      <c r="D16" s="1150" t="s">
        <v>2918</v>
      </c>
      <c r="E16" s="1254">
        <v>22903.65</v>
      </c>
      <c r="F16" s="1253"/>
      <c r="G16" s="1150" t="s">
        <v>3021</v>
      </c>
      <c r="H16" s="1151">
        <v>84</v>
      </c>
    </row>
    <row r="17" spans="1:8">
      <c r="A17" s="1150" t="s">
        <v>3022</v>
      </c>
      <c r="B17" s="1152" t="s">
        <v>2985</v>
      </c>
      <c r="C17" s="1150" t="s">
        <v>2971</v>
      </c>
      <c r="D17" s="1150" t="s">
        <v>2918</v>
      </c>
      <c r="E17" s="1254">
        <v>30959.14</v>
      </c>
      <c r="F17" s="1192">
        <v>-26730</v>
      </c>
      <c r="G17" s="1150" t="s">
        <v>3023</v>
      </c>
      <c r="H17" s="1151">
        <v>83</v>
      </c>
    </row>
    <row r="18" spans="1:8">
      <c r="A18" s="1150" t="s">
        <v>3024</v>
      </c>
      <c r="B18" s="1152" t="s">
        <v>2983</v>
      </c>
      <c r="C18" s="1150" t="s">
        <v>2935</v>
      </c>
      <c r="D18" s="1150" t="s">
        <v>3003</v>
      </c>
      <c r="E18" s="1254">
        <v>14165</v>
      </c>
      <c r="F18" s="1252">
        <v>-12090.92</v>
      </c>
      <c r="G18" s="1150" t="s">
        <v>3025</v>
      </c>
      <c r="H18" s="1151">
        <v>82</v>
      </c>
    </row>
    <row r="19" spans="1:8">
      <c r="A19" s="1150" t="s">
        <v>3026</v>
      </c>
      <c r="B19" s="1152" t="s">
        <v>2985</v>
      </c>
      <c r="C19" s="1150" t="s">
        <v>2971</v>
      </c>
      <c r="D19" s="1150" t="s">
        <v>2942</v>
      </c>
      <c r="E19" s="1254">
        <v>15106.55</v>
      </c>
      <c r="F19" s="1192">
        <v>-19620.240000000002</v>
      </c>
      <c r="G19" s="1150" t="s">
        <v>3027</v>
      </c>
      <c r="H19" s="1151">
        <v>82</v>
      </c>
    </row>
    <row r="20" spans="1:8">
      <c r="A20" s="1150" t="s">
        <v>3028</v>
      </c>
      <c r="B20" s="1152" t="s">
        <v>2985</v>
      </c>
      <c r="C20" s="1150" t="s">
        <v>2971</v>
      </c>
      <c r="D20" s="1150" t="s">
        <v>2941</v>
      </c>
      <c r="E20" s="1254">
        <v>16324.88</v>
      </c>
      <c r="F20" s="1254"/>
      <c r="G20" s="1150" t="s">
        <v>3029</v>
      </c>
      <c r="H20" s="1151">
        <v>80</v>
      </c>
    </row>
    <row r="21" spans="1:8">
      <c r="A21" s="1150" t="s">
        <v>3030</v>
      </c>
      <c r="B21" s="1152" t="s">
        <v>2983</v>
      </c>
      <c r="C21" s="1150" t="s">
        <v>2971</v>
      </c>
      <c r="D21" s="1150" t="s">
        <v>2916</v>
      </c>
      <c r="E21" s="1254">
        <v>24333.09</v>
      </c>
      <c r="F21" s="1254">
        <v>-20303.53</v>
      </c>
      <c r="G21" s="1150" t="s">
        <v>3031</v>
      </c>
      <c r="H21" s="1151">
        <v>76</v>
      </c>
    </row>
    <row r="22" spans="1:8">
      <c r="A22" s="1150" t="s">
        <v>3032</v>
      </c>
      <c r="B22" s="1152" t="s">
        <v>2985</v>
      </c>
      <c r="C22" s="1150" t="s">
        <v>2971</v>
      </c>
      <c r="D22" s="1150" t="s">
        <v>2942</v>
      </c>
      <c r="E22" s="1254">
        <v>30888.78</v>
      </c>
      <c r="F22" s="1192">
        <v>-28195.17</v>
      </c>
      <c r="G22" s="1150" t="s">
        <v>3033</v>
      </c>
      <c r="H22" s="1151">
        <v>75</v>
      </c>
    </row>
    <row r="23" spans="1:8">
      <c r="A23" s="1150" t="s">
        <v>3034</v>
      </c>
      <c r="B23" s="1152" t="s">
        <v>2983</v>
      </c>
      <c r="C23" s="1150" t="s">
        <v>2971</v>
      </c>
      <c r="D23" s="1150" t="s">
        <v>2960</v>
      </c>
      <c r="E23" s="1254">
        <v>23670</v>
      </c>
      <c r="F23" s="1252">
        <v>-20700</v>
      </c>
      <c r="G23" s="1150" t="s">
        <v>3035</v>
      </c>
      <c r="H23" s="1151">
        <v>70</v>
      </c>
    </row>
    <row r="24" spans="1:8">
      <c r="A24" s="1150" t="s">
        <v>3036</v>
      </c>
      <c r="B24" s="1152" t="s">
        <v>2983</v>
      </c>
      <c r="C24" s="1150" t="s">
        <v>2971</v>
      </c>
      <c r="D24" s="1150" t="s">
        <v>2918</v>
      </c>
      <c r="E24" s="1254">
        <v>21755.55</v>
      </c>
      <c r="F24" s="1192">
        <v>-16872.72</v>
      </c>
      <c r="G24" s="1150" t="s">
        <v>3037</v>
      </c>
      <c r="H24" s="1151">
        <v>69</v>
      </c>
    </row>
    <row r="25" spans="1:8">
      <c r="A25" s="1150" t="s">
        <v>3038</v>
      </c>
      <c r="B25" s="1152" t="s">
        <v>2972</v>
      </c>
      <c r="C25" s="1150" t="s">
        <v>2971</v>
      </c>
      <c r="D25" s="1150" t="s">
        <v>3039</v>
      </c>
      <c r="E25" s="1254">
        <v>52282.04</v>
      </c>
      <c r="F25" s="1253">
        <v>-51240.59</v>
      </c>
      <c r="G25" s="1150" t="s">
        <v>3040</v>
      </c>
      <c r="H25" s="1151">
        <v>67</v>
      </c>
    </row>
    <row r="26" spans="1:8">
      <c r="A26" s="1150" t="s">
        <v>3047</v>
      </c>
      <c r="B26" s="1152" t="s">
        <v>2983</v>
      </c>
      <c r="C26" s="1150" t="s">
        <v>2971</v>
      </c>
      <c r="D26" s="1150" t="s">
        <v>2916</v>
      </c>
      <c r="E26" s="1254">
        <v>30300.79</v>
      </c>
      <c r="F26" s="1192">
        <v>-19845</v>
      </c>
      <c r="G26" s="1150" t="s">
        <v>3048</v>
      </c>
      <c r="H26" s="1151">
        <v>62</v>
      </c>
    </row>
    <row r="27" spans="1:8">
      <c r="A27" s="1150" t="s">
        <v>3044</v>
      </c>
      <c r="B27" s="1152" t="s">
        <v>2983</v>
      </c>
      <c r="C27" s="1150" t="s">
        <v>2934</v>
      </c>
      <c r="D27" s="1150" t="s">
        <v>2962</v>
      </c>
      <c r="E27" s="1254">
        <v>15714.65</v>
      </c>
      <c r="F27" s="1254"/>
      <c r="G27" s="1150" t="s">
        <v>3045</v>
      </c>
      <c r="H27" s="1151">
        <v>61</v>
      </c>
    </row>
    <row r="28" spans="1:8">
      <c r="A28" s="1150" t="s">
        <v>3088</v>
      </c>
      <c r="B28" s="1152" t="s">
        <v>2985</v>
      </c>
      <c r="C28" s="1150" t="s">
        <v>2971</v>
      </c>
      <c r="D28" s="1150" t="s">
        <v>2960</v>
      </c>
      <c r="E28" s="1254">
        <v>29905.25</v>
      </c>
      <c r="F28" s="1192">
        <v>-25650</v>
      </c>
      <c r="G28" s="1150" t="s">
        <v>3089</v>
      </c>
      <c r="H28" s="1151">
        <v>61</v>
      </c>
    </row>
    <row r="29" spans="1:8">
      <c r="A29" s="1150" t="s">
        <v>3041</v>
      </c>
      <c r="B29" s="1152" t="s">
        <v>2985</v>
      </c>
      <c r="C29" s="1150" t="s">
        <v>2971</v>
      </c>
      <c r="D29" s="1150" t="s">
        <v>2942</v>
      </c>
      <c r="E29" s="1254">
        <v>19432.54</v>
      </c>
      <c r="F29" s="1255">
        <v>-23113.22</v>
      </c>
      <c r="G29" s="1150" t="s">
        <v>3042</v>
      </c>
      <c r="H29" s="1151">
        <v>60</v>
      </c>
    </row>
    <row r="30" spans="1:8">
      <c r="A30" s="1150" t="s">
        <v>3086</v>
      </c>
      <c r="B30" s="1152" t="s">
        <v>2985</v>
      </c>
      <c r="C30" s="1150" t="s">
        <v>2971</v>
      </c>
      <c r="D30" s="1150" t="s">
        <v>2942</v>
      </c>
      <c r="E30" s="1254">
        <v>18017.64</v>
      </c>
      <c r="F30" s="1255">
        <v>-15435</v>
      </c>
      <c r="G30" s="1150" t="s">
        <v>3087</v>
      </c>
      <c r="H30" s="1151">
        <v>56</v>
      </c>
    </row>
    <row r="31" spans="1:8">
      <c r="A31" s="1150" t="s">
        <v>3090</v>
      </c>
      <c r="B31" s="1152" t="s">
        <v>2987</v>
      </c>
      <c r="C31" s="1150" t="s">
        <v>2971</v>
      </c>
      <c r="D31" s="1150" t="s">
        <v>3091</v>
      </c>
      <c r="E31" s="1254">
        <v>32859.93</v>
      </c>
      <c r="F31" s="1255">
        <v>-26100</v>
      </c>
      <c r="G31" s="1150" t="s">
        <v>3092</v>
      </c>
      <c r="H31" s="1151">
        <v>56</v>
      </c>
    </row>
    <row r="32" spans="1:8">
      <c r="A32" s="1150" t="s">
        <v>3074</v>
      </c>
      <c r="B32" s="1152" t="s">
        <v>3000</v>
      </c>
      <c r="C32" s="1150" t="s">
        <v>2997</v>
      </c>
      <c r="D32" s="1150" t="s">
        <v>3046</v>
      </c>
      <c r="E32" s="1254">
        <v>7915</v>
      </c>
      <c r="F32" s="1192"/>
      <c r="G32" s="1150" t="s">
        <v>3075</v>
      </c>
      <c r="H32" s="1151">
        <v>54</v>
      </c>
    </row>
    <row r="33" spans="1:8">
      <c r="A33" s="1150" t="s">
        <v>3093</v>
      </c>
      <c r="B33" s="1152" t="s">
        <v>2983</v>
      </c>
      <c r="C33" s="1150" t="s">
        <v>2971</v>
      </c>
      <c r="D33" s="1150" t="s">
        <v>2918</v>
      </c>
      <c r="E33" s="1254">
        <v>17821.169999999998</v>
      </c>
      <c r="F33" s="1192">
        <v>-16477.13</v>
      </c>
      <c r="G33" s="1150" t="s">
        <v>3094</v>
      </c>
      <c r="H33" s="1151">
        <v>52</v>
      </c>
    </row>
    <row r="34" spans="1:8">
      <c r="A34" s="1150" t="s">
        <v>3082</v>
      </c>
      <c r="B34" s="1152" t="s">
        <v>2985</v>
      </c>
      <c r="C34" s="1150" t="s">
        <v>2971</v>
      </c>
      <c r="D34" s="1150" t="s">
        <v>2941</v>
      </c>
      <c r="E34" s="1254">
        <v>18574.439999999999</v>
      </c>
      <c r="F34" s="1252">
        <v>-16672.419999999998</v>
      </c>
      <c r="G34" s="1150" t="s">
        <v>3083</v>
      </c>
      <c r="H34" s="1151">
        <v>46</v>
      </c>
    </row>
    <row r="35" spans="1:8">
      <c r="A35" s="1150" t="s">
        <v>3076</v>
      </c>
      <c r="B35" s="1152" t="s">
        <v>2985</v>
      </c>
      <c r="C35" s="1150" t="s">
        <v>2971</v>
      </c>
      <c r="D35" s="1150" t="s">
        <v>2942</v>
      </c>
      <c r="E35" s="1254">
        <v>16580.939999999999</v>
      </c>
      <c r="F35" s="1252">
        <v>-14749.6</v>
      </c>
      <c r="G35" s="1150" t="s">
        <v>3077</v>
      </c>
      <c r="H35" s="1151">
        <v>45</v>
      </c>
    </row>
    <row r="36" spans="1:8">
      <c r="A36" s="1150" t="s">
        <v>3064</v>
      </c>
      <c r="B36" s="1152" t="s">
        <v>2983</v>
      </c>
      <c r="C36" s="1150" t="s">
        <v>2971</v>
      </c>
      <c r="D36" s="1150" t="s">
        <v>2918</v>
      </c>
      <c r="E36" s="1254">
        <v>20572.240000000002</v>
      </c>
      <c r="F36" s="1253">
        <v>-18938.86</v>
      </c>
      <c r="G36" s="1150" t="s">
        <v>3065</v>
      </c>
      <c r="H36" s="1151">
        <v>45</v>
      </c>
    </row>
    <row r="37" spans="1:8">
      <c r="A37" s="1150" t="s">
        <v>3080</v>
      </c>
      <c r="B37" s="1152" t="s">
        <v>2983</v>
      </c>
      <c r="C37" s="1150" t="s">
        <v>2971</v>
      </c>
      <c r="D37" s="1150" t="s">
        <v>2918</v>
      </c>
      <c r="E37" s="1254">
        <v>23961.21</v>
      </c>
      <c r="F37" s="1253">
        <v>-17472</v>
      </c>
      <c r="G37" s="1150" t="s">
        <v>3081</v>
      </c>
      <c r="H37" s="1151">
        <v>45</v>
      </c>
    </row>
    <row r="38" spans="1:8">
      <c r="A38" s="1150" t="s">
        <v>3084</v>
      </c>
      <c r="B38" s="1152" t="s">
        <v>2983</v>
      </c>
      <c r="C38" s="1150" t="s">
        <v>2971</v>
      </c>
      <c r="D38" s="1150" t="s">
        <v>2941</v>
      </c>
      <c r="E38" s="1254">
        <v>16302.04</v>
      </c>
      <c r="F38" s="1253">
        <v>-12452</v>
      </c>
      <c r="G38" s="1150" t="s">
        <v>3085</v>
      </c>
      <c r="H38" s="1151">
        <v>42</v>
      </c>
    </row>
    <row r="39" spans="1:8">
      <c r="A39" s="1150" t="s">
        <v>3095</v>
      </c>
      <c r="B39" s="1152" t="s">
        <v>2983</v>
      </c>
      <c r="C39" s="1150" t="s">
        <v>2971</v>
      </c>
      <c r="D39" s="1150" t="s">
        <v>2916</v>
      </c>
      <c r="E39" s="1254">
        <v>33162.28</v>
      </c>
      <c r="F39" s="1192">
        <v>-28350</v>
      </c>
      <c r="G39" s="1150" t="s">
        <v>3096</v>
      </c>
      <c r="H39" s="1151">
        <v>42</v>
      </c>
    </row>
    <row r="40" spans="1:8">
      <c r="A40" s="1150" t="s">
        <v>3098</v>
      </c>
      <c r="B40" s="1152" t="s">
        <v>2985</v>
      </c>
      <c r="C40" s="1150" t="s">
        <v>2971</v>
      </c>
      <c r="D40" s="1150" t="s">
        <v>2942</v>
      </c>
      <c r="E40" s="1254">
        <v>14220.99</v>
      </c>
      <c r="F40" s="1192">
        <v>-12868.88</v>
      </c>
      <c r="G40" s="1150" t="s">
        <v>3099</v>
      </c>
      <c r="H40" s="1151">
        <v>41</v>
      </c>
    </row>
    <row r="41" spans="1:8">
      <c r="A41" s="1150" t="s">
        <v>3078</v>
      </c>
      <c r="B41" s="1152" t="s">
        <v>2985</v>
      </c>
      <c r="C41" s="1150" t="s">
        <v>2971</v>
      </c>
      <c r="D41" s="1150" t="s">
        <v>2918</v>
      </c>
      <c r="E41" s="1254">
        <v>28520.01</v>
      </c>
      <c r="F41" s="1192">
        <v>-23603.87</v>
      </c>
      <c r="G41" s="1150" t="s">
        <v>3079</v>
      </c>
      <c r="H41" s="1151">
        <v>41</v>
      </c>
    </row>
    <row r="42" spans="1:8">
      <c r="A42" s="1150" t="s">
        <v>3100</v>
      </c>
      <c r="B42" s="1152" t="s">
        <v>2985</v>
      </c>
      <c r="C42" s="1150" t="s">
        <v>2971</v>
      </c>
      <c r="D42" s="1150" t="s">
        <v>2942</v>
      </c>
      <c r="E42" s="1254">
        <v>16132.59</v>
      </c>
      <c r="F42" s="1192"/>
      <c r="G42" s="1150" t="s">
        <v>3101</v>
      </c>
      <c r="H42" s="1151">
        <v>40</v>
      </c>
    </row>
    <row r="43" spans="1:8">
      <c r="A43" s="1150" t="s">
        <v>3102</v>
      </c>
      <c r="B43" s="1152" t="s">
        <v>2983</v>
      </c>
      <c r="C43" s="1150" t="s">
        <v>2971</v>
      </c>
      <c r="D43" s="1150" t="s">
        <v>2918</v>
      </c>
      <c r="E43" s="1254">
        <v>18077.59</v>
      </c>
      <c r="F43" s="1192">
        <v>-15300</v>
      </c>
      <c r="G43" s="1150" t="s">
        <v>3103</v>
      </c>
      <c r="H43" s="1151">
        <v>40</v>
      </c>
    </row>
    <row r="44" spans="1:8">
      <c r="A44" s="1150" t="s">
        <v>3071</v>
      </c>
      <c r="B44" s="1152" t="s">
        <v>2983</v>
      </c>
      <c r="C44" s="1150" t="s">
        <v>2936</v>
      </c>
      <c r="D44" s="1150" t="s">
        <v>3043</v>
      </c>
      <c r="E44" s="1254">
        <v>18370</v>
      </c>
      <c r="F44" s="1254"/>
      <c r="G44" s="1150" t="s">
        <v>3072</v>
      </c>
      <c r="H44" s="1151">
        <v>33</v>
      </c>
    </row>
    <row r="45" spans="1:8">
      <c r="A45" s="1150" t="s">
        <v>3066</v>
      </c>
      <c r="B45" s="1152" t="s">
        <v>2983</v>
      </c>
      <c r="C45" s="1150" t="s">
        <v>2971</v>
      </c>
      <c r="D45" s="1150" t="s">
        <v>2916</v>
      </c>
      <c r="E45" s="1254">
        <v>38670</v>
      </c>
      <c r="F45" s="1192">
        <v>-25859</v>
      </c>
      <c r="G45" s="1150" t="s">
        <v>3067</v>
      </c>
      <c r="H45" s="1151">
        <v>33</v>
      </c>
    </row>
    <row r="46" spans="1:8">
      <c r="A46" s="1150" t="s">
        <v>3069</v>
      </c>
      <c r="B46" s="1152" t="s">
        <v>2983</v>
      </c>
      <c r="C46" s="1150" t="s">
        <v>2971</v>
      </c>
      <c r="D46" s="1150" t="s">
        <v>2916</v>
      </c>
      <c r="E46" s="1254">
        <v>35670</v>
      </c>
      <c r="F46" s="1192">
        <v>-24005</v>
      </c>
      <c r="G46" s="1150" t="s">
        <v>3070</v>
      </c>
      <c r="H46" s="1151">
        <v>31</v>
      </c>
    </row>
    <row r="47" spans="1:8">
      <c r="A47" s="1150" t="s">
        <v>3277</v>
      </c>
      <c r="B47" s="1152" t="s">
        <v>2988</v>
      </c>
      <c r="C47" s="1150" t="s">
        <v>2971</v>
      </c>
      <c r="D47" s="1150" t="s">
        <v>2918</v>
      </c>
      <c r="E47" s="1254">
        <v>37682.78</v>
      </c>
      <c r="F47" s="1192">
        <v>-33075</v>
      </c>
      <c r="G47" s="1150" t="s">
        <v>3278</v>
      </c>
      <c r="H47" s="1151">
        <v>24</v>
      </c>
    </row>
    <row r="48" spans="1:8">
      <c r="A48" s="1150" t="s">
        <v>3281</v>
      </c>
      <c r="B48" s="1152" t="s">
        <v>2985</v>
      </c>
      <c r="C48" s="1150" t="s">
        <v>3282</v>
      </c>
      <c r="D48" s="1150" t="s">
        <v>3283</v>
      </c>
      <c r="E48" s="1254">
        <v>46170</v>
      </c>
      <c r="F48" s="1255"/>
      <c r="G48" s="1150" t="s">
        <v>3284</v>
      </c>
      <c r="H48" s="1151">
        <v>24</v>
      </c>
    </row>
    <row r="49" spans="1:8">
      <c r="A49" s="1150" t="s">
        <v>3285</v>
      </c>
      <c r="B49" s="1152" t="s">
        <v>2988</v>
      </c>
      <c r="C49" s="1150" t="s">
        <v>2971</v>
      </c>
      <c r="D49" s="1150" t="s">
        <v>3039</v>
      </c>
      <c r="E49" s="1254">
        <v>49991.91</v>
      </c>
      <c r="F49" s="1192">
        <v>-51139.96</v>
      </c>
      <c r="G49" s="1150" t="s">
        <v>3286</v>
      </c>
      <c r="H49" s="1151">
        <v>24</v>
      </c>
    </row>
    <row r="50" spans="1:8">
      <c r="A50" s="1150" t="s">
        <v>3287</v>
      </c>
      <c r="B50" s="1152" t="s">
        <v>2985</v>
      </c>
      <c r="C50" s="1150" t="s">
        <v>3288</v>
      </c>
      <c r="D50" s="1150" t="s">
        <v>2103</v>
      </c>
      <c r="E50" s="1254">
        <v>51796.95</v>
      </c>
      <c r="F50" s="1192"/>
      <c r="G50" s="1150" t="s">
        <v>3289</v>
      </c>
      <c r="H50" s="1151">
        <v>21</v>
      </c>
    </row>
    <row r="51" spans="1:8">
      <c r="A51" s="1150" t="s">
        <v>3217</v>
      </c>
      <c r="B51" s="1152" t="s">
        <v>2987</v>
      </c>
      <c r="C51" s="1150" t="s">
        <v>2971</v>
      </c>
      <c r="D51" s="1150" t="s">
        <v>2941</v>
      </c>
      <c r="E51" s="1254">
        <v>17519.96</v>
      </c>
      <c r="F51" s="1192"/>
      <c r="G51" s="1150" t="s">
        <v>3218</v>
      </c>
      <c r="H51" s="1151">
        <v>20</v>
      </c>
    </row>
    <row r="52" spans="1:8">
      <c r="A52" s="1150" t="s">
        <v>3238</v>
      </c>
      <c r="B52" s="1152" t="s">
        <v>2985</v>
      </c>
      <c r="C52" s="1150" t="s">
        <v>2971</v>
      </c>
      <c r="D52" s="1150" t="s">
        <v>2942</v>
      </c>
      <c r="E52" s="1254">
        <v>22081.13</v>
      </c>
      <c r="F52" s="1192">
        <v>-14216.27</v>
      </c>
      <c r="G52" s="1150" t="s">
        <v>3239</v>
      </c>
      <c r="H52" s="1151">
        <v>19</v>
      </c>
    </row>
    <row r="53" spans="1:8">
      <c r="A53" s="1150" t="s">
        <v>3273</v>
      </c>
      <c r="B53" s="1152" t="s">
        <v>2986</v>
      </c>
      <c r="C53" s="1150" t="s">
        <v>2971</v>
      </c>
      <c r="D53" s="1150" t="s">
        <v>3091</v>
      </c>
      <c r="E53" s="1254">
        <v>31286.17</v>
      </c>
      <c r="F53" s="1192">
        <v>-16523.61</v>
      </c>
      <c r="G53" s="1150" t="s">
        <v>3274</v>
      </c>
      <c r="H53" s="1151">
        <v>18</v>
      </c>
    </row>
    <row r="54" spans="1:8">
      <c r="A54" s="1150" t="s">
        <v>3188</v>
      </c>
      <c r="B54" s="1152" t="s">
        <v>3000</v>
      </c>
      <c r="C54" s="1150" t="s">
        <v>2971</v>
      </c>
      <c r="D54" s="1150" t="s">
        <v>2961</v>
      </c>
      <c r="E54" s="1254">
        <v>6431</v>
      </c>
      <c r="F54" s="1255"/>
      <c r="G54" s="1150" t="s">
        <v>3189</v>
      </c>
      <c r="H54" s="1151">
        <v>17</v>
      </c>
    </row>
    <row r="55" spans="1:8">
      <c r="A55" s="1150" t="s">
        <v>3211</v>
      </c>
      <c r="B55" s="1152" t="s">
        <v>2985</v>
      </c>
      <c r="C55" s="1150" t="s">
        <v>2971</v>
      </c>
      <c r="D55" s="1150" t="s">
        <v>2942</v>
      </c>
      <c r="E55" s="1254">
        <v>16306.38</v>
      </c>
      <c r="F55" s="1255">
        <v>-12873.36</v>
      </c>
      <c r="G55" s="1150" t="s">
        <v>3212</v>
      </c>
      <c r="H55" s="1151">
        <v>17</v>
      </c>
    </row>
    <row r="56" spans="1:8">
      <c r="A56" s="1150" t="s">
        <v>3244</v>
      </c>
      <c r="B56" s="1152" t="s">
        <v>2985</v>
      </c>
      <c r="C56" s="1150" t="s">
        <v>2936</v>
      </c>
      <c r="D56" s="1150" t="s">
        <v>3245</v>
      </c>
      <c r="E56" s="1254">
        <v>23065</v>
      </c>
      <c r="F56" s="1255"/>
      <c r="G56" s="1150" t="s">
        <v>3246</v>
      </c>
      <c r="H56" s="1151">
        <v>13</v>
      </c>
    </row>
    <row r="57" spans="1:8">
      <c r="A57" s="1150" t="s">
        <v>3199</v>
      </c>
      <c r="B57" s="1152" t="s">
        <v>2984</v>
      </c>
      <c r="C57" s="1150" t="s">
        <v>2971</v>
      </c>
      <c r="D57" s="1150" t="s">
        <v>3200</v>
      </c>
      <c r="E57" s="1254">
        <v>9893.7099999999991</v>
      </c>
      <c r="F57" s="1253"/>
      <c r="G57" s="1150" t="s">
        <v>3201</v>
      </c>
      <c r="H57" s="1151">
        <v>12</v>
      </c>
    </row>
    <row r="58" spans="1:8">
      <c r="A58" s="1150" t="s">
        <v>3242</v>
      </c>
      <c r="B58" s="1152" t="s">
        <v>2983</v>
      </c>
      <c r="C58" s="1150" t="s">
        <v>2971</v>
      </c>
      <c r="D58" s="1150" t="s">
        <v>2918</v>
      </c>
      <c r="E58" s="1254">
        <v>22920</v>
      </c>
      <c r="F58" s="1253">
        <v>-20025</v>
      </c>
      <c r="G58" s="1150" t="s">
        <v>3243</v>
      </c>
      <c r="H58" s="1151">
        <v>12</v>
      </c>
    </row>
    <row r="59" spans="1:8">
      <c r="A59" s="1150" t="s">
        <v>3180</v>
      </c>
      <c r="B59" s="1152" t="s">
        <v>3061</v>
      </c>
      <c r="C59" s="1150" t="s">
        <v>2971</v>
      </c>
      <c r="D59" s="1150" t="s">
        <v>2961</v>
      </c>
      <c r="E59" s="1254">
        <v>1515</v>
      </c>
      <c r="F59" s="1192"/>
      <c r="G59" s="1150" t="s">
        <v>3181</v>
      </c>
      <c r="H59" s="1151">
        <v>10</v>
      </c>
    </row>
    <row r="60" spans="1:8">
      <c r="A60" s="1150" t="s">
        <v>3230</v>
      </c>
      <c r="B60" s="1152" t="s">
        <v>2985</v>
      </c>
      <c r="C60" s="1150" t="s">
        <v>2971</v>
      </c>
      <c r="D60" s="1150" t="s">
        <v>2942</v>
      </c>
      <c r="E60" s="1254">
        <v>20415</v>
      </c>
      <c r="F60" s="1252">
        <v>-23932.560000000001</v>
      </c>
      <c r="G60" s="1150" t="s">
        <v>3231</v>
      </c>
      <c r="H60" s="1151">
        <v>10</v>
      </c>
    </row>
    <row r="61" spans="1:8">
      <c r="A61" s="1150" t="s">
        <v>3202</v>
      </c>
      <c r="B61" s="1152" t="s">
        <v>2986</v>
      </c>
      <c r="C61" s="1150" t="s">
        <v>2971</v>
      </c>
      <c r="D61" s="1150" t="s">
        <v>2961</v>
      </c>
      <c r="E61" s="1254">
        <v>10077.1</v>
      </c>
      <c r="F61" s="1253"/>
      <c r="G61" s="1150" t="s">
        <v>3203</v>
      </c>
      <c r="H61" s="1151">
        <v>7</v>
      </c>
    </row>
    <row r="62" spans="1:8">
      <c r="A62" s="1150" t="s">
        <v>3204</v>
      </c>
      <c r="B62" s="1152" t="s">
        <v>2987</v>
      </c>
      <c r="C62" s="1150" t="s">
        <v>2971</v>
      </c>
      <c r="D62" s="1150" t="s">
        <v>2918</v>
      </c>
      <c r="E62" s="1254">
        <v>12665</v>
      </c>
      <c r="F62" s="1253"/>
      <c r="G62" s="1150" t="s">
        <v>3205</v>
      </c>
      <c r="H62" s="1151">
        <v>7</v>
      </c>
    </row>
    <row r="63" spans="1:8">
      <c r="A63" s="1150" t="s">
        <v>3225</v>
      </c>
      <c r="B63" s="1152" t="s">
        <v>2983</v>
      </c>
      <c r="C63" s="1150" t="s">
        <v>2997</v>
      </c>
      <c r="D63" s="1150" t="s">
        <v>3226</v>
      </c>
      <c r="E63" s="1254">
        <v>19665</v>
      </c>
      <c r="F63" s="1253"/>
      <c r="G63" s="1150" t="s">
        <v>3227</v>
      </c>
      <c r="H63" s="1151">
        <v>7</v>
      </c>
    </row>
    <row r="64" spans="1:8">
      <c r="A64" s="1150" t="s">
        <v>3257</v>
      </c>
      <c r="B64" s="1152" t="s">
        <v>2986</v>
      </c>
      <c r="C64" s="1150" t="s">
        <v>2971</v>
      </c>
      <c r="D64" s="1150" t="s">
        <v>2960</v>
      </c>
      <c r="E64" s="1254">
        <v>25415</v>
      </c>
      <c r="F64" s="1192">
        <v>-17822.43</v>
      </c>
      <c r="G64" s="1150" t="s">
        <v>3258</v>
      </c>
      <c r="H64" s="1151">
        <v>7</v>
      </c>
    </row>
    <row r="65" spans="1:8">
      <c r="A65" s="1150" t="s">
        <v>3267</v>
      </c>
      <c r="B65" s="1152" t="s">
        <v>2987</v>
      </c>
      <c r="C65" s="1150" t="s">
        <v>2971</v>
      </c>
      <c r="D65" s="1150" t="s">
        <v>3268</v>
      </c>
      <c r="E65" s="1254">
        <v>28402.81</v>
      </c>
      <c r="F65" s="1192"/>
      <c r="G65" s="1150" t="s">
        <v>3269</v>
      </c>
      <c r="H65" s="1151">
        <v>7</v>
      </c>
    </row>
    <row r="66" spans="1:8">
      <c r="A66" s="1150" t="s">
        <v>3279</v>
      </c>
      <c r="B66" s="1152" t="s">
        <v>2988</v>
      </c>
      <c r="C66" s="1150" t="s">
        <v>2971</v>
      </c>
      <c r="D66" s="1150" t="s">
        <v>2918</v>
      </c>
      <c r="E66" s="1254">
        <v>38915</v>
      </c>
      <c r="F66" s="1192">
        <v>-34650</v>
      </c>
      <c r="G66" s="1150" t="s">
        <v>3280</v>
      </c>
      <c r="H66" s="1151">
        <v>7</v>
      </c>
    </row>
    <row r="67" spans="1:8">
      <c r="A67" s="1150" t="s">
        <v>3190</v>
      </c>
      <c r="B67" s="1152" t="s">
        <v>3191</v>
      </c>
      <c r="C67" s="1150" t="s">
        <v>3192</v>
      </c>
      <c r="D67" s="1150" t="s">
        <v>3193</v>
      </c>
      <c r="E67" s="1254">
        <v>6915</v>
      </c>
      <c r="F67" s="1255"/>
      <c r="G67" s="1150" t="s">
        <v>3194</v>
      </c>
      <c r="H67" s="1151">
        <v>6</v>
      </c>
    </row>
    <row r="68" spans="1:8">
      <c r="A68" s="1150" t="s">
        <v>3182</v>
      </c>
      <c r="B68" s="1152" t="s">
        <v>3073</v>
      </c>
      <c r="C68" s="1150" t="s">
        <v>3183</v>
      </c>
      <c r="D68" s="1150" t="s">
        <v>3184</v>
      </c>
      <c r="E68" s="1254">
        <v>2915</v>
      </c>
      <c r="F68" s="1255"/>
      <c r="G68" s="1150" t="s">
        <v>3185</v>
      </c>
      <c r="H68" s="1151">
        <v>5</v>
      </c>
    </row>
    <row r="69" spans="1:8">
      <c r="A69" s="1150" t="s">
        <v>3236</v>
      </c>
      <c r="B69" s="1152" t="s">
        <v>2983</v>
      </c>
      <c r="C69" s="1150" t="s">
        <v>2971</v>
      </c>
      <c r="D69" s="1150" t="s">
        <v>2918</v>
      </c>
      <c r="E69" s="1254">
        <v>22015</v>
      </c>
      <c r="F69" s="1192"/>
      <c r="G69" s="1150" t="s">
        <v>3237</v>
      </c>
      <c r="H69" s="1151">
        <v>5</v>
      </c>
    </row>
    <row r="70" spans="1:8">
      <c r="A70" s="1150" t="s">
        <v>3247</v>
      </c>
      <c r="B70" s="1152" t="s">
        <v>2983</v>
      </c>
      <c r="C70" s="1150" t="s">
        <v>2971</v>
      </c>
      <c r="D70" s="1150" t="s">
        <v>2918</v>
      </c>
      <c r="E70" s="1254">
        <v>23415</v>
      </c>
      <c r="F70" s="1192"/>
      <c r="G70" s="1150" t="s">
        <v>3248</v>
      </c>
      <c r="H70" s="1151">
        <v>5</v>
      </c>
    </row>
    <row r="71" spans="1:8">
      <c r="A71" s="1150" t="s">
        <v>3275</v>
      </c>
      <c r="B71" s="1152" t="s">
        <v>2985</v>
      </c>
      <c r="C71" s="1150" t="s">
        <v>2971</v>
      </c>
      <c r="D71" s="1150" t="s">
        <v>2960</v>
      </c>
      <c r="E71" s="1254">
        <v>32426.5</v>
      </c>
      <c r="F71" s="1192"/>
      <c r="G71" s="1150" t="s">
        <v>3276</v>
      </c>
      <c r="H71" s="1151">
        <v>5</v>
      </c>
    </row>
    <row r="72" spans="1:8">
      <c r="A72" s="1150" t="s">
        <v>3195</v>
      </c>
      <c r="B72" s="1152" t="s">
        <v>2987</v>
      </c>
      <c r="C72" s="1150" t="s">
        <v>3196</v>
      </c>
      <c r="D72" s="1150" t="s">
        <v>3197</v>
      </c>
      <c r="E72" s="1254">
        <v>9665</v>
      </c>
      <c r="F72" s="1252"/>
      <c r="G72" s="1150" t="s">
        <v>3198</v>
      </c>
      <c r="H72" s="1151">
        <v>4</v>
      </c>
    </row>
    <row r="73" spans="1:8">
      <c r="A73" s="1150" t="s">
        <v>3228</v>
      </c>
      <c r="B73" s="1152" t="s">
        <v>2983</v>
      </c>
      <c r="C73" s="1150" t="s">
        <v>2971</v>
      </c>
      <c r="D73" s="1150" t="s">
        <v>2918</v>
      </c>
      <c r="E73" s="1254">
        <v>19915</v>
      </c>
      <c r="F73" s="1192"/>
      <c r="G73" s="1150" t="s">
        <v>3229</v>
      </c>
      <c r="H73" s="1151">
        <v>4</v>
      </c>
    </row>
    <row r="74" spans="1:8">
      <c r="A74" s="1150" t="s">
        <v>3240</v>
      </c>
      <c r="B74" s="1152" t="s">
        <v>2985</v>
      </c>
      <c r="C74" s="1150" t="s">
        <v>2971</v>
      </c>
      <c r="D74" s="1150" t="s">
        <v>2942</v>
      </c>
      <c r="E74" s="1254">
        <v>22415</v>
      </c>
      <c r="F74" s="1255"/>
      <c r="G74" s="1150" t="s">
        <v>3241</v>
      </c>
      <c r="H74" s="1151">
        <v>4</v>
      </c>
    </row>
    <row r="75" spans="1:8">
      <c r="A75" s="1150" t="s">
        <v>3186</v>
      </c>
      <c r="B75" s="1152" t="s">
        <v>2984</v>
      </c>
      <c r="C75" s="1150" t="s">
        <v>2971</v>
      </c>
      <c r="D75" s="1150" t="s">
        <v>2918</v>
      </c>
      <c r="E75" s="1254">
        <v>5415</v>
      </c>
      <c r="F75" s="1192"/>
      <c r="G75" s="1150" t="s">
        <v>3187</v>
      </c>
      <c r="H75" s="1151">
        <v>3</v>
      </c>
    </row>
    <row r="76" spans="1:8">
      <c r="A76" s="1150" t="s">
        <v>3213</v>
      </c>
      <c r="B76" s="1152" t="s">
        <v>2985</v>
      </c>
      <c r="C76" s="1150" t="s">
        <v>2997</v>
      </c>
      <c r="D76" s="1150" t="s">
        <v>3046</v>
      </c>
      <c r="E76" s="1254">
        <v>16415</v>
      </c>
      <c r="F76" s="1255"/>
      <c r="G76" s="1150" t="s">
        <v>3214</v>
      </c>
      <c r="H76" s="1151">
        <v>3</v>
      </c>
    </row>
    <row r="77" spans="1:8">
      <c r="A77" s="1150" t="s">
        <v>3223</v>
      </c>
      <c r="B77" s="1152" t="s">
        <v>2983</v>
      </c>
      <c r="C77" s="1150" t="s">
        <v>2971</v>
      </c>
      <c r="D77" s="1150" t="s">
        <v>2918</v>
      </c>
      <c r="E77" s="1254">
        <v>18165</v>
      </c>
      <c r="F77" s="1255"/>
      <c r="G77" s="1150" t="s">
        <v>3224</v>
      </c>
      <c r="H77" s="1151">
        <v>3</v>
      </c>
    </row>
    <row r="78" spans="1:8">
      <c r="A78" s="1150" t="s">
        <v>3255</v>
      </c>
      <c r="B78" s="1152" t="s">
        <v>2983</v>
      </c>
      <c r="C78" s="1150" t="s">
        <v>2971</v>
      </c>
      <c r="D78" s="1150" t="s">
        <v>2918</v>
      </c>
      <c r="E78" s="1254">
        <v>24815</v>
      </c>
      <c r="F78" s="1252"/>
      <c r="G78" s="1150" t="s">
        <v>3256</v>
      </c>
      <c r="H78" s="1151">
        <v>3</v>
      </c>
    </row>
    <row r="79" spans="1:8">
      <c r="A79" s="1150" t="s">
        <v>3206</v>
      </c>
      <c r="B79" s="1152" t="s">
        <v>3061</v>
      </c>
      <c r="C79" s="1150" t="s">
        <v>3097</v>
      </c>
      <c r="D79" s="1150" t="s">
        <v>3207</v>
      </c>
      <c r="E79" s="1254">
        <v>15415</v>
      </c>
      <c r="F79" s="1192"/>
      <c r="G79" s="1150" t="s">
        <v>3208</v>
      </c>
      <c r="H79" s="1151">
        <v>1</v>
      </c>
    </row>
    <row r="80" spans="1:8">
      <c r="A80" s="1150" t="s">
        <v>3259</v>
      </c>
      <c r="B80" s="1152" t="s">
        <v>2988</v>
      </c>
      <c r="C80" s="1150" t="s">
        <v>2971</v>
      </c>
      <c r="D80" s="1150" t="s">
        <v>3068</v>
      </c>
      <c r="E80" s="1254">
        <v>25915</v>
      </c>
      <c r="F80" s="1192"/>
      <c r="G80" s="1150" t="s">
        <v>3260</v>
      </c>
      <c r="H80" s="1151">
        <v>1</v>
      </c>
    </row>
    <row r="81" spans="1:8">
      <c r="A81" s="1150" t="s">
        <v>3209</v>
      </c>
      <c r="B81" s="1152" t="s">
        <v>2983</v>
      </c>
      <c r="C81" s="1150" t="s">
        <v>2971</v>
      </c>
      <c r="D81" s="1150" t="s">
        <v>2941</v>
      </c>
      <c r="E81" s="1254">
        <v>16015</v>
      </c>
      <c r="F81" s="1252"/>
      <c r="G81" s="1150" t="s">
        <v>3210</v>
      </c>
      <c r="H81" s="1151">
        <v>0</v>
      </c>
    </row>
    <row r="82" spans="1:8">
      <c r="A82" s="1150" t="s">
        <v>3215</v>
      </c>
      <c r="B82" s="1152" t="s">
        <v>2983</v>
      </c>
      <c r="C82" s="1150" t="s">
        <v>2971</v>
      </c>
      <c r="D82" s="1150" t="s">
        <v>2941</v>
      </c>
      <c r="E82" s="1254">
        <v>17415</v>
      </c>
      <c r="F82" s="1192"/>
      <c r="G82" s="1150" t="s">
        <v>3216</v>
      </c>
      <c r="H82" s="1151">
        <v>0</v>
      </c>
    </row>
    <row r="83" spans="1:8">
      <c r="A83" s="1150" t="s">
        <v>3219</v>
      </c>
      <c r="B83" s="1152" t="s">
        <v>2985</v>
      </c>
      <c r="C83" s="1150" t="s">
        <v>2971</v>
      </c>
      <c r="D83" s="1150" t="s">
        <v>2942</v>
      </c>
      <c r="E83" s="1254">
        <v>17615</v>
      </c>
      <c r="F83" s="1192"/>
      <c r="G83" s="1150" t="s">
        <v>3220</v>
      </c>
      <c r="H83" s="1151">
        <v>0</v>
      </c>
    </row>
    <row r="84" spans="1:8">
      <c r="A84" s="1150" t="s">
        <v>3221</v>
      </c>
      <c r="B84" s="1152" t="s">
        <v>2985</v>
      </c>
      <c r="C84" s="1150" t="s">
        <v>2971</v>
      </c>
      <c r="D84" s="1150" t="s">
        <v>2942</v>
      </c>
      <c r="E84" s="1254">
        <v>17915</v>
      </c>
      <c r="F84" s="1192"/>
      <c r="G84" s="1150" t="s">
        <v>3222</v>
      </c>
      <c r="H84" s="1151">
        <v>0</v>
      </c>
    </row>
    <row r="85" spans="1:8">
      <c r="A85" s="1150" t="s">
        <v>3232</v>
      </c>
      <c r="B85" s="1152" t="s">
        <v>2983</v>
      </c>
      <c r="C85" s="1150" t="s">
        <v>3233</v>
      </c>
      <c r="D85" s="1150" t="s">
        <v>3234</v>
      </c>
      <c r="E85" s="1254">
        <v>21215</v>
      </c>
      <c r="F85" s="1192"/>
      <c r="G85" s="1150" t="s">
        <v>3235</v>
      </c>
      <c r="H85" s="1151">
        <v>0</v>
      </c>
    </row>
    <row r="86" spans="1:8">
      <c r="A86" s="1150" t="s">
        <v>3249</v>
      </c>
      <c r="B86" s="1152" t="s">
        <v>2983</v>
      </c>
      <c r="C86" s="1150" t="s">
        <v>2971</v>
      </c>
      <c r="D86" s="1150" t="s">
        <v>2918</v>
      </c>
      <c r="E86" s="1254">
        <v>23415</v>
      </c>
      <c r="F86" s="1192"/>
      <c r="G86" s="1150" t="s">
        <v>3250</v>
      </c>
      <c r="H86" s="1151">
        <v>0</v>
      </c>
    </row>
    <row r="87" spans="1:8">
      <c r="A87" s="1150" t="s">
        <v>3251</v>
      </c>
      <c r="B87" s="1152" t="s">
        <v>2983</v>
      </c>
      <c r="C87" s="1150" t="s">
        <v>3252</v>
      </c>
      <c r="D87" s="1150" t="s">
        <v>3253</v>
      </c>
      <c r="E87" s="1254">
        <v>23915</v>
      </c>
      <c r="F87" s="1252"/>
      <c r="G87" s="1150" t="s">
        <v>3254</v>
      </c>
      <c r="H87" s="1151">
        <v>0</v>
      </c>
    </row>
    <row r="88" spans="1:8">
      <c r="A88" s="1150" t="s">
        <v>3261</v>
      </c>
      <c r="B88" s="1152" t="s">
        <v>2983</v>
      </c>
      <c r="C88" s="1150" t="s">
        <v>3262</v>
      </c>
      <c r="D88" s="1150" t="s">
        <v>3263</v>
      </c>
      <c r="E88" s="1254">
        <v>26108</v>
      </c>
      <c r="F88" s="1255"/>
      <c r="G88" s="1150" t="s">
        <v>3264</v>
      </c>
      <c r="H88" s="1151">
        <v>0</v>
      </c>
    </row>
    <row r="89" spans="1:8">
      <c r="A89" s="1150" t="s">
        <v>3265</v>
      </c>
      <c r="B89" s="1152" t="s">
        <v>2988</v>
      </c>
      <c r="C89" s="1150" t="s">
        <v>2971</v>
      </c>
      <c r="D89" s="1150" t="s">
        <v>2942</v>
      </c>
      <c r="E89" s="1254">
        <v>27915</v>
      </c>
      <c r="F89" s="1255"/>
      <c r="G89" s="1150" t="s">
        <v>3266</v>
      </c>
      <c r="H89" s="1151">
        <v>0</v>
      </c>
    </row>
    <row r="90" spans="1:8">
      <c r="A90" s="1150" t="s">
        <v>3270</v>
      </c>
      <c r="B90" s="1152" t="s">
        <v>2988</v>
      </c>
      <c r="C90" s="1150" t="s">
        <v>3192</v>
      </c>
      <c r="D90" s="1150" t="s">
        <v>3271</v>
      </c>
      <c r="E90" s="1254">
        <v>30265</v>
      </c>
      <c r="F90" s="1192"/>
      <c r="G90" s="1150" t="s">
        <v>3272</v>
      </c>
      <c r="H90" s="1151">
        <v>0</v>
      </c>
    </row>
    <row r="91" spans="1:8">
      <c r="A91" s="1150"/>
      <c r="B91" s="1152"/>
      <c r="C91" s="1150"/>
      <c r="D91" s="1150"/>
      <c r="E91" s="1254"/>
      <c r="F91" s="1192"/>
      <c r="G91" s="1150"/>
      <c r="H91" s="1151"/>
    </row>
    <row r="92" spans="1:8">
      <c r="A92" s="1150"/>
      <c r="B92" s="1152"/>
      <c r="C92" s="1150"/>
      <c r="D92" s="1150"/>
      <c r="E92" s="1254"/>
      <c r="F92" s="1192"/>
      <c r="G92" s="1150"/>
      <c r="H92" s="1151"/>
    </row>
    <row r="93" spans="1:8">
      <c r="A93" s="1150"/>
      <c r="B93" s="1152"/>
      <c r="C93" s="1150"/>
      <c r="D93" s="1150"/>
      <c r="E93" s="1254"/>
      <c r="F93" s="1192"/>
      <c r="G93" s="1150"/>
      <c r="H93" s="1151"/>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00B050"/>
    <outlinePr summaryBelow="0"/>
  </sheetPr>
  <dimension ref="A1:X1087"/>
  <sheetViews>
    <sheetView topLeftCell="J1" zoomScale="85" zoomScaleNormal="85" workbookViewId="0">
      <pane ySplit="1" topLeftCell="A2" activePane="bottomLeft" state="frozen"/>
      <selection pane="bottomLeft" activeCell="V1" sqref="V1"/>
    </sheetView>
  </sheetViews>
  <sheetFormatPr baseColWidth="10" defaultColWidth="12.625" defaultRowHeight="15" customHeight="1"/>
  <cols>
    <col min="1" max="1" width="37" style="515" customWidth="1"/>
    <col min="2" max="2" width="31.25" style="515" customWidth="1"/>
    <col min="3" max="3" width="14.625" style="515" customWidth="1"/>
    <col min="4" max="11" width="12.875" style="515" customWidth="1"/>
    <col min="12" max="12" width="12.875" customWidth="1"/>
    <col min="13" max="13" width="39.75" customWidth="1"/>
    <col min="14" max="14" width="14.875" customWidth="1"/>
    <col min="15" max="15" width="12.875" style="1111"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61" t="s">
        <v>265</v>
      </c>
      <c r="B1" s="1161" t="s">
        <v>266</v>
      </c>
      <c r="C1" s="1162" t="s">
        <v>267</v>
      </c>
      <c r="D1" s="1162" t="s">
        <v>268</v>
      </c>
      <c r="E1" s="1162" t="s">
        <v>269</v>
      </c>
      <c r="F1" s="1161" t="s">
        <v>270</v>
      </c>
      <c r="G1" s="1161" t="s">
        <v>271</v>
      </c>
      <c r="H1" s="1161" t="s">
        <v>272</v>
      </c>
      <c r="I1" s="1162" t="s">
        <v>273</v>
      </c>
      <c r="J1" s="1162" t="s">
        <v>274</v>
      </c>
      <c r="K1" s="1162" t="s">
        <v>275</v>
      </c>
      <c r="L1" s="148" t="s">
        <v>266</v>
      </c>
      <c r="M1" s="148" t="s">
        <v>265</v>
      </c>
      <c r="N1" s="148" t="s">
        <v>267</v>
      </c>
      <c r="O1" s="1107" t="s">
        <v>268</v>
      </c>
      <c r="P1" s="148" t="s">
        <v>269</v>
      </c>
      <c r="Q1" s="148" t="s">
        <v>270</v>
      </c>
      <c r="R1" s="148" t="s">
        <v>271</v>
      </c>
      <c r="S1" s="148" t="s">
        <v>272</v>
      </c>
      <c r="T1" s="149" t="s">
        <v>276</v>
      </c>
      <c r="U1" s="149" t="s">
        <v>277</v>
      </c>
      <c r="V1" s="149" t="s">
        <v>278</v>
      </c>
      <c r="W1" s="149" t="s">
        <v>279</v>
      </c>
      <c r="X1" s="149" t="s">
        <v>1918</v>
      </c>
    </row>
    <row r="2" spans="1:24" ht="15" hidden="1" customHeight="1">
      <c r="A2" s="1163" t="s">
        <v>2849</v>
      </c>
      <c r="B2" s="1164">
        <v>1102</v>
      </c>
      <c r="C2" s="1167">
        <v>5167085.93</v>
      </c>
      <c r="D2" s="1167">
        <v>186150.63</v>
      </c>
      <c r="E2" s="1167">
        <v>5353236.5599999996</v>
      </c>
      <c r="F2" s="1163" t="s">
        <v>293</v>
      </c>
      <c r="G2" s="1163" t="s">
        <v>2388</v>
      </c>
      <c r="H2" s="1166"/>
      <c r="I2" s="1165"/>
      <c r="J2" s="1165"/>
      <c r="K2" s="1165"/>
      <c r="L2" s="153">
        <f t="shared" ref="L2:L65" si="0">+B2</f>
        <v>1102</v>
      </c>
      <c r="M2" s="154" t="str">
        <f t="shared" ref="M2:M65" si="1">+A2</f>
        <v>BANQUE DE COMMERCE C/C</v>
      </c>
      <c r="N2" s="155">
        <f>+IF(OR($Q2=Parametres!$G$2,$Q2=Parametres!$G$3),I2,C2)</f>
        <v>5167085.93</v>
      </c>
      <c r="O2" s="1108">
        <f>+IF(OR($Q2=Parametres!$G$2,$Q2=Parametres!$G$3),J2,D2)</f>
        <v>186150.63</v>
      </c>
      <c r="P2" s="155">
        <f>+IF(OR($Q2=Parametres!$G$2,$Q2=Parametres!$G$3),K2,E2)</f>
        <v>5353236.5599999996</v>
      </c>
      <c r="Q2" s="154" t="str">
        <f t="shared" ref="Q2:Q65" si="2">+F2</f>
        <v>2-Actifs</v>
      </c>
      <c r="R2" s="153" t="str">
        <f t="shared" ref="R2:R65" si="3">+G2</f>
        <v>1102</v>
      </c>
      <c r="S2" s="154">
        <f t="shared" ref="S2:S65" si="4">+H2</f>
        <v>0</v>
      </c>
      <c r="T2" s="156">
        <f>+VLOOKUP($L2,Data_Validation!$A:$D,1,0)</f>
        <v>1102</v>
      </c>
      <c r="U2" s="156" t="str">
        <f>+VLOOKUP($L2,Data_Validation!$A:$D,3,0)</f>
        <v>Bilan</v>
      </c>
      <c r="V2" s="156" t="str">
        <f>+VLOOKUP($L2,Data_Validation!$A:$D,4,0)</f>
        <v>Encaisse</v>
      </c>
      <c r="W2" s="156" t="str">
        <f>+VLOOKUP($L2,Data_Validation!$A:$E,5,0)</f>
        <v>$</v>
      </c>
      <c r="X2" s="156">
        <f>+VLOOKUP($L2,Data_Validation!$A:$F,6,0)</f>
        <v>0</v>
      </c>
    </row>
    <row r="3" spans="1:24" ht="15" hidden="1" customHeight="1">
      <c r="A3" s="1163" t="s">
        <v>2386</v>
      </c>
      <c r="B3" s="1164">
        <v>1182</v>
      </c>
      <c r="C3" s="1166">
        <v>50.2</v>
      </c>
      <c r="D3" s="1166">
        <v>50</v>
      </c>
      <c r="E3" s="1166">
        <v>100.2</v>
      </c>
      <c r="F3" s="1163" t="s">
        <v>293</v>
      </c>
      <c r="G3" s="1163" t="s">
        <v>2388</v>
      </c>
      <c r="H3" s="1166"/>
      <c r="I3" s="1165"/>
      <c r="J3" s="1165"/>
      <c r="K3" s="1165"/>
      <c r="L3" s="153">
        <f t="shared" si="0"/>
        <v>1182</v>
      </c>
      <c r="M3" s="154" t="str">
        <f t="shared" si="1"/>
        <v>PETITE CAISSE</v>
      </c>
      <c r="N3" s="155">
        <f>+IF(OR($Q3=Parametres!$G$2,$Q3=Parametres!$G$3),I3,C3)</f>
        <v>50.2</v>
      </c>
      <c r="O3" s="1108">
        <f>+IF(OR($Q3=Parametres!$G$2,$Q3=Parametres!$G$3),J3,D3)</f>
        <v>50</v>
      </c>
      <c r="P3" s="155">
        <f>+IF(OR($Q3=Parametres!$G$2,$Q3=Parametres!$G$3),K3,E3)</f>
        <v>100.2</v>
      </c>
      <c r="Q3" s="154" t="str">
        <f t="shared" si="2"/>
        <v>2-Actifs</v>
      </c>
      <c r="R3" s="153" t="str">
        <f t="shared" si="3"/>
        <v>1102</v>
      </c>
      <c r="S3" s="154">
        <f t="shared" si="4"/>
        <v>0</v>
      </c>
      <c r="T3" s="156">
        <f>+VLOOKUP($L3,Data_Validation!$A:$D,1,0)</f>
        <v>1182</v>
      </c>
      <c r="U3" s="156" t="str">
        <f>+VLOOKUP($L3,Data_Validation!$A:$D,3,0)</f>
        <v>Bilan</v>
      </c>
      <c r="V3" s="156" t="str">
        <f>+VLOOKUP($L3,Data_Validation!$A:$D,4,0)</f>
        <v>Encaisse</v>
      </c>
      <c r="W3" s="156" t="str">
        <f>+VLOOKUP($L3,Data_Validation!$A:$E,5,0)</f>
        <v>$</v>
      </c>
      <c r="X3" s="156">
        <f>+VLOOKUP($L3,Data_Validation!$A:$F,6,0)</f>
        <v>0</v>
      </c>
    </row>
    <row r="4" spans="1:24" ht="15" hidden="1" customHeight="1">
      <c r="A4" s="1163" t="s">
        <v>2180</v>
      </c>
      <c r="B4" s="1164">
        <v>1202</v>
      </c>
      <c r="C4" s="1167">
        <v>449437.16</v>
      </c>
      <c r="D4" s="1167">
        <v>938157.84</v>
      </c>
      <c r="E4" s="1167">
        <v>1387595</v>
      </c>
      <c r="F4" s="1163" t="s">
        <v>293</v>
      </c>
      <c r="G4" s="1163" t="s">
        <v>2181</v>
      </c>
      <c r="H4" s="1166"/>
      <c r="I4" s="1165"/>
      <c r="J4" s="1165"/>
      <c r="K4" s="1165"/>
      <c r="L4" s="153">
        <f t="shared" si="0"/>
        <v>1202</v>
      </c>
      <c r="M4" s="154" t="str">
        <f t="shared" si="1"/>
        <v>CONTRATS EN TRANSIT</v>
      </c>
      <c r="N4" s="155">
        <f>+IF(OR($Q4=Parametres!$G$2,$Q4=Parametres!$G$3),I4,C4)</f>
        <v>449437.16</v>
      </c>
      <c r="O4" s="1108">
        <f>+IF(OR($Q4=Parametres!$G$2,$Q4=Parametres!$G$3),J4,D4)</f>
        <v>938157.84</v>
      </c>
      <c r="P4" s="155">
        <f>+IF(OR($Q4=Parametres!$G$2,$Q4=Parametres!$G$3),K4,E4)</f>
        <v>1387595</v>
      </c>
      <c r="Q4" s="154" t="str">
        <f t="shared" si="2"/>
        <v>2-Actifs</v>
      </c>
      <c r="R4" s="153" t="str">
        <f t="shared" si="3"/>
        <v>1202</v>
      </c>
      <c r="S4" s="154">
        <f t="shared" si="4"/>
        <v>0</v>
      </c>
      <c r="T4" s="156">
        <f>+VLOOKUP($L4,Data_Validation!$A:$D,1,0)</f>
        <v>1202</v>
      </c>
      <c r="U4" s="156" t="str">
        <f>+VLOOKUP($L4,Data_Validation!$A:$D,3,0)</f>
        <v>Bilan</v>
      </c>
      <c r="V4" s="156" t="str">
        <f>+VLOOKUP($L4,Data_Validation!$A:$D,4,0)</f>
        <v>Recevables Contrats en Transit</v>
      </c>
      <c r="W4" s="156" t="str">
        <f>+VLOOKUP($L4,Data_Validation!$A:$E,5,0)</f>
        <v>$</v>
      </c>
      <c r="X4" s="156">
        <f>+VLOOKUP($L4,Data_Validation!$A:$F,6,0)</f>
        <v>0</v>
      </c>
    </row>
    <row r="5" spans="1:24" ht="15.75" hidden="1" customHeight="1">
      <c r="A5" s="1163" t="s">
        <v>2024</v>
      </c>
      <c r="B5" s="1164">
        <v>1302</v>
      </c>
      <c r="C5" s="1167">
        <v>-3219.05</v>
      </c>
      <c r="D5" s="1167">
        <v>-22688.34</v>
      </c>
      <c r="E5" s="1167">
        <v>-25907.39</v>
      </c>
      <c r="F5" s="1163" t="s">
        <v>293</v>
      </c>
      <c r="G5" s="1163" t="s">
        <v>2014</v>
      </c>
      <c r="H5" s="1166"/>
      <c r="I5" s="1165"/>
      <c r="J5" s="1165"/>
      <c r="K5" s="1165"/>
      <c r="L5" s="153">
        <f t="shared" si="0"/>
        <v>1302</v>
      </c>
      <c r="M5" s="154" t="str">
        <f t="shared" si="1"/>
        <v>RECEVABLE-CLIENT-VEHICULE</v>
      </c>
      <c r="N5" s="155">
        <f>+IF(OR($Q5=Parametres!$G$2,$Q5=Parametres!$G$3),I5,C5)</f>
        <v>-3219.05</v>
      </c>
      <c r="O5" s="1108">
        <f>+IF(OR($Q5=Parametres!$G$2,$Q5=Parametres!$G$3),J5,D5)</f>
        <v>-22688.34</v>
      </c>
      <c r="P5" s="155">
        <f>+IF(OR($Q5=Parametres!$G$2,$Q5=Parametres!$G$3),K5,E5)</f>
        <v>-25907.39</v>
      </c>
      <c r="Q5" s="154" t="str">
        <f t="shared" si="2"/>
        <v>2-Actifs</v>
      </c>
      <c r="R5" s="153" t="str">
        <f t="shared" si="3"/>
        <v>1302</v>
      </c>
      <c r="S5" s="154">
        <f t="shared" si="4"/>
        <v>0</v>
      </c>
      <c r="T5" s="156">
        <f>+VLOOKUP($L5,Data_Validation!$A:$D,1,0)</f>
        <v>1302</v>
      </c>
      <c r="U5" s="156" t="str">
        <f>+VLOOKUP($L5,Data_Validation!$A:$D,3,0)</f>
        <v>Bilan</v>
      </c>
      <c r="V5" s="156" t="str">
        <f>+VLOOKUP($L5,Data_Validation!$A:$D,4,0)</f>
        <v>Recevables Véhicules</v>
      </c>
      <c r="W5" s="156" t="str">
        <f>+VLOOKUP($L5,Data_Validation!$A:$E,5,0)</f>
        <v>$</v>
      </c>
      <c r="X5" s="156">
        <f>+VLOOKUP($L5,Data_Validation!$A:$F,6,0)</f>
        <v>0</v>
      </c>
    </row>
    <row r="6" spans="1:24" ht="15.75" hidden="1" customHeight="1">
      <c r="A6" s="1163" t="s">
        <v>2012</v>
      </c>
      <c r="B6" s="1164">
        <v>1303</v>
      </c>
      <c r="C6" s="1167">
        <v>108564</v>
      </c>
      <c r="D6" s="1167">
        <v>-57504.5</v>
      </c>
      <c r="E6" s="1167">
        <v>51059.5</v>
      </c>
      <c r="F6" s="1163" t="s">
        <v>293</v>
      </c>
      <c r="G6" s="1163" t="s">
        <v>2014</v>
      </c>
      <c r="H6" s="1166"/>
      <c r="I6" s="1165"/>
      <c r="J6" s="1165"/>
      <c r="K6" s="1165"/>
      <c r="L6" s="153">
        <f t="shared" si="0"/>
        <v>1303</v>
      </c>
      <c r="M6" s="154" t="str">
        <f t="shared" si="1"/>
        <v>RECEVABLES LPA ET AU GROS</v>
      </c>
      <c r="N6" s="155">
        <f>+IF(OR($Q6=Parametres!$G$2,$Q6=Parametres!$G$3),I6,C6)</f>
        <v>108564</v>
      </c>
      <c r="O6" s="1108">
        <f>+IF(OR($Q6=Parametres!$G$2,$Q6=Parametres!$G$3),J6,D6)</f>
        <v>-57504.5</v>
      </c>
      <c r="P6" s="155">
        <f>+IF(OR($Q6=Parametres!$G$2,$Q6=Parametres!$G$3),K6,E6)</f>
        <v>51059.5</v>
      </c>
      <c r="Q6" s="154" t="str">
        <f t="shared" si="2"/>
        <v>2-Actifs</v>
      </c>
      <c r="R6" s="153" t="str">
        <f t="shared" si="3"/>
        <v>1302</v>
      </c>
      <c r="S6" s="154">
        <f t="shared" si="4"/>
        <v>0</v>
      </c>
      <c r="T6" s="156">
        <f>+VLOOKUP($L6,Data_Validation!$A:$D,1,0)</f>
        <v>1303</v>
      </c>
      <c r="U6" s="156" t="str">
        <f>+VLOOKUP($L6,Data_Validation!$A:$D,3,0)</f>
        <v>Bilan</v>
      </c>
      <c r="V6" s="156" t="str">
        <f>+VLOOKUP($L6,Data_Validation!$A:$D,4,0)</f>
        <v>Recevables Véhicules</v>
      </c>
      <c r="W6" s="156" t="str">
        <f>+VLOOKUP($L6,Data_Validation!$A:$E,5,0)</f>
        <v>$</v>
      </c>
      <c r="X6" s="156">
        <f>+VLOOKUP($L6,Data_Validation!$A:$F,6,0)</f>
        <v>0</v>
      </c>
    </row>
    <row r="7" spans="1:24" ht="15" hidden="1" customHeight="1">
      <c r="A7" s="1163" t="s">
        <v>2099</v>
      </c>
      <c r="B7" s="1164">
        <v>1304</v>
      </c>
      <c r="C7" s="1167">
        <v>53641.22</v>
      </c>
      <c r="D7" s="1167">
        <v>32503.9</v>
      </c>
      <c r="E7" s="1167">
        <v>86145.12</v>
      </c>
      <c r="F7" s="1163" t="s">
        <v>293</v>
      </c>
      <c r="G7" s="1163" t="s">
        <v>2100</v>
      </c>
      <c r="H7" s="1166"/>
      <c r="I7" s="1165"/>
      <c r="J7" s="1165"/>
      <c r="K7" s="1165"/>
      <c r="L7" s="153">
        <f t="shared" si="0"/>
        <v>1304</v>
      </c>
      <c r="M7" s="154" t="str">
        <f t="shared" si="1"/>
        <v>RECEVABLES PIECES &amp; SERVICE</v>
      </c>
      <c r="N7" s="155">
        <f>+IF(OR($Q7=Parametres!$G$2,$Q7=Parametres!$G$3),I7,C7)</f>
        <v>53641.22</v>
      </c>
      <c r="O7" s="1108">
        <f>+IF(OR($Q7=Parametres!$G$2,$Q7=Parametres!$G$3),J7,D7)</f>
        <v>32503.9</v>
      </c>
      <c r="P7" s="155">
        <f>+IF(OR($Q7=Parametres!$G$2,$Q7=Parametres!$G$3),K7,E7)</f>
        <v>86145.12</v>
      </c>
      <c r="Q7" s="154" t="str">
        <f t="shared" si="2"/>
        <v>2-Actifs</v>
      </c>
      <c r="R7" s="153" t="str">
        <f t="shared" si="3"/>
        <v>1304</v>
      </c>
      <c r="S7" s="154">
        <f t="shared" si="4"/>
        <v>0</v>
      </c>
      <c r="T7" s="156">
        <f>+VLOOKUP($L7,Data_Validation!$A:$D,1,0)</f>
        <v>1304</v>
      </c>
      <c r="U7" s="156" t="str">
        <f>+VLOOKUP($L7,Data_Validation!$A:$D,3,0)</f>
        <v>Bilan</v>
      </c>
      <c r="V7" s="156" t="str">
        <f>+VLOOKUP($L7,Data_Validation!$A:$D,4,0)</f>
        <v>Recevables Pièces et Service</v>
      </c>
      <c r="W7" s="156" t="str">
        <f>+VLOOKUP($L7,Data_Validation!$A:$E,5,0)</f>
        <v>$</v>
      </c>
      <c r="X7" s="156">
        <f>+VLOOKUP($L7,Data_Validation!$A:$F,6,0)</f>
        <v>0</v>
      </c>
    </row>
    <row r="8" spans="1:24" ht="15" hidden="1" customHeight="1">
      <c r="A8" s="1163" t="s">
        <v>2732</v>
      </c>
      <c r="B8" s="1164">
        <v>1305</v>
      </c>
      <c r="C8" s="1167">
        <v>36890.19</v>
      </c>
      <c r="D8" s="1167">
        <v>15497</v>
      </c>
      <c r="E8" s="1167">
        <v>52387.19</v>
      </c>
      <c r="F8" s="1163" t="s">
        <v>293</v>
      </c>
      <c r="G8" s="1163" t="s">
        <v>2100</v>
      </c>
      <c r="H8" s="1166"/>
      <c r="I8" s="1165"/>
      <c r="J8" s="1165"/>
      <c r="K8" s="1165"/>
      <c r="L8" s="153">
        <f t="shared" si="0"/>
        <v>1305</v>
      </c>
      <c r="M8" s="154" t="str">
        <f t="shared" si="1"/>
        <v>RECEVABLES CARROSSERIE</v>
      </c>
      <c r="N8" s="155">
        <f>+IF(OR($Q8=Parametres!$G$2,$Q8=Parametres!$G$3),I8,C8)</f>
        <v>36890.19</v>
      </c>
      <c r="O8" s="1108">
        <f>+IF(OR($Q8=Parametres!$G$2,$Q8=Parametres!$G$3),J8,D8)</f>
        <v>15497</v>
      </c>
      <c r="P8" s="155">
        <f>+IF(OR($Q8=Parametres!$G$2,$Q8=Parametres!$G$3),K8,E8)</f>
        <v>52387.19</v>
      </c>
      <c r="Q8" s="154" t="str">
        <f t="shared" si="2"/>
        <v>2-Actifs</v>
      </c>
      <c r="R8" s="153" t="str">
        <f t="shared" si="3"/>
        <v>1304</v>
      </c>
      <c r="S8" s="154">
        <f t="shared" si="4"/>
        <v>0</v>
      </c>
      <c r="T8" s="156">
        <f>+VLOOKUP($L8,Data_Validation!$A:$D,1,0)</f>
        <v>1305</v>
      </c>
      <c r="U8" s="156" t="str">
        <f>+VLOOKUP($L8,Data_Validation!$A:$D,3,0)</f>
        <v>Bilan</v>
      </c>
      <c r="V8" s="156" t="str">
        <f>+VLOOKUP($L8,Data_Validation!$A:$D,4,0)</f>
        <v>Recevables Carrosserie</v>
      </c>
      <c r="W8" s="156" t="str">
        <f>+VLOOKUP($L8,Data_Validation!$A:$E,5,0)</f>
        <v>$</v>
      </c>
      <c r="X8" s="156">
        <f>+VLOOKUP($L8,Data_Validation!$A:$F,6,0)</f>
        <v>0</v>
      </c>
    </row>
    <row r="9" spans="1:24" ht="15" hidden="1" customHeight="1">
      <c r="A9" s="1163" t="s">
        <v>2974</v>
      </c>
      <c r="B9" s="1164">
        <v>1306</v>
      </c>
      <c r="C9" s="1167">
        <v>23286.12</v>
      </c>
      <c r="D9" s="1167">
        <v>-16519.22</v>
      </c>
      <c r="E9" s="1167">
        <v>6766.9</v>
      </c>
      <c r="F9" s="1163" t="s">
        <v>293</v>
      </c>
      <c r="G9" s="1163" t="s">
        <v>2100</v>
      </c>
      <c r="H9" s="1166"/>
      <c r="I9" s="1165"/>
      <c r="J9" s="1165"/>
      <c r="K9" s="1165"/>
      <c r="L9" s="153">
        <f t="shared" si="0"/>
        <v>1306</v>
      </c>
      <c r="M9" s="154" t="str">
        <f t="shared" si="1"/>
        <v>RECEVABLES INTERCO</v>
      </c>
      <c r="N9" s="155">
        <f>+IF(OR($Q9=Parametres!$G$2,$Q9=Parametres!$G$3),I9,C9)</f>
        <v>23286.12</v>
      </c>
      <c r="O9" s="1106">
        <f>+IF(OR($Q9=Parametres!$G$2,$Q9=Parametres!$G$3),J9,D9)</f>
        <v>-16519.22</v>
      </c>
      <c r="P9" s="155">
        <f>+IF(OR($Q9=Parametres!$G$2,$Q9=Parametres!$G$3),K9,E9)</f>
        <v>6766.9</v>
      </c>
      <c r="Q9" s="154" t="str">
        <f t="shared" si="2"/>
        <v>2-Actifs</v>
      </c>
      <c r="R9" s="153" t="str">
        <f t="shared" si="3"/>
        <v>1304</v>
      </c>
      <c r="S9" s="154">
        <f t="shared" si="4"/>
        <v>0</v>
      </c>
      <c r="T9" s="156">
        <f>+VLOOKUP($L9,Data_Validation!$A:$D,1,0)</f>
        <v>1306</v>
      </c>
      <c r="U9" s="156" t="str">
        <f>+VLOOKUP($L9,Data_Validation!$A:$D,3,0)</f>
        <v>Bilan</v>
      </c>
      <c r="V9" s="156" t="str">
        <f>+VLOOKUP($L9,Data_Validation!$A:$D,4,0)</f>
        <v>Recevables Intercos</v>
      </c>
      <c r="W9" s="156" t="str">
        <f>+VLOOKUP($L9,Data_Validation!$A:$E,5,0)</f>
        <v>$</v>
      </c>
      <c r="X9" s="156">
        <f>+VLOOKUP($L9,Data_Validation!$A:$F,6,0)</f>
        <v>0</v>
      </c>
    </row>
    <row r="10" spans="1:24" ht="15" hidden="1" customHeight="1">
      <c r="A10" s="1163" t="s">
        <v>3049</v>
      </c>
      <c r="B10" s="1164">
        <v>1307</v>
      </c>
      <c r="C10" s="1167">
        <v>34403.71</v>
      </c>
      <c r="D10" s="1167">
        <v>-24903.71</v>
      </c>
      <c r="E10" s="1167">
        <v>9500</v>
      </c>
      <c r="F10" s="1163" t="s">
        <v>293</v>
      </c>
      <c r="G10" s="1163" t="s">
        <v>2014</v>
      </c>
      <c r="H10" s="1166"/>
      <c r="I10" s="1165"/>
      <c r="J10" s="1165"/>
      <c r="K10" s="1165"/>
      <c r="L10" s="153">
        <f t="shared" si="0"/>
        <v>1307</v>
      </c>
      <c r="M10" s="154" t="str">
        <f t="shared" si="1"/>
        <v>RECEVABLES INTERCO VEHICULE</v>
      </c>
      <c r="N10" s="155">
        <f>+IF(OR($Q10=Parametres!$G$2,$Q10=Parametres!$G$3),I10,C10)</f>
        <v>34403.71</v>
      </c>
      <c r="O10" s="1109">
        <f>+IF(OR($Q10=Parametres!$G$2,$Q10=Parametres!$G$3),J10,D10)</f>
        <v>-24903.71</v>
      </c>
      <c r="P10" s="155">
        <f>+IF(OR($Q10=Parametres!$G$2,$Q10=Parametres!$G$3),K10,E10)</f>
        <v>9500</v>
      </c>
      <c r="Q10" s="154" t="str">
        <f t="shared" si="2"/>
        <v>2-Actifs</v>
      </c>
      <c r="R10" s="153" t="str">
        <f t="shared" si="3"/>
        <v>1302</v>
      </c>
      <c r="S10" s="154">
        <f t="shared" si="4"/>
        <v>0</v>
      </c>
      <c r="T10" s="156">
        <f>+VLOOKUP($L10,Data_Validation!$A:$D,1,0)</f>
        <v>1307</v>
      </c>
      <c r="U10" s="156" t="str">
        <f>+VLOOKUP($L10,Data_Validation!$A:$D,3,0)</f>
        <v>Bilan</v>
      </c>
      <c r="V10" s="156" t="str">
        <f>+VLOOKUP($L10,Data_Validation!$A:$D,4,0)</f>
        <v>Recevables Intercos</v>
      </c>
      <c r="W10" s="156" t="str">
        <f>+VLOOKUP($L10,Data_Validation!$A:$E,5,0)</f>
        <v>$</v>
      </c>
      <c r="X10" s="156">
        <f>+VLOOKUP($L10,Data_Validation!$A:$F,6,0)</f>
        <v>0</v>
      </c>
    </row>
    <row r="11" spans="1:24" ht="15" hidden="1" customHeight="1">
      <c r="A11" s="1163" t="s">
        <v>2829</v>
      </c>
      <c r="B11" s="1164">
        <v>1312</v>
      </c>
      <c r="C11" s="1167">
        <v>13687</v>
      </c>
      <c r="D11" s="1167">
        <v>20144</v>
      </c>
      <c r="E11" s="1167">
        <v>33831</v>
      </c>
      <c r="F11" s="1163" t="s">
        <v>293</v>
      </c>
      <c r="G11" s="1163" t="s">
        <v>2019</v>
      </c>
      <c r="H11" s="1166"/>
      <c r="I11" s="1165"/>
      <c r="J11" s="1165"/>
      <c r="K11" s="1165"/>
      <c r="L11" s="153">
        <f t="shared" si="0"/>
        <v>1312</v>
      </c>
      <c r="M11" s="154" t="str">
        <f t="shared" si="1"/>
        <v>RESEVE VOLKS</v>
      </c>
      <c r="N11" s="155">
        <f>+IF(OR($Q11=Parametres!$G$2,$Q11=Parametres!$G$3),I11,C11)</f>
        <v>13687</v>
      </c>
      <c r="O11" s="1109">
        <f>+IF(OR($Q11=Parametres!$G$2,$Q11=Parametres!$G$3),J11,D11)</f>
        <v>20144</v>
      </c>
      <c r="P11" s="155">
        <f>+IF(OR($Q11=Parametres!$G$2,$Q11=Parametres!$G$3),K11,E11)</f>
        <v>33831</v>
      </c>
      <c r="Q11" s="154" t="str">
        <f t="shared" si="2"/>
        <v>2-Actifs</v>
      </c>
      <c r="R11" s="153" t="str">
        <f t="shared" si="3"/>
        <v>1314</v>
      </c>
      <c r="S11" s="154">
        <f t="shared" si="4"/>
        <v>0</v>
      </c>
      <c r="T11" s="156">
        <f>+VLOOKUP($L11,Data_Validation!$A:$D,1,0)</f>
        <v>1312</v>
      </c>
      <c r="U11" s="156" t="str">
        <f>+VLOOKUP($L11,Data_Validation!$A:$D,3,0)</f>
        <v>Bilan</v>
      </c>
      <c r="V11" s="156" t="str">
        <f>+VLOOKUP($L11,Data_Validation!$A:$D,4,0)</f>
        <v>Recevables Manufacturier</v>
      </c>
      <c r="W11" s="156" t="str">
        <f>+VLOOKUP($L11,Data_Validation!$A:$E,5,0)</f>
        <v>$</v>
      </c>
      <c r="X11" s="156">
        <f>+VLOOKUP($L11,Data_Validation!$A:$F,6,0)</f>
        <v>0</v>
      </c>
    </row>
    <row r="12" spans="1:24" ht="15" hidden="1" customHeight="1">
      <c r="A12" s="1163" t="s">
        <v>2057</v>
      </c>
      <c r="B12" s="1164">
        <v>1332</v>
      </c>
      <c r="C12" s="1167">
        <v>22884.09</v>
      </c>
      <c r="D12" s="1167">
        <v>75693.7</v>
      </c>
      <c r="E12" s="1167">
        <v>98577.79</v>
      </c>
      <c r="F12" s="1163" t="s">
        <v>293</v>
      </c>
      <c r="G12" s="1163" t="s">
        <v>2058</v>
      </c>
      <c r="H12" s="1166"/>
      <c r="I12" s="1165"/>
      <c r="J12" s="1165"/>
      <c r="K12" s="1165"/>
      <c r="L12" s="153">
        <f t="shared" si="0"/>
        <v>1332</v>
      </c>
      <c r="M12" s="154" t="str">
        <f t="shared" si="1"/>
        <v>RECLAM. RECEVABLE-GARANTIE</v>
      </c>
      <c r="N12" s="155">
        <f>+IF(OR($Q12=Parametres!$G$2,$Q12=Parametres!$G$3),I12,C12)</f>
        <v>22884.09</v>
      </c>
      <c r="O12" s="1108">
        <f>+IF(OR($Q12=Parametres!$G$2,$Q12=Parametres!$G$3),J12,D12)</f>
        <v>75693.7</v>
      </c>
      <c r="P12" s="155">
        <f>+IF(OR($Q12=Parametres!$G$2,$Q12=Parametres!$G$3),K12,E12)</f>
        <v>98577.79</v>
      </c>
      <c r="Q12" s="154" t="str">
        <f t="shared" si="2"/>
        <v>2-Actifs</v>
      </c>
      <c r="R12" s="153" t="str">
        <f t="shared" si="3"/>
        <v>1332</v>
      </c>
      <c r="S12" s="154">
        <f t="shared" si="4"/>
        <v>0</v>
      </c>
      <c r="T12" s="156">
        <f>+VLOOKUP($L12,Data_Validation!$A:$D,1,0)</f>
        <v>1332</v>
      </c>
      <c r="U12" s="156" t="str">
        <f>+VLOOKUP($L12,Data_Validation!$A:$D,3,0)</f>
        <v>Bilan</v>
      </c>
      <c r="V12" s="156" t="str">
        <f>+VLOOKUP($L12,Data_Validation!$A:$D,4,0)</f>
        <v>Recevables Garantie Manufacturier</v>
      </c>
      <c r="W12" s="156" t="str">
        <f>+VLOOKUP($L12,Data_Validation!$A:$E,5,0)</f>
        <v>$</v>
      </c>
      <c r="X12" s="156">
        <f>+VLOOKUP($L12,Data_Validation!$A:$F,6,0)</f>
        <v>0</v>
      </c>
    </row>
    <row r="13" spans="1:24" ht="15" hidden="1" customHeight="1">
      <c r="A13" s="1163" t="s">
        <v>2778</v>
      </c>
      <c r="B13" s="1164">
        <v>1340</v>
      </c>
      <c r="C13" s="1167">
        <v>7856.79</v>
      </c>
      <c r="D13" s="1167">
        <v>-8922.4699999999993</v>
      </c>
      <c r="E13" s="1167">
        <v>-1065.68</v>
      </c>
      <c r="F13" s="1163" t="s">
        <v>293</v>
      </c>
      <c r="G13" s="1163" t="s">
        <v>2618</v>
      </c>
      <c r="H13" s="1166"/>
      <c r="I13" s="1165"/>
      <c r="J13" s="1165"/>
      <c r="K13" s="1165"/>
      <c r="L13" s="153">
        <f t="shared" si="0"/>
        <v>1340</v>
      </c>
      <c r="M13" s="154" t="str">
        <f t="shared" si="1"/>
        <v>GARANTIE PPM</v>
      </c>
      <c r="N13" s="155">
        <f>+IF(OR($Q13=Parametres!$G$2,$Q13=Parametres!$G$3),I13,C13)</f>
        <v>7856.79</v>
      </c>
      <c r="O13" s="1108">
        <f>+IF(OR($Q13=Parametres!$G$2,$Q13=Parametres!$G$3),J13,D13)</f>
        <v>-8922.4699999999993</v>
      </c>
      <c r="P13" s="155">
        <f>+IF(OR($Q13=Parametres!$G$2,$Q13=Parametres!$G$3),K13,E13)</f>
        <v>-1065.68</v>
      </c>
      <c r="Q13" s="154" t="str">
        <f t="shared" si="2"/>
        <v>2-Actifs</v>
      </c>
      <c r="R13" s="153" t="str">
        <f t="shared" si="3"/>
        <v>1382</v>
      </c>
      <c r="S13" s="154">
        <f t="shared" si="4"/>
        <v>0</v>
      </c>
      <c r="T13" s="156">
        <f>+VLOOKUP($L13,Data_Validation!$A:$D,1,0)</f>
        <v>1340</v>
      </c>
      <c r="U13" s="156" t="str">
        <f>+VLOOKUP($L13,Data_Validation!$A:$D,3,0)</f>
        <v>Bilan</v>
      </c>
      <c r="V13" s="156" t="str">
        <f>+VLOOKUP($L13,Data_Validation!$A:$D,4,0)</f>
        <v>recevables Autres</v>
      </c>
      <c r="W13" s="156" t="str">
        <f>+VLOOKUP($L13,Data_Validation!$A:$E,5,0)</f>
        <v>$</v>
      </c>
      <c r="X13" s="156">
        <f>+VLOOKUP($L13,Data_Validation!$A:$F,6,0)</f>
        <v>0</v>
      </c>
    </row>
    <row r="14" spans="1:24" ht="15" hidden="1" customHeight="1">
      <c r="A14" s="1163" t="s">
        <v>2017</v>
      </c>
      <c r="B14" s="1164">
        <v>1352</v>
      </c>
      <c r="C14" s="1167">
        <v>-35713.26</v>
      </c>
      <c r="D14" s="1167">
        <v>-23623</v>
      </c>
      <c r="E14" s="1167">
        <v>-59336.26</v>
      </c>
      <c r="F14" s="1163" t="s">
        <v>293</v>
      </c>
      <c r="G14" s="1163" t="s">
        <v>2019</v>
      </c>
      <c r="H14" s="1166"/>
      <c r="I14" s="1165"/>
      <c r="J14" s="1165"/>
      <c r="K14" s="1165"/>
      <c r="L14" s="153">
        <f t="shared" si="0"/>
        <v>1352</v>
      </c>
      <c r="M14" s="154" t="str">
        <f t="shared" si="1"/>
        <v>RECEV. MANUFACTURIER VOLKS</v>
      </c>
      <c r="N14" s="155">
        <f>+IF(OR($Q14=Parametres!$G$2,$Q14=Parametres!$G$3),I14,C14)</f>
        <v>-35713.26</v>
      </c>
      <c r="O14" s="1108">
        <f>+IF(OR($Q14=Parametres!$G$2,$Q14=Parametres!$G$3),J14,D14)</f>
        <v>-23623</v>
      </c>
      <c r="P14" s="155">
        <f>+IF(OR($Q14=Parametres!$G$2,$Q14=Parametres!$G$3),K14,E14)</f>
        <v>-59336.26</v>
      </c>
      <c r="Q14" s="154" t="str">
        <f t="shared" si="2"/>
        <v>2-Actifs</v>
      </c>
      <c r="R14" s="153" t="str">
        <f t="shared" si="3"/>
        <v>1314</v>
      </c>
      <c r="S14" s="154">
        <f t="shared" si="4"/>
        <v>0</v>
      </c>
      <c r="T14" s="156">
        <f>+VLOOKUP($L14,Data_Validation!$A:$D,1,0)</f>
        <v>1352</v>
      </c>
      <c r="U14" s="156" t="str">
        <f>+VLOOKUP($L14,Data_Validation!$A:$D,3,0)</f>
        <v>Bilan</v>
      </c>
      <c r="V14" s="156" t="str">
        <f>+VLOOKUP($L14,Data_Validation!$A:$D,4,0)</f>
        <v>Recevables Manufacturier</v>
      </c>
      <c r="W14" s="156" t="str">
        <f>+VLOOKUP($L14,Data_Validation!$A:$E,5,0)</f>
        <v>$</v>
      </c>
      <c r="X14" s="156">
        <f>+VLOOKUP($L14,Data_Validation!$A:$F,6,0)</f>
        <v>0</v>
      </c>
    </row>
    <row r="15" spans="1:24" ht="15" hidden="1" customHeight="1">
      <c r="A15" s="1163" t="s">
        <v>2817</v>
      </c>
      <c r="B15" s="1164">
        <v>1372</v>
      </c>
      <c r="C15" s="1167">
        <v>4905.47</v>
      </c>
      <c r="D15" s="1166">
        <v>0</v>
      </c>
      <c r="E15" s="1167">
        <v>4905.47</v>
      </c>
      <c r="F15" s="1163" t="s">
        <v>293</v>
      </c>
      <c r="G15" s="1163" t="s">
        <v>2818</v>
      </c>
      <c r="H15" s="1166"/>
      <c r="I15" s="1165"/>
      <c r="J15" s="1165"/>
      <c r="K15" s="1165"/>
      <c r="L15" s="153">
        <f t="shared" si="0"/>
        <v>1372</v>
      </c>
      <c r="M15" s="154" t="str">
        <f t="shared" si="1"/>
        <v>TAXES DE VENTES A RECEVOIR</v>
      </c>
      <c r="N15" s="155">
        <f>+IF(OR($Q15=Parametres!$G$2,$Q15=Parametres!$G$3),I15,C15)</f>
        <v>4905.47</v>
      </c>
      <c r="O15" s="1108">
        <f>+IF(OR($Q15=Parametres!$G$2,$Q15=Parametres!$G$3),J15,D15)</f>
        <v>0</v>
      </c>
      <c r="P15" s="155">
        <f>+IF(OR($Q15=Parametres!$G$2,$Q15=Parametres!$G$3),K15,E15)</f>
        <v>4905.47</v>
      </c>
      <c r="Q15" s="154" t="str">
        <f t="shared" si="2"/>
        <v>2-Actifs</v>
      </c>
      <c r="R15" s="153" t="str">
        <f t="shared" si="3"/>
        <v>1372</v>
      </c>
      <c r="S15" s="154">
        <f t="shared" si="4"/>
        <v>0</v>
      </c>
      <c r="T15" s="156">
        <f>+VLOOKUP($L15,Data_Validation!$A:$D,1,0)</f>
        <v>1372</v>
      </c>
      <c r="U15" s="156" t="str">
        <f>+VLOOKUP($L15,Data_Validation!$A:$D,3,0)</f>
        <v>Bilan</v>
      </c>
      <c r="V15" s="156" t="str">
        <f>+VLOOKUP($L15,Data_Validation!$A:$D,4,0)</f>
        <v>Taxes de Vente à Payer</v>
      </c>
      <c r="W15" s="156" t="str">
        <f>+VLOOKUP($L15,Data_Validation!$A:$E,5,0)</f>
        <v>$</v>
      </c>
      <c r="X15" s="156">
        <f>+VLOOKUP($L15,Data_Validation!$A:$F,6,0)</f>
        <v>0</v>
      </c>
    </row>
    <row r="16" spans="1:24" ht="15" hidden="1" customHeight="1">
      <c r="A16" s="1163" t="s">
        <v>2860</v>
      </c>
      <c r="B16" s="1164">
        <v>1399</v>
      </c>
      <c r="C16" s="1167">
        <v>-29937.86</v>
      </c>
      <c r="D16" s="1167">
        <v>1982.79</v>
      </c>
      <c r="E16" s="1167">
        <v>-27955.07</v>
      </c>
      <c r="F16" s="1163" t="s">
        <v>293</v>
      </c>
      <c r="G16" s="1163" t="s">
        <v>2861</v>
      </c>
      <c r="H16" s="1166"/>
      <c r="I16" s="1165"/>
      <c r="J16" s="1165"/>
      <c r="K16" s="1165"/>
      <c r="L16" s="153">
        <f t="shared" si="0"/>
        <v>1399</v>
      </c>
      <c r="M16" s="154" t="str">
        <f t="shared" si="1"/>
        <v>RESERVE CREANCE DOUTEUSES</v>
      </c>
      <c r="N16" s="155">
        <f>+IF(OR($Q16=Parametres!$G$2,$Q16=Parametres!$G$3),I16,C16)</f>
        <v>-29937.86</v>
      </c>
      <c r="O16" s="1108">
        <f>+IF(OR($Q16=Parametres!$G$2,$Q16=Parametres!$G$3),J16,D16)</f>
        <v>1982.79</v>
      </c>
      <c r="P16" s="155">
        <f>+IF(OR($Q16=Parametres!$G$2,$Q16=Parametres!$G$3),K16,E16)</f>
        <v>-27955.07</v>
      </c>
      <c r="Q16" s="154" t="str">
        <f t="shared" si="2"/>
        <v>2-Actifs</v>
      </c>
      <c r="R16" s="153" t="str">
        <f t="shared" si="3"/>
        <v>1399</v>
      </c>
      <c r="S16" s="154">
        <f t="shared" si="4"/>
        <v>0</v>
      </c>
      <c r="T16" s="156">
        <f>+VLOOKUP($L16,Data_Validation!$A:$D,1,0)</f>
        <v>1399</v>
      </c>
      <c r="U16" s="156" t="str">
        <f>+VLOOKUP($L16,Data_Validation!$A:$D,3,0)</f>
        <v>Bilan</v>
      </c>
      <c r="V16" s="156" t="str">
        <f>+VLOOKUP($L16,Data_Validation!$A:$D,4,0)</f>
        <v>Recevables Pièces et Service</v>
      </c>
      <c r="W16" s="156" t="str">
        <f>+VLOOKUP($L16,Data_Validation!$A:$E,5,0)</f>
        <v>$</v>
      </c>
      <c r="X16" s="156">
        <f>+VLOOKUP($L16,Data_Validation!$A:$F,6,0)</f>
        <v>0</v>
      </c>
    </row>
    <row r="17" spans="1:24" ht="15" hidden="1" customHeight="1">
      <c r="A17" s="1163" t="s">
        <v>2106</v>
      </c>
      <c r="B17" s="1164">
        <v>1402</v>
      </c>
      <c r="C17" s="1167">
        <v>1354870.3</v>
      </c>
      <c r="D17" s="1167">
        <v>-360721.74</v>
      </c>
      <c r="E17" s="1167">
        <v>994148.56</v>
      </c>
      <c r="F17" s="1163" t="s">
        <v>293</v>
      </c>
      <c r="G17" s="1163" t="s">
        <v>2107</v>
      </c>
      <c r="H17" s="1166"/>
      <c r="I17" s="1165"/>
      <c r="J17" s="1165"/>
      <c r="K17" s="1165"/>
      <c r="L17" s="153">
        <f t="shared" si="0"/>
        <v>1402</v>
      </c>
      <c r="M17" s="154" t="str">
        <f t="shared" si="1"/>
        <v>VEHIC. NEUFS VOLKS</v>
      </c>
      <c r="N17" s="155">
        <f>+IF(OR($Q17=Parametres!$G$2,$Q17=Parametres!$G$3),I17,C17)</f>
        <v>1354870.3</v>
      </c>
      <c r="O17" s="1108">
        <f>+IF(OR($Q17=Parametres!$G$2,$Q17=Parametres!$G$3),J17,D17)</f>
        <v>-360721.74</v>
      </c>
      <c r="P17" s="155">
        <f>+IF(OR($Q17=Parametres!$G$2,$Q17=Parametres!$G$3),K17,E17)</f>
        <v>994148.56</v>
      </c>
      <c r="Q17" s="154" t="str">
        <f t="shared" si="2"/>
        <v>2-Actifs</v>
      </c>
      <c r="R17" s="153" t="str">
        <f t="shared" si="3"/>
        <v>1402</v>
      </c>
      <c r="S17" s="154">
        <f t="shared" si="4"/>
        <v>0</v>
      </c>
      <c r="T17" s="156">
        <f>+VLOOKUP($L17,Data_Validation!$A:$D,1,0)</f>
        <v>1402</v>
      </c>
      <c r="U17" s="156" t="str">
        <f>+VLOOKUP($L17,Data_Validation!$A:$D,3,0)</f>
        <v>Bilan</v>
      </c>
      <c r="V17" s="156" t="str">
        <f>+VLOOKUP($L17,Data_Validation!$A:$D,4,0)</f>
        <v>Inventaire Véhicules Neufs</v>
      </c>
      <c r="W17" s="156" t="str">
        <f>+VLOOKUP($L17,Data_Validation!$A:$E,5,0)</f>
        <v>$</v>
      </c>
      <c r="X17" s="156">
        <f>+VLOOKUP($L17,Data_Validation!$A:$F,6,0)</f>
        <v>0</v>
      </c>
    </row>
    <row r="18" spans="1:24" ht="15" hidden="1" customHeight="1">
      <c r="A18" s="1163" t="s">
        <v>2472</v>
      </c>
      <c r="B18" s="1164" t="s">
        <v>2473</v>
      </c>
      <c r="C18" s="1167"/>
      <c r="D18" s="1167"/>
      <c r="E18" s="1167"/>
      <c r="F18" s="1163" t="s">
        <v>4</v>
      </c>
      <c r="G18" s="1163" t="s">
        <v>2107</v>
      </c>
      <c r="H18" s="1166"/>
      <c r="I18" s="1165">
        <v>32</v>
      </c>
      <c r="J18" s="1165">
        <v>-8</v>
      </c>
      <c r="K18" s="1165">
        <v>24</v>
      </c>
      <c r="L18" s="153" t="str">
        <f t="shared" si="0"/>
        <v>1402@</v>
      </c>
      <c r="M18" s="154" t="str">
        <f t="shared" si="1"/>
        <v># DE INVENTAIRE VEH.NEUFS VW</v>
      </c>
      <c r="N18" s="155">
        <f>+IF(OR($Q18=Parametres!$G$2,$Q18=Parametres!$G$3),I18,C18)</f>
        <v>32</v>
      </c>
      <c r="O18" s="1108">
        <f>+IF(OR($Q18=Parametres!$G$2,$Q18=Parametres!$G$3),J18,D18)</f>
        <v>-8</v>
      </c>
      <c r="P18" s="155">
        <f>+IF(OR($Q18=Parametres!$G$2,$Q18=Parametres!$G$3),K18,E18)</f>
        <v>24</v>
      </c>
      <c r="Q18" s="154" t="str">
        <f t="shared" si="2"/>
        <v>10-Compte compteur</v>
      </c>
      <c r="R18" s="153" t="str">
        <f t="shared" si="3"/>
        <v>1402</v>
      </c>
      <c r="S18" s="154">
        <f t="shared" si="4"/>
        <v>0</v>
      </c>
      <c r="T18" s="156" t="str">
        <f>+VLOOKUP($L18,Data_Validation!$A:$D,1,0)</f>
        <v>1402@</v>
      </c>
      <c r="U18" s="156" t="str">
        <f>+VLOOKUP($L18,Data_Validation!$A:$D,3,0)</f>
        <v>Bilan</v>
      </c>
      <c r="V18" s="156">
        <f>+VLOOKUP($L18,Data_Validation!$A:$D,4,0)</f>
        <v>0</v>
      </c>
      <c r="W18" s="156" t="str">
        <f>+VLOOKUP($L18,Data_Validation!$A:$E,5,0)</f>
        <v>NB</v>
      </c>
      <c r="X18" s="156">
        <f>+VLOOKUP($L18,Data_Validation!$A:$F,6,0)</f>
        <v>0</v>
      </c>
    </row>
    <row r="19" spans="1:24" ht="15" hidden="1" customHeight="1">
      <c r="A19" s="1163" t="s">
        <v>2115</v>
      </c>
      <c r="B19" s="1164">
        <v>1403</v>
      </c>
      <c r="C19" s="1167">
        <v>-86714.29</v>
      </c>
      <c r="D19" s="1167">
        <v>-3000</v>
      </c>
      <c r="E19" s="1167">
        <v>-89714.29</v>
      </c>
      <c r="F19" s="1163" t="s">
        <v>293</v>
      </c>
      <c r="G19" s="1163" t="s">
        <v>2107</v>
      </c>
      <c r="H19" s="1166"/>
      <c r="I19" s="1165"/>
      <c r="J19" s="1165"/>
      <c r="K19" s="1165"/>
      <c r="L19" s="153">
        <f t="shared" si="0"/>
        <v>1403</v>
      </c>
      <c r="M19" s="154" t="str">
        <f t="shared" si="1"/>
        <v>BRUISING VOLKS VEH. NEUFS</v>
      </c>
      <c r="N19" s="155">
        <f>+IF(OR($Q19=Parametres!$G$2,$Q19=Parametres!$G$3),I19,C19)</f>
        <v>-86714.29</v>
      </c>
      <c r="O19" s="1106">
        <f>+IF(OR($Q19=Parametres!$G$2,$Q19=Parametres!$G$3),J19,D19)</f>
        <v>-3000</v>
      </c>
      <c r="P19" s="155">
        <f>+IF(OR($Q19=Parametres!$G$2,$Q19=Parametres!$G$3),K19,E19)</f>
        <v>-89714.29</v>
      </c>
      <c r="Q19" s="154" t="str">
        <f t="shared" si="2"/>
        <v>2-Actifs</v>
      </c>
      <c r="R19" s="153" t="str">
        <f t="shared" si="3"/>
        <v>1402</v>
      </c>
      <c r="S19" s="154">
        <f t="shared" si="4"/>
        <v>0</v>
      </c>
      <c r="T19" s="156">
        <f>+VLOOKUP($L19,Data_Validation!$A:$D,1,0)</f>
        <v>1403</v>
      </c>
      <c r="U19" s="156" t="str">
        <f>+VLOOKUP($L19,Data_Validation!$A:$D,3,0)</f>
        <v>Bilan</v>
      </c>
      <c r="V19" s="156" t="str">
        <f>+VLOOKUP($L19,Data_Validation!$A:$D,4,0)</f>
        <v>Inventaire Véhicules Neufs</v>
      </c>
      <c r="W19" s="156" t="str">
        <f>+VLOOKUP($L19,Data_Validation!$A:$E,5,0)</f>
        <v>$</v>
      </c>
      <c r="X19" s="156">
        <f>+VLOOKUP($L19,Data_Validation!$A:$F,6,0)</f>
        <v>0</v>
      </c>
    </row>
    <row r="20" spans="1:24" ht="15" hidden="1" customHeight="1">
      <c r="A20" s="1163" t="s">
        <v>2756</v>
      </c>
      <c r="B20" s="1164">
        <v>1413</v>
      </c>
      <c r="C20" s="1167">
        <v>-17500</v>
      </c>
      <c r="D20" s="1167">
        <v>-11100</v>
      </c>
      <c r="E20" s="1167">
        <v>-28600</v>
      </c>
      <c r="F20" s="1163" t="s">
        <v>293</v>
      </c>
      <c r="G20" s="1163" t="s">
        <v>2757</v>
      </c>
      <c r="H20" s="1166"/>
      <c r="I20" s="1165"/>
      <c r="J20" s="1165"/>
      <c r="K20" s="1165"/>
      <c r="L20" s="153">
        <f t="shared" si="0"/>
        <v>1413</v>
      </c>
      <c r="M20" s="154" t="str">
        <f t="shared" si="1"/>
        <v>BRUISING USED CAR</v>
      </c>
      <c r="N20" s="155">
        <f>+IF(OR($Q20=Parametres!$G$2,$Q20=Parametres!$G$3),I20,C20)</f>
        <v>-17500</v>
      </c>
      <c r="O20" s="1108">
        <f>+IF(OR($Q20=Parametres!$G$2,$Q20=Parametres!$G$3),J20,D20)</f>
        <v>-11100</v>
      </c>
      <c r="P20" s="155">
        <f>+IF(OR($Q20=Parametres!$G$2,$Q20=Parametres!$G$3),K20,E20)</f>
        <v>-28600</v>
      </c>
      <c r="Q20" s="154" t="str">
        <f t="shared" si="2"/>
        <v>2-Actifs</v>
      </c>
      <c r="R20" s="153" t="str">
        <f t="shared" si="3"/>
        <v>1413</v>
      </c>
      <c r="S20" s="154">
        <f t="shared" si="4"/>
        <v>0</v>
      </c>
      <c r="T20" s="156">
        <f>+VLOOKUP($L20,Data_Validation!$A:$D,1,0)</f>
        <v>1413</v>
      </c>
      <c r="U20" s="156" t="str">
        <f>+VLOOKUP($L20,Data_Validation!$A:$D,3,0)</f>
        <v>Bilan</v>
      </c>
      <c r="V20" s="156" t="str">
        <f>+VLOOKUP($L20,Data_Validation!$A:$D,4,0)</f>
        <v>Inventaire Véhicules Usagés</v>
      </c>
      <c r="W20" s="156" t="str">
        <f>+VLOOKUP($L20,Data_Validation!$A:$E,5,0)</f>
        <v>$</v>
      </c>
      <c r="X20" s="156">
        <f>+VLOOKUP($L20,Data_Validation!$A:$F,6,0)</f>
        <v>0</v>
      </c>
    </row>
    <row r="21" spans="1:24" ht="15" hidden="1" customHeight="1">
      <c r="A21" s="1163" t="s">
        <v>2821</v>
      </c>
      <c r="B21" s="1164">
        <v>1416</v>
      </c>
      <c r="C21" s="1167">
        <v>1417062.46</v>
      </c>
      <c r="D21" s="1167">
        <v>534061.03</v>
      </c>
      <c r="E21" s="1167">
        <v>1951123.49</v>
      </c>
      <c r="F21" s="1163" t="s">
        <v>293</v>
      </c>
      <c r="G21" s="1163" t="s">
        <v>2476</v>
      </c>
      <c r="H21" s="1166"/>
      <c r="I21" s="1165"/>
      <c r="J21" s="1165"/>
      <c r="K21" s="1165"/>
      <c r="L21" s="153">
        <f t="shared" si="0"/>
        <v>1416</v>
      </c>
      <c r="M21" s="154" t="str">
        <f t="shared" si="1"/>
        <v>INV. VEH. USAGE VW</v>
      </c>
      <c r="N21" s="155">
        <f>+IF(OR($Q21=Parametres!$G$2,$Q21=Parametres!$G$3),I21,C21)</f>
        <v>1417062.46</v>
      </c>
      <c r="O21" s="1108">
        <f>+IF(OR($Q21=Parametres!$G$2,$Q21=Parametres!$G$3),J21,D21)</f>
        <v>534061.03</v>
      </c>
      <c r="P21" s="155">
        <f>+IF(OR($Q21=Parametres!$G$2,$Q21=Parametres!$G$3),K21,E21)</f>
        <v>1951123.49</v>
      </c>
      <c r="Q21" s="154" t="str">
        <f t="shared" si="2"/>
        <v>2-Actifs</v>
      </c>
      <c r="R21" s="153" t="str">
        <f t="shared" si="3"/>
        <v>1416</v>
      </c>
      <c r="S21" s="154">
        <f t="shared" si="4"/>
        <v>0</v>
      </c>
      <c r="T21" s="156">
        <f>+VLOOKUP($L21,Data_Validation!$A:$D,1,0)</f>
        <v>1416</v>
      </c>
      <c r="U21" s="156" t="str">
        <f>+VLOOKUP($L21,Data_Validation!$A:$D,3,0)</f>
        <v>Bilan</v>
      </c>
      <c r="V21" s="156" t="str">
        <f>+VLOOKUP($L21,Data_Validation!$A:$D,4,0)</f>
        <v>Inventaire Véhicules Usagés</v>
      </c>
      <c r="W21" s="156" t="str">
        <f>+VLOOKUP($L21,Data_Validation!$A:$E,5,0)</f>
        <v>$</v>
      </c>
      <c r="X21" s="156">
        <f>+VLOOKUP($L21,Data_Validation!$A:$F,6,0)</f>
        <v>0</v>
      </c>
    </row>
    <row r="22" spans="1:24" ht="15" hidden="1" customHeight="1">
      <c r="A22" s="1163" t="s">
        <v>2474</v>
      </c>
      <c r="B22" s="1164" t="s">
        <v>2475</v>
      </c>
      <c r="C22" s="1167"/>
      <c r="D22" s="1167"/>
      <c r="E22" s="1167"/>
      <c r="F22" s="1163" t="s">
        <v>4</v>
      </c>
      <c r="G22" s="1163" t="s">
        <v>2476</v>
      </c>
      <c r="H22" s="1166"/>
      <c r="I22" s="1165">
        <v>70</v>
      </c>
      <c r="J22" s="1165">
        <v>19</v>
      </c>
      <c r="K22" s="1165">
        <v>89</v>
      </c>
      <c r="L22" s="153" t="str">
        <f t="shared" si="0"/>
        <v>1416@</v>
      </c>
      <c r="M22" s="154" t="str">
        <f t="shared" si="1"/>
        <v># DE INV. VEH. USAGE VW</v>
      </c>
      <c r="N22" s="155">
        <f>+IF(OR($Q22=Parametres!$G$2,$Q22=Parametres!$G$3),I22,C22)</f>
        <v>70</v>
      </c>
      <c r="O22" s="1108">
        <f>+IF(OR($Q22=Parametres!$G$2,$Q22=Parametres!$G$3),J22,D22)</f>
        <v>19</v>
      </c>
      <c r="P22" s="155">
        <f>+IF(OR($Q22=Parametres!$G$2,$Q22=Parametres!$G$3),K22,E22)</f>
        <v>89</v>
      </c>
      <c r="Q22" s="154" t="str">
        <f t="shared" si="2"/>
        <v>10-Compte compteur</v>
      </c>
      <c r="R22" s="153" t="str">
        <f t="shared" si="3"/>
        <v>1416</v>
      </c>
      <c r="S22" s="154">
        <f t="shared" si="4"/>
        <v>0</v>
      </c>
      <c r="T22" s="156" t="str">
        <f>+VLOOKUP($L22,Data_Validation!$A:$D,1,0)</f>
        <v>1416@</v>
      </c>
      <c r="U22" s="156" t="str">
        <f>+VLOOKUP($L22,Data_Validation!$A:$D,3,0)</f>
        <v>Bilan</v>
      </c>
      <c r="V22" s="156">
        <f>+VLOOKUP($L22,Data_Validation!$A:$D,4,0)</f>
        <v>0</v>
      </c>
      <c r="W22" s="156" t="str">
        <f>+VLOOKUP($L22,Data_Validation!$A:$E,5,0)</f>
        <v>NB</v>
      </c>
      <c r="X22" s="156">
        <f>+VLOOKUP($L22,Data_Validation!$A:$F,6,0)</f>
        <v>0</v>
      </c>
    </row>
    <row r="23" spans="1:24" ht="15" hidden="1" customHeight="1">
      <c r="A23" s="1163" t="s">
        <v>2892</v>
      </c>
      <c r="B23" s="1164" t="s">
        <v>2893</v>
      </c>
      <c r="C23" s="1166"/>
      <c r="D23" s="1166"/>
      <c r="E23" s="1166"/>
      <c r="F23" s="1163" t="s">
        <v>4</v>
      </c>
      <c r="G23" s="1163" t="s">
        <v>2894</v>
      </c>
      <c r="H23" s="1166"/>
      <c r="I23" s="1165">
        <v>1</v>
      </c>
      <c r="J23" s="1165">
        <v>0</v>
      </c>
      <c r="K23" s="1165">
        <v>1</v>
      </c>
      <c r="L23" s="153" t="str">
        <f t="shared" si="0"/>
        <v>1418@</v>
      </c>
      <c r="M23" s="154" t="str">
        <f t="shared" si="1"/>
        <v># DE INV.VEH.USAGE AUDI</v>
      </c>
      <c r="N23" s="155">
        <f>+IF(OR($Q23=Parametres!$G$2,$Q23=Parametres!$G$3),I23,C23)</f>
        <v>1</v>
      </c>
      <c r="O23" s="1108">
        <f>+IF(OR($Q23=Parametres!$G$2,$Q23=Parametres!$G$3),J23,D23)</f>
        <v>0</v>
      </c>
      <c r="P23" s="155">
        <f>+IF(OR($Q23=Parametres!$G$2,$Q23=Parametres!$G$3),K23,E23)</f>
        <v>1</v>
      </c>
      <c r="Q23" s="154" t="str">
        <f t="shared" si="2"/>
        <v>10-Compte compteur</v>
      </c>
      <c r="R23" s="153" t="str">
        <f t="shared" si="3"/>
        <v>1418</v>
      </c>
      <c r="S23" s="154">
        <f t="shared" si="4"/>
        <v>0</v>
      </c>
      <c r="T23" s="156" t="str">
        <f>+VLOOKUP($L23,Data_Validation!$A:$D,1,0)</f>
        <v>1418@</v>
      </c>
      <c r="U23" s="156">
        <f>+VLOOKUP($L23,Data_Validation!$A:$D,3,0)</f>
        <v>0</v>
      </c>
      <c r="V23" s="156">
        <f>+VLOOKUP($L23,Data_Validation!$A:$D,4,0)</f>
        <v>0</v>
      </c>
      <c r="W23" s="156">
        <f>+VLOOKUP($L23,Data_Validation!$A:$E,5,0)</f>
        <v>0</v>
      </c>
      <c r="X23" s="156">
        <f>+VLOOKUP($L23,Data_Validation!$A:$F,6,0)</f>
        <v>0</v>
      </c>
    </row>
    <row r="24" spans="1:24" ht="15" hidden="1" customHeight="1">
      <c r="A24" s="1163" t="s">
        <v>2862</v>
      </c>
      <c r="B24" s="1164">
        <v>1423</v>
      </c>
      <c r="C24" s="1167">
        <v>-20167.37</v>
      </c>
      <c r="D24" s="1166">
        <v>30.63</v>
      </c>
      <c r="E24" s="1167">
        <v>-20136.740000000002</v>
      </c>
      <c r="F24" s="1163" t="s">
        <v>293</v>
      </c>
      <c r="G24" s="1163" t="s">
        <v>2863</v>
      </c>
      <c r="H24" s="1166"/>
      <c r="I24" s="1165"/>
      <c r="J24" s="1165"/>
      <c r="K24" s="1165"/>
      <c r="L24" s="153">
        <f t="shared" si="0"/>
        <v>1423</v>
      </c>
      <c r="M24" s="154" t="str">
        <f t="shared" si="1"/>
        <v>RESERVE DEMO</v>
      </c>
      <c r="N24" s="155">
        <f>+IF(OR($Q24=Parametres!$G$2,$Q24=Parametres!$G$3),I24,C24)</f>
        <v>-20167.37</v>
      </c>
      <c r="O24" s="1108">
        <f>+IF(OR($Q24=Parametres!$G$2,$Q24=Parametres!$G$3),J24,D24)</f>
        <v>30.63</v>
      </c>
      <c r="P24" s="155">
        <f>+IF(OR($Q24=Parametres!$G$2,$Q24=Parametres!$G$3),K24,E24)</f>
        <v>-20136.740000000002</v>
      </c>
      <c r="Q24" s="154" t="str">
        <f t="shared" si="2"/>
        <v>2-Actifs</v>
      </c>
      <c r="R24" s="153" t="str">
        <f t="shared" si="3"/>
        <v>1423</v>
      </c>
      <c r="S24" s="154">
        <f t="shared" si="4"/>
        <v>0</v>
      </c>
      <c r="T24" s="156">
        <f>+VLOOKUP($L24,Data_Validation!$A:$D,1,0)</f>
        <v>1423</v>
      </c>
      <c r="U24" s="156" t="str">
        <f>+VLOOKUP($L24,Data_Validation!$A:$D,3,0)</f>
        <v>Bilan</v>
      </c>
      <c r="V24" s="156" t="str">
        <f>+VLOOKUP($L24,Data_Validation!$A:$D,4,0)</f>
        <v>Inventaire Véhicules Neufs</v>
      </c>
      <c r="W24" s="156" t="str">
        <f>+VLOOKUP($L24,Data_Validation!$A:$E,5,0)</f>
        <v>$</v>
      </c>
      <c r="X24" s="156">
        <f>+VLOOKUP($L24,Data_Validation!$A:$F,6,0)</f>
        <v>0</v>
      </c>
    </row>
    <row r="25" spans="1:24" ht="15" hidden="1" customHeight="1">
      <c r="A25" s="1163" t="s">
        <v>2864</v>
      </c>
      <c r="B25" s="1164">
        <v>1433</v>
      </c>
      <c r="C25" s="1167">
        <v>-25740</v>
      </c>
      <c r="D25" s="1167">
        <v>-1518.44</v>
      </c>
      <c r="E25" s="1167">
        <v>-27258.44</v>
      </c>
      <c r="F25" s="1163" t="s">
        <v>293</v>
      </c>
      <c r="G25" s="1163" t="s">
        <v>2865</v>
      </c>
      <c r="H25" s="1166"/>
      <c r="I25" s="1165"/>
      <c r="J25" s="1165"/>
      <c r="K25" s="1165"/>
      <c r="L25" s="153">
        <f t="shared" si="0"/>
        <v>1433</v>
      </c>
      <c r="M25" s="154" t="str">
        <f t="shared" si="1"/>
        <v>RESERVE COURTOISIE</v>
      </c>
      <c r="N25" s="155">
        <f>+IF(OR($Q25=Parametres!$G$2,$Q25=Parametres!$G$3),I25,C25)</f>
        <v>-25740</v>
      </c>
      <c r="O25" s="1108">
        <f>+IF(OR($Q25=Parametres!$G$2,$Q25=Parametres!$G$3),J25,D25)</f>
        <v>-1518.44</v>
      </c>
      <c r="P25" s="155">
        <f>+IF(OR($Q25=Parametres!$G$2,$Q25=Parametres!$G$3),K25,E25)</f>
        <v>-27258.44</v>
      </c>
      <c r="Q25" s="154" t="str">
        <f t="shared" si="2"/>
        <v>2-Actifs</v>
      </c>
      <c r="R25" s="153" t="str">
        <f t="shared" si="3"/>
        <v>143</v>
      </c>
      <c r="S25" s="154">
        <f t="shared" si="4"/>
        <v>0</v>
      </c>
      <c r="T25" s="156">
        <f>+VLOOKUP($L25,Data_Validation!$A:$D,1,0)</f>
        <v>1433</v>
      </c>
      <c r="U25" s="156" t="str">
        <f>+VLOOKUP($L25,Data_Validation!$A:$D,3,0)</f>
        <v>Bilan</v>
      </c>
      <c r="V25" s="156" t="str">
        <f>+VLOOKUP($L25,Data_Validation!$A:$D,4,0)</f>
        <v>Inventaire Véhicules Neufs</v>
      </c>
      <c r="W25" s="156" t="str">
        <f>+VLOOKUP($L25,Data_Validation!$A:$E,5,0)</f>
        <v>$</v>
      </c>
      <c r="X25" s="156">
        <f>+VLOOKUP($L25,Data_Validation!$A:$F,6,0)</f>
        <v>0</v>
      </c>
    </row>
    <row r="26" spans="1:24" ht="15.75" hidden="1" customHeight="1">
      <c r="A26" s="1163" t="s">
        <v>2029</v>
      </c>
      <c r="B26" s="1164">
        <v>1442</v>
      </c>
      <c r="C26" s="1167">
        <v>137640.17000000001</v>
      </c>
      <c r="D26" s="1167">
        <v>-55369.51</v>
      </c>
      <c r="E26" s="1167">
        <v>82270.66</v>
      </c>
      <c r="F26" s="1163" t="s">
        <v>293</v>
      </c>
      <c r="G26" s="1163" t="s">
        <v>2030</v>
      </c>
      <c r="H26" s="1166"/>
      <c r="I26" s="1165"/>
      <c r="J26" s="1165"/>
      <c r="K26" s="1165"/>
      <c r="L26" s="153">
        <f t="shared" si="0"/>
        <v>1442</v>
      </c>
      <c r="M26" s="154" t="str">
        <f t="shared" si="1"/>
        <v>PIECES &amp; ACCESSOIRES NEUFS</v>
      </c>
      <c r="N26" s="155">
        <f>+IF(OR($Q26=Parametres!$G$2,$Q26=Parametres!$G$3),I26,C26)</f>
        <v>137640.17000000001</v>
      </c>
      <c r="O26" s="1108">
        <f>+IF(OR($Q26=Parametres!$G$2,$Q26=Parametres!$G$3),J26,D26)</f>
        <v>-55369.51</v>
      </c>
      <c r="P26" s="155">
        <f>+IF(OR($Q26=Parametres!$G$2,$Q26=Parametres!$G$3),K26,E26)</f>
        <v>82270.66</v>
      </c>
      <c r="Q26" s="154" t="str">
        <f t="shared" si="2"/>
        <v>2-Actifs</v>
      </c>
      <c r="R26" s="153" t="str">
        <f t="shared" si="3"/>
        <v>1442</v>
      </c>
      <c r="S26" s="154">
        <f t="shared" si="4"/>
        <v>0</v>
      </c>
      <c r="T26" s="156">
        <f>+VLOOKUP($L26,Data_Validation!$A:$D,1,0)</f>
        <v>1442</v>
      </c>
      <c r="U26" s="156" t="str">
        <f>+VLOOKUP($L26,Data_Validation!$A:$D,3,0)</f>
        <v>Bilan</v>
      </c>
      <c r="V26" s="156" t="str">
        <f>+VLOOKUP($L26,Data_Validation!$A:$D,4,0)</f>
        <v>Inventaire Pièces, Pneus, Huile</v>
      </c>
      <c r="W26" s="156" t="str">
        <f>+VLOOKUP($L26,Data_Validation!$A:$E,5,0)</f>
        <v>$</v>
      </c>
      <c r="X26" s="156">
        <f>+VLOOKUP($L26,Data_Validation!$A:$F,6,0)</f>
        <v>0</v>
      </c>
    </row>
    <row r="27" spans="1:24" ht="15" hidden="1" customHeight="1">
      <c r="A27" s="1163" t="s">
        <v>2866</v>
      </c>
      <c r="B27" s="1164">
        <v>1448</v>
      </c>
      <c r="C27" s="1167">
        <v>0</v>
      </c>
      <c r="D27" s="1167">
        <v>126</v>
      </c>
      <c r="E27" s="1167">
        <v>126</v>
      </c>
      <c r="F27" s="1163" t="s">
        <v>293</v>
      </c>
      <c r="G27" s="1163" t="s">
        <v>2030</v>
      </c>
      <c r="H27" s="1166"/>
      <c r="I27" s="1165"/>
      <c r="J27" s="1165"/>
      <c r="K27" s="1165"/>
      <c r="L27" s="153">
        <f t="shared" si="0"/>
        <v>1448</v>
      </c>
      <c r="M27" s="154" t="str">
        <f t="shared" si="1"/>
        <v>AUTRES MARQUES P&amp;A</v>
      </c>
      <c r="N27" s="155">
        <f>+IF(OR($Q27=Parametres!$G$2,$Q27=Parametres!$G$3),I27,C27)</f>
        <v>0</v>
      </c>
      <c r="O27" s="1108">
        <f>+IF(OR($Q27=Parametres!$G$2,$Q27=Parametres!$G$3),J27,D27)</f>
        <v>126</v>
      </c>
      <c r="P27" s="155">
        <f>+IF(OR($Q27=Parametres!$G$2,$Q27=Parametres!$G$3),K27,E27)</f>
        <v>126</v>
      </c>
      <c r="Q27" s="154" t="str">
        <f t="shared" si="2"/>
        <v>2-Actifs</v>
      </c>
      <c r="R27" s="153" t="str">
        <f t="shared" si="3"/>
        <v>1442</v>
      </c>
      <c r="S27" s="154">
        <f t="shared" si="4"/>
        <v>0</v>
      </c>
      <c r="T27" s="156">
        <f>+VLOOKUP($L27,Data_Validation!$A:$D,1,0)</f>
        <v>1448</v>
      </c>
      <c r="U27" s="156" t="str">
        <f>+VLOOKUP($L27,Data_Validation!$A:$D,3,0)</f>
        <v>Bilan</v>
      </c>
      <c r="V27" s="156" t="str">
        <f>+VLOOKUP($L27,Data_Validation!$A:$D,4,0)</f>
        <v>Inventaire Pièces, Pneus, Huile</v>
      </c>
      <c r="W27" s="156" t="str">
        <f>+VLOOKUP($L27,Data_Validation!$A:$E,5,0)</f>
        <v>$</v>
      </c>
      <c r="X27" s="156">
        <f>+VLOOKUP($L27,Data_Validation!$A:$F,6,0)</f>
        <v>0</v>
      </c>
    </row>
    <row r="28" spans="1:24" ht="15" hidden="1" customHeight="1">
      <c r="A28" s="1163" t="s">
        <v>2819</v>
      </c>
      <c r="B28" s="1164">
        <v>1452</v>
      </c>
      <c r="C28" s="1167">
        <v>201426.24</v>
      </c>
      <c r="D28" s="1167">
        <v>27477.54</v>
      </c>
      <c r="E28" s="1167">
        <v>228903.78</v>
      </c>
      <c r="F28" s="1163" t="s">
        <v>293</v>
      </c>
      <c r="G28" s="1163" t="s">
        <v>2030</v>
      </c>
      <c r="H28" s="1166"/>
      <c r="I28" s="1165"/>
      <c r="J28" s="1165"/>
      <c r="K28" s="1165"/>
      <c r="L28" s="153">
        <f t="shared" si="0"/>
        <v>1452</v>
      </c>
      <c r="M28" s="154" t="str">
        <f t="shared" si="1"/>
        <v>PNEUS</v>
      </c>
      <c r="N28" s="155">
        <f>+IF(OR($Q28=Parametres!$G$2,$Q28=Parametres!$G$3),I28,C28)</f>
        <v>201426.24</v>
      </c>
      <c r="O28" s="1108">
        <f>+IF(OR($Q28=Parametres!$G$2,$Q28=Parametres!$G$3),J28,D28)</f>
        <v>27477.54</v>
      </c>
      <c r="P28" s="155">
        <f>+IF(OR($Q28=Parametres!$G$2,$Q28=Parametres!$G$3),K28,E28)</f>
        <v>228903.78</v>
      </c>
      <c r="Q28" s="154" t="str">
        <f t="shared" si="2"/>
        <v>2-Actifs</v>
      </c>
      <c r="R28" s="153" t="str">
        <f t="shared" si="3"/>
        <v>1442</v>
      </c>
      <c r="S28" s="154">
        <f t="shared" si="4"/>
        <v>0</v>
      </c>
      <c r="T28" s="156">
        <f>+VLOOKUP($L28,Data_Validation!$A:$D,1,0)</f>
        <v>1452</v>
      </c>
      <c r="U28" s="156" t="str">
        <f>+VLOOKUP($L28,Data_Validation!$A:$D,3,0)</f>
        <v>Bilan</v>
      </c>
      <c r="V28" s="156" t="str">
        <f>+VLOOKUP($L28,Data_Validation!$A:$D,4,0)</f>
        <v>Inventaire Pièces, Pneus, Huile</v>
      </c>
      <c r="W28" s="156" t="str">
        <f>+VLOOKUP($L28,Data_Validation!$A:$E,5,0)</f>
        <v>$</v>
      </c>
      <c r="X28" s="156">
        <f>+VLOOKUP($L28,Data_Validation!$A:$F,6,0)</f>
        <v>0</v>
      </c>
    </row>
    <row r="29" spans="1:24" ht="15" hidden="1" customHeight="1">
      <c r="A29" s="1163" t="s">
        <v>2735</v>
      </c>
      <c r="B29" s="1164">
        <v>1456</v>
      </c>
      <c r="C29" s="1167">
        <v>20746.650000000001</v>
      </c>
      <c r="D29" s="1167">
        <v>4026.37</v>
      </c>
      <c r="E29" s="1167">
        <v>24773.02</v>
      </c>
      <c r="F29" s="1163" t="s">
        <v>293</v>
      </c>
      <c r="G29" s="1163" t="s">
        <v>2736</v>
      </c>
      <c r="H29" s="1166"/>
      <c r="I29" s="1165"/>
      <c r="J29" s="1165"/>
      <c r="K29" s="1165"/>
      <c r="L29" s="153">
        <f t="shared" si="0"/>
        <v>1456</v>
      </c>
      <c r="M29" s="154" t="str">
        <f t="shared" si="1"/>
        <v>PIECES VW NON ORIGINE</v>
      </c>
      <c r="N29" s="155">
        <f>+IF(OR($Q29=Parametres!$G$2,$Q29=Parametres!$G$3),I29,C29)</f>
        <v>20746.650000000001</v>
      </c>
      <c r="O29" s="1108">
        <f>+IF(OR($Q29=Parametres!$G$2,$Q29=Parametres!$G$3),J29,D29)</f>
        <v>4026.37</v>
      </c>
      <c r="P29" s="155">
        <f>+IF(OR($Q29=Parametres!$G$2,$Q29=Parametres!$G$3),K29,E29)</f>
        <v>24773.02</v>
      </c>
      <c r="Q29" s="154" t="str">
        <f t="shared" si="2"/>
        <v>2-Actifs</v>
      </c>
      <c r="R29" s="153" t="str">
        <f t="shared" si="3"/>
        <v>1456</v>
      </c>
      <c r="S29" s="154">
        <f t="shared" si="4"/>
        <v>0</v>
      </c>
      <c r="T29" s="156">
        <f>+VLOOKUP($L29,Data_Validation!$A:$D,1,0)</f>
        <v>1456</v>
      </c>
      <c r="U29" s="156" t="str">
        <f>+VLOOKUP($L29,Data_Validation!$A:$D,3,0)</f>
        <v>Bilan</v>
      </c>
      <c r="V29" s="156" t="str">
        <f>+VLOOKUP($L29,Data_Validation!$A:$D,4,0)</f>
        <v>Inventaire Pièces, Pneus, Huile</v>
      </c>
      <c r="W29" s="156" t="str">
        <f>+VLOOKUP($L29,Data_Validation!$A:$E,5,0)</f>
        <v>$</v>
      </c>
      <c r="X29" s="156">
        <f>+VLOOKUP($L29,Data_Validation!$A:$F,6,0)</f>
        <v>0</v>
      </c>
    </row>
    <row r="30" spans="1:24" ht="15" hidden="1" customHeight="1">
      <c r="A30" s="1163" t="s">
        <v>2584</v>
      </c>
      <c r="B30" s="1164">
        <v>1472</v>
      </c>
      <c r="C30" s="1167">
        <v>8577.32</v>
      </c>
      <c r="D30" s="1167">
        <v>-2014.36</v>
      </c>
      <c r="E30" s="1167">
        <v>6562.96</v>
      </c>
      <c r="F30" s="1163" t="s">
        <v>293</v>
      </c>
      <c r="G30" s="1163" t="s">
        <v>2585</v>
      </c>
      <c r="H30" s="1166"/>
      <c r="I30" s="1165"/>
      <c r="J30" s="1165"/>
      <c r="K30" s="1165"/>
      <c r="L30" s="153">
        <f t="shared" si="0"/>
        <v>1472</v>
      </c>
      <c r="M30" s="154" t="str">
        <f t="shared" si="1"/>
        <v>WIP M-O VW</v>
      </c>
      <c r="N30" s="155">
        <f>+IF(OR($Q30=Parametres!$G$2,$Q30=Parametres!$G$3),I30,C30)</f>
        <v>8577.32</v>
      </c>
      <c r="O30" s="1106">
        <f>+IF(OR($Q30=Parametres!$G$2,$Q30=Parametres!$G$3),J30,D30)</f>
        <v>-2014.36</v>
      </c>
      <c r="P30" s="155">
        <f>+IF(OR($Q30=Parametres!$G$2,$Q30=Parametres!$G$3),K30,E30)</f>
        <v>6562.96</v>
      </c>
      <c r="Q30" s="154" t="str">
        <f t="shared" si="2"/>
        <v>2-Actifs</v>
      </c>
      <c r="R30" s="153" t="str">
        <f t="shared" si="3"/>
        <v>1472</v>
      </c>
      <c r="S30" s="154">
        <f t="shared" si="4"/>
        <v>0</v>
      </c>
      <c r="T30" s="156">
        <f>+VLOOKUP($L30,Data_Validation!$A:$D,1,0)</f>
        <v>1472</v>
      </c>
      <c r="U30" s="156" t="str">
        <f>+VLOOKUP($L30,Data_Validation!$A:$D,3,0)</f>
        <v>Bilan</v>
      </c>
      <c r="V30" s="156" t="str">
        <f>+VLOOKUP($L30,Data_Validation!$A:$D,4,0)</f>
        <v>Travaux en Cours</v>
      </c>
      <c r="W30" s="156" t="str">
        <f>+VLOOKUP($L30,Data_Validation!$A:$E,5,0)</f>
        <v>$</v>
      </c>
      <c r="X30" s="156">
        <f>+VLOOKUP($L30,Data_Validation!$A:$F,6,0)</f>
        <v>0</v>
      </c>
    </row>
    <row r="31" spans="1:24" ht="15" hidden="1" customHeight="1">
      <c r="A31" s="1163" t="s">
        <v>2758</v>
      </c>
      <c r="B31" s="1164">
        <v>1474</v>
      </c>
      <c r="C31" s="1167">
        <v>12244.19</v>
      </c>
      <c r="D31" s="1167">
        <v>2870.72</v>
      </c>
      <c r="E31" s="1167">
        <v>15114.91</v>
      </c>
      <c r="F31" s="1163" t="s">
        <v>293</v>
      </c>
      <c r="G31" s="1163" t="s">
        <v>2585</v>
      </c>
      <c r="H31" s="1166"/>
      <c r="I31" s="1165"/>
      <c r="J31" s="1165"/>
      <c r="K31" s="1165"/>
      <c r="L31" s="153">
        <f t="shared" si="0"/>
        <v>1474</v>
      </c>
      <c r="M31" s="154" t="str">
        <f t="shared" si="1"/>
        <v>INVENTAIRE SOUS-TRAITANTS</v>
      </c>
      <c r="N31" s="155">
        <f>+IF(OR($Q31=Parametres!$G$2,$Q31=Parametres!$G$3),I31,C31)</f>
        <v>12244.19</v>
      </c>
      <c r="O31" s="1108">
        <f>+IF(OR($Q31=Parametres!$G$2,$Q31=Parametres!$G$3),J31,D31)</f>
        <v>2870.72</v>
      </c>
      <c r="P31" s="155">
        <f>+IF(OR($Q31=Parametres!$G$2,$Q31=Parametres!$G$3),K31,E31)</f>
        <v>15114.91</v>
      </c>
      <c r="Q31" s="154" t="str">
        <f t="shared" si="2"/>
        <v>2-Actifs</v>
      </c>
      <c r="R31" s="153" t="str">
        <f t="shared" si="3"/>
        <v>1472</v>
      </c>
      <c r="S31" s="154">
        <f t="shared" si="4"/>
        <v>0</v>
      </c>
      <c r="T31" s="156">
        <f>+VLOOKUP($L31,Data_Validation!$A:$D,1,0)</f>
        <v>1474</v>
      </c>
      <c r="U31" s="156" t="str">
        <f>+VLOOKUP($L31,Data_Validation!$A:$D,3,0)</f>
        <v>Bilan</v>
      </c>
      <c r="V31" s="156" t="str">
        <f>+VLOOKUP($L31,Data_Validation!$A:$D,4,0)</f>
        <v>Sous-Traitance</v>
      </c>
      <c r="W31" s="156" t="str">
        <f>+VLOOKUP($L31,Data_Validation!$A:$E,5,0)</f>
        <v>$</v>
      </c>
      <c r="X31" s="156">
        <f>+VLOOKUP($L31,Data_Validation!$A:$F,6,0)</f>
        <v>0</v>
      </c>
    </row>
    <row r="32" spans="1:24" ht="15" hidden="1" customHeight="1">
      <c r="A32" s="1163" t="s">
        <v>2137</v>
      </c>
      <c r="B32" s="1164">
        <v>1492</v>
      </c>
      <c r="C32" s="1167">
        <v>13708.62</v>
      </c>
      <c r="D32" s="1167">
        <v>1911.41</v>
      </c>
      <c r="E32" s="1167">
        <v>15620.03</v>
      </c>
      <c r="F32" s="1163" t="s">
        <v>293</v>
      </c>
      <c r="G32" s="1163" t="s">
        <v>2030</v>
      </c>
      <c r="H32" s="1166"/>
      <c r="I32" s="1165"/>
      <c r="J32" s="1165"/>
      <c r="K32" s="1165"/>
      <c r="L32" s="153">
        <f t="shared" si="0"/>
        <v>1492</v>
      </c>
      <c r="M32" s="154" t="str">
        <f t="shared" si="1"/>
        <v>CARBURANT, HUILE, GRAISSE</v>
      </c>
      <c r="N32" s="155">
        <f>+IF(OR($Q32=Parametres!$G$2,$Q32=Parametres!$G$3),I32,C32)</f>
        <v>13708.62</v>
      </c>
      <c r="O32" s="1109">
        <f>+IF(OR($Q32=Parametres!$G$2,$Q32=Parametres!$G$3),J32,D32)</f>
        <v>1911.41</v>
      </c>
      <c r="P32" s="155">
        <f>+IF(OR($Q32=Parametres!$G$2,$Q32=Parametres!$G$3),K32,E32)</f>
        <v>15620.03</v>
      </c>
      <c r="Q32" s="154" t="str">
        <f t="shared" si="2"/>
        <v>2-Actifs</v>
      </c>
      <c r="R32" s="153" t="str">
        <f t="shared" si="3"/>
        <v>1442</v>
      </c>
      <c r="S32" s="154">
        <f t="shared" si="4"/>
        <v>0</v>
      </c>
      <c r="T32" s="156">
        <f>+VLOOKUP($L32,Data_Validation!$A:$D,1,0)</f>
        <v>1492</v>
      </c>
      <c r="U32" s="156" t="str">
        <f>+VLOOKUP($L32,Data_Validation!$A:$D,3,0)</f>
        <v>Bilan</v>
      </c>
      <c r="V32" s="156" t="str">
        <f>+VLOOKUP($L32,Data_Validation!$A:$D,4,0)</f>
        <v>Inventaire Pièces, Pneus, Huile</v>
      </c>
      <c r="W32" s="156" t="str">
        <f>+VLOOKUP($L32,Data_Validation!$A:$E,5,0)</f>
        <v>$</v>
      </c>
      <c r="X32" s="156">
        <f>+VLOOKUP($L32,Data_Validation!$A:$F,6,0)</f>
        <v>0</v>
      </c>
    </row>
    <row r="33" spans="1:24" ht="15" hidden="1" customHeight="1">
      <c r="A33" s="1163" t="s">
        <v>2637</v>
      </c>
      <c r="B33" s="1164">
        <v>1510</v>
      </c>
      <c r="C33" s="1167">
        <v>3709.95</v>
      </c>
      <c r="D33" s="1167">
        <v>-2679.95</v>
      </c>
      <c r="E33" s="1167">
        <v>1030</v>
      </c>
      <c r="F33" s="1163" t="s">
        <v>293</v>
      </c>
      <c r="G33" s="1163" t="s">
        <v>2103</v>
      </c>
      <c r="H33" s="1166"/>
      <c r="I33" s="1165"/>
      <c r="J33" s="1165"/>
      <c r="K33" s="1165"/>
      <c r="L33" s="153">
        <f t="shared" si="0"/>
        <v>1510</v>
      </c>
      <c r="M33" s="154" t="str">
        <f t="shared" si="1"/>
        <v>DIAMOND KOTE (NANO)</v>
      </c>
      <c r="N33" s="155">
        <f>+IF(OR($Q33=Parametres!$G$2,$Q33=Parametres!$G$3),I33,C33)</f>
        <v>3709.95</v>
      </c>
      <c r="O33" s="1108">
        <f>+IF(OR($Q33=Parametres!$G$2,$Q33=Parametres!$G$3),J33,D33)</f>
        <v>-2679.95</v>
      </c>
      <c r="P33" s="155">
        <f>+IF(OR($Q33=Parametres!$G$2,$Q33=Parametres!$G$3),K33,E33)</f>
        <v>1030</v>
      </c>
      <c r="Q33" s="154" t="str">
        <f t="shared" si="2"/>
        <v>2-Actifs</v>
      </c>
      <c r="R33" s="153" t="str">
        <f t="shared" si="3"/>
        <v>1500</v>
      </c>
      <c r="S33" s="154">
        <f t="shared" si="4"/>
        <v>0</v>
      </c>
      <c r="T33" s="156">
        <f>+VLOOKUP($L33,Data_Validation!$A:$D,1,0)</f>
        <v>1510</v>
      </c>
      <c r="U33" s="156" t="str">
        <f>+VLOOKUP($L33,Data_Validation!$A:$D,3,0)</f>
        <v>Bilan</v>
      </c>
      <c r="V33" s="156" t="str">
        <f>+VLOOKUP($L33,Data_Validation!$A:$D,4,0)</f>
        <v>Frais Payés d'Avance</v>
      </c>
      <c r="W33" s="156" t="str">
        <f>+VLOOKUP($L33,Data_Validation!$A:$E,5,0)</f>
        <v>$</v>
      </c>
      <c r="X33" s="156">
        <f>+VLOOKUP($L33,Data_Validation!$A:$F,6,0)</f>
        <v>0</v>
      </c>
    </row>
    <row r="34" spans="1:24" ht="15.75" hidden="1" customHeight="1">
      <c r="A34" s="1163" t="s">
        <v>2149</v>
      </c>
      <c r="B34" s="1164">
        <v>1520</v>
      </c>
      <c r="C34" s="1167">
        <v>2925</v>
      </c>
      <c r="D34" s="1166">
        <v>33.85</v>
      </c>
      <c r="E34" s="1167">
        <v>2958.85</v>
      </c>
      <c r="F34" s="1163" t="s">
        <v>293</v>
      </c>
      <c r="G34" s="1163" t="s">
        <v>2103</v>
      </c>
      <c r="H34" s="1166"/>
      <c r="I34" s="1165"/>
      <c r="J34" s="1165"/>
      <c r="K34" s="1165"/>
      <c r="L34" s="153">
        <f t="shared" si="0"/>
        <v>1520</v>
      </c>
      <c r="M34" s="154" t="str">
        <f t="shared" si="1"/>
        <v>FPA IMMATRICULATION</v>
      </c>
      <c r="N34" s="155">
        <f>+IF(OR($Q34=Parametres!$G$2,$Q34=Parametres!$G$3),I34,C34)</f>
        <v>2925</v>
      </c>
      <c r="O34" s="1108">
        <f>+IF(OR($Q34=Parametres!$G$2,$Q34=Parametres!$G$3),J34,D34)</f>
        <v>33.85</v>
      </c>
      <c r="P34" s="155">
        <f>+IF(OR($Q34=Parametres!$G$2,$Q34=Parametres!$G$3),K34,E34)</f>
        <v>2958.85</v>
      </c>
      <c r="Q34" s="154" t="str">
        <f t="shared" si="2"/>
        <v>2-Actifs</v>
      </c>
      <c r="R34" s="153" t="str">
        <f t="shared" si="3"/>
        <v>1500</v>
      </c>
      <c r="S34" s="154">
        <f t="shared" si="4"/>
        <v>0</v>
      </c>
      <c r="T34" s="156">
        <f>+VLOOKUP($L34,Data_Validation!$A:$D,1,0)</f>
        <v>1520</v>
      </c>
      <c r="U34" s="156" t="str">
        <f>+VLOOKUP($L34,Data_Validation!$A:$D,3,0)</f>
        <v>Bilan</v>
      </c>
      <c r="V34" s="156" t="str">
        <f>+VLOOKUP($L34,Data_Validation!$A:$D,4,0)</f>
        <v>Frais Payés d'Avance</v>
      </c>
      <c r="W34" s="156" t="str">
        <f>+VLOOKUP($L34,Data_Validation!$A:$E,5,0)</f>
        <v>$</v>
      </c>
      <c r="X34" s="156">
        <f>+VLOOKUP($L34,Data_Validation!$A:$F,6,0)</f>
        <v>0</v>
      </c>
    </row>
    <row r="35" spans="1:24" ht="15" hidden="1" customHeight="1">
      <c r="A35" s="1163" t="s">
        <v>2178</v>
      </c>
      <c r="B35" s="1164">
        <v>1532</v>
      </c>
      <c r="C35" s="1167">
        <v>2248</v>
      </c>
      <c r="D35" s="1166">
        <v>0</v>
      </c>
      <c r="E35" s="1167">
        <v>2248</v>
      </c>
      <c r="F35" s="1163" t="s">
        <v>293</v>
      </c>
      <c r="G35" s="1163" t="s">
        <v>2103</v>
      </c>
      <c r="H35" s="1166"/>
      <c r="I35" s="1165"/>
      <c r="J35" s="1165"/>
      <c r="K35" s="1165"/>
      <c r="L35" s="153">
        <f t="shared" si="0"/>
        <v>1532</v>
      </c>
      <c r="M35" s="154" t="str">
        <f t="shared" si="1"/>
        <v>FPA C.C.A.M.Q.</v>
      </c>
      <c r="N35" s="155">
        <f>+IF(OR($Q35=Parametres!$G$2,$Q35=Parametres!$G$3),I35,C35)</f>
        <v>2248</v>
      </c>
      <c r="O35" s="1108">
        <f>+IF(OR($Q35=Parametres!$G$2,$Q35=Parametres!$G$3),J35,D35)</f>
        <v>0</v>
      </c>
      <c r="P35" s="155">
        <f>+IF(OR($Q35=Parametres!$G$2,$Q35=Parametres!$G$3),K35,E35)</f>
        <v>2248</v>
      </c>
      <c r="Q35" s="154" t="str">
        <f t="shared" si="2"/>
        <v>2-Actifs</v>
      </c>
      <c r="R35" s="153" t="str">
        <f t="shared" si="3"/>
        <v>1500</v>
      </c>
      <c r="S35" s="154">
        <f t="shared" si="4"/>
        <v>0</v>
      </c>
      <c r="T35" s="156">
        <f>+VLOOKUP($L35,Data_Validation!$A:$D,1,0)</f>
        <v>1532</v>
      </c>
      <c r="U35" s="156" t="str">
        <f>+VLOOKUP($L35,Data_Validation!$A:$D,3,0)</f>
        <v>Bilan</v>
      </c>
      <c r="V35" s="156" t="str">
        <f>+VLOOKUP($L35,Data_Validation!$A:$D,4,0)</f>
        <v>Frais Payés d'Avance</v>
      </c>
      <c r="W35" s="156" t="str">
        <f>+VLOOKUP($L35,Data_Validation!$A:$E,5,0)</f>
        <v>$</v>
      </c>
      <c r="X35" s="156">
        <f>+VLOOKUP($L35,Data_Validation!$A:$F,6,0)</f>
        <v>0</v>
      </c>
    </row>
    <row r="36" spans="1:24" ht="15" hidden="1" customHeight="1">
      <c r="A36" s="1163" t="s">
        <v>2198</v>
      </c>
      <c r="B36" s="1164">
        <v>1544</v>
      </c>
      <c r="C36" s="1167">
        <v>-3525.13</v>
      </c>
      <c r="D36" s="1167">
        <v>0</v>
      </c>
      <c r="E36" s="1167">
        <v>-3525.13</v>
      </c>
      <c r="F36" s="1163" t="s">
        <v>293</v>
      </c>
      <c r="G36" s="1163" t="s">
        <v>2103</v>
      </c>
      <c r="H36" s="1166"/>
      <c r="I36" s="1165"/>
      <c r="J36" s="1165"/>
      <c r="K36" s="1165"/>
      <c r="L36" s="153">
        <f t="shared" si="0"/>
        <v>1544</v>
      </c>
      <c r="M36" s="154" t="str">
        <f t="shared" si="1"/>
        <v>FPA GAZ METROPOLITAIN</v>
      </c>
      <c r="N36" s="155">
        <f>+IF(OR($Q36=Parametres!$G$2,$Q36=Parametres!$G$3),I36,C36)</f>
        <v>-3525.13</v>
      </c>
      <c r="O36" s="1108">
        <f>+IF(OR($Q36=Parametres!$G$2,$Q36=Parametres!$G$3),J36,D36)</f>
        <v>0</v>
      </c>
      <c r="P36" s="155">
        <f>+IF(OR($Q36=Parametres!$G$2,$Q36=Parametres!$G$3),K36,E36)</f>
        <v>-3525.13</v>
      </c>
      <c r="Q36" s="154" t="str">
        <f t="shared" si="2"/>
        <v>2-Actifs</v>
      </c>
      <c r="R36" s="153" t="str">
        <f t="shared" si="3"/>
        <v>1500</v>
      </c>
      <c r="S36" s="154">
        <f t="shared" si="4"/>
        <v>0</v>
      </c>
      <c r="T36" s="156">
        <f>+VLOOKUP($L36,Data_Validation!$A:$D,1,0)</f>
        <v>1544</v>
      </c>
      <c r="U36" s="156" t="str">
        <f>+VLOOKUP($L36,Data_Validation!$A:$D,3,0)</f>
        <v>Bilan</v>
      </c>
      <c r="V36" s="156" t="str">
        <f>+VLOOKUP($L36,Data_Validation!$A:$D,4,0)</f>
        <v>Autres Courus</v>
      </c>
      <c r="W36" s="156" t="str">
        <f>+VLOOKUP($L36,Data_Validation!$A:$E,5,0)</f>
        <v>$</v>
      </c>
      <c r="X36" s="156">
        <f>+VLOOKUP($L36,Data_Validation!$A:$F,6,0)</f>
        <v>0</v>
      </c>
    </row>
    <row r="37" spans="1:24" ht="15" hidden="1" customHeight="1">
      <c r="A37" s="1163" t="s">
        <v>2119</v>
      </c>
      <c r="B37" s="1164">
        <v>1552</v>
      </c>
      <c r="C37" s="1167">
        <v>8590</v>
      </c>
      <c r="D37" s="1167">
        <v>691.63</v>
      </c>
      <c r="E37" s="1167">
        <v>9281.6299999999992</v>
      </c>
      <c r="F37" s="1163" t="s">
        <v>293</v>
      </c>
      <c r="G37" s="1163" t="s">
        <v>2103</v>
      </c>
      <c r="H37" s="1166"/>
      <c r="I37" s="1165"/>
      <c r="J37" s="1165"/>
      <c r="K37" s="1165"/>
      <c r="L37" s="153">
        <f t="shared" si="0"/>
        <v>1552</v>
      </c>
      <c r="M37" s="154" t="str">
        <f t="shared" si="1"/>
        <v>FPA C.S.S.T.</v>
      </c>
      <c r="N37" s="155">
        <f>+IF(OR($Q37=Parametres!$G$2,$Q37=Parametres!$G$3),I37,C37)</f>
        <v>8590</v>
      </c>
      <c r="O37" s="1108">
        <f>+IF(OR($Q37=Parametres!$G$2,$Q37=Parametres!$G$3),J37,D37)</f>
        <v>691.63</v>
      </c>
      <c r="P37" s="155">
        <f>+IF(OR($Q37=Parametres!$G$2,$Q37=Parametres!$G$3),K37,E37)</f>
        <v>9281.6299999999992</v>
      </c>
      <c r="Q37" s="154" t="str">
        <f t="shared" si="2"/>
        <v>2-Actifs</v>
      </c>
      <c r="R37" s="153" t="str">
        <f t="shared" si="3"/>
        <v>1500</v>
      </c>
      <c r="S37" s="154">
        <f t="shared" si="4"/>
        <v>0</v>
      </c>
      <c r="T37" s="156">
        <f>+VLOOKUP($L37,Data_Validation!$A:$D,1,0)</f>
        <v>1552</v>
      </c>
      <c r="U37" s="156" t="str">
        <f>+VLOOKUP($L37,Data_Validation!$A:$D,3,0)</f>
        <v>Bilan</v>
      </c>
      <c r="V37" s="156" t="str">
        <f>+VLOOKUP($L37,Data_Validation!$A:$D,4,0)</f>
        <v>Frais Payés d'Avance</v>
      </c>
      <c r="W37" s="156" t="str">
        <f>+VLOOKUP($L37,Data_Validation!$A:$E,5,0)</f>
        <v>$</v>
      </c>
      <c r="X37" s="156">
        <f>+VLOOKUP($L37,Data_Validation!$A:$F,6,0)</f>
        <v>0</v>
      </c>
    </row>
    <row r="38" spans="1:24" ht="15" hidden="1" customHeight="1">
      <c r="A38" s="1163" t="s">
        <v>3107</v>
      </c>
      <c r="B38" s="1164">
        <v>1553</v>
      </c>
      <c r="C38" s="1167">
        <v>-29952</v>
      </c>
      <c r="D38" s="1167">
        <v>0</v>
      </c>
      <c r="E38" s="1167">
        <v>-29952</v>
      </c>
      <c r="F38" s="1163" t="s">
        <v>293</v>
      </c>
      <c r="G38" s="1163" t="s">
        <v>2103</v>
      </c>
      <c r="H38" s="1166"/>
      <c r="I38" s="1165"/>
      <c r="J38" s="1165"/>
      <c r="K38" s="1165"/>
      <c r="L38" s="153">
        <f t="shared" si="0"/>
        <v>1553</v>
      </c>
      <c r="M38" s="154" t="str">
        <f t="shared" si="1"/>
        <v>CSST A PAYER OU RECEVOIR</v>
      </c>
      <c r="N38" s="155">
        <f>+IF(OR($Q38=Parametres!$G$2,$Q38=Parametres!$G$3),I38,C38)</f>
        <v>-29952</v>
      </c>
      <c r="O38" s="1108">
        <f>+IF(OR($Q38=Parametres!$G$2,$Q38=Parametres!$G$3),J38,D38)</f>
        <v>0</v>
      </c>
      <c r="P38" s="155">
        <f>+IF(OR($Q38=Parametres!$G$2,$Q38=Parametres!$G$3),K38,E38)</f>
        <v>-29952</v>
      </c>
      <c r="Q38" s="154" t="str">
        <f t="shared" si="2"/>
        <v>2-Actifs</v>
      </c>
      <c r="R38" s="153" t="str">
        <f t="shared" si="3"/>
        <v>1500</v>
      </c>
      <c r="S38" s="154">
        <f t="shared" si="4"/>
        <v>0</v>
      </c>
      <c r="T38" s="156">
        <f>+VLOOKUP($L38,Data_Validation!$A:$D,1,0)</f>
        <v>1553</v>
      </c>
      <c r="U38" s="156" t="str">
        <f>+VLOOKUP($L38,Data_Validation!$A:$D,3,0)</f>
        <v>Bilan</v>
      </c>
      <c r="V38" s="156" t="str">
        <f>+VLOOKUP($L38,Data_Validation!$A:$D,4,0)</f>
        <v>Frais Payés d'Avance</v>
      </c>
      <c r="W38" s="156" t="str">
        <f>+VLOOKUP($L38,Data_Validation!$A:$E,5,0)</f>
        <v>$</v>
      </c>
      <c r="X38" s="156">
        <f>+VLOOKUP($L38,Data_Validation!$A:$F,6,0)</f>
        <v>0</v>
      </c>
    </row>
    <row r="39" spans="1:24" ht="15" hidden="1" customHeight="1">
      <c r="A39" s="1163" t="s">
        <v>2113</v>
      </c>
      <c r="B39" s="1164">
        <v>1582</v>
      </c>
      <c r="C39" s="1167">
        <v>0</v>
      </c>
      <c r="D39" s="1167">
        <v>14485.62</v>
      </c>
      <c r="E39" s="1167">
        <v>14485.62</v>
      </c>
      <c r="F39" s="1163" t="s">
        <v>293</v>
      </c>
      <c r="G39" s="1163" t="s">
        <v>2103</v>
      </c>
      <c r="H39" s="1166"/>
      <c r="I39" s="1165"/>
      <c r="J39" s="1165"/>
      <c r="K39" s="1165"/>
      <c r="L39" s="153">
        <f t="shared" si="0"/>
        <v>1582</v>
      </c>
      <c r="M39" s="154" t="str">
        <f t="shared" si="1"/>
        <v>FPA TAXES MUNICIPALES</v>
      </c>
      <c r="N39" s="155">
        <f>+IF(OR($Q39=Parametres!$G$2,$Q39=Parametres!$G$3),I39,C39)</f>
        <v>0</v>
      </c>
      <c r="O39" s="1106">
        <f>+IF(OR($Q39=Parametres!$G$2,$Q39=Parametres!$G$3),J39,D39)</f>
        <v>14485.62</v>
      </c>
      <c r="P39" s="155">
        <f>+IF(OR($Q39=Parametres!$G$2,$Q39=Parametres!$G$3),K39,E39)</f>
        <v>14485.62</v>
      </c>
      <c r="Q39" s="154" t="str">
        <f t="shared" si="2"/>
        <v>2-Actifs</v>
      </c>
      <c r="R39" s="153" t="str">
        <f t="shared" si="3"/>
        <v>1500</v>
      </c>
      <c r="S39" s="154">
        <f t="shared" si="4"/>
        <v>0</v>
      </c>
      <c r="T39" s="156">
        <f>+VLOOKUP($L39,Data_Validation!$A:$D,1,0)</f>
        <v>1582</v>
      </c>
      <c r="U39" s="156" t="str">
        <f>+VLOOKUP($L39,Data_Validation!$A:$D,3,0)</f>
        <v>Bilan</v>
      </c>
      <c r="V39" s="156" t="str">
        <f>+VLOOKUP($L39,Data_Validation!$A:$D,4,0)</f>
        <v>Frais Payés d'Avance</v>
      </c>
      <c r="W39" s="156" t="str">
        <f>+VLOOKUP($L39,Data_Validation!$A:$E,5,0)</f>
        <v>$</v>
      </c>
      <c r="X39" s="156">
        <f>+VLOOKUP($L39,Data_Validation!$A:$F,6,0)</f>
        <v>0</v>
      </c>
    </row>
    <row r="40" spans="1:24" ht="15.75" hidden="1" customHeight="1">
      <c r="A40" s="1163" t="s">
        <v>2174</v>
      </c>
      <c r="B40" s="1164">
        <v>1586</v>
      </c>
      <c r="C40" s="1167">
        <v>1822.74</v>
      </c>
      <c r="D40" s="1167">
        <v>-303.79000000000002</v>
      </c>
      <c r="E40" s="1167">
        <v>1518.95</v>
      </c>
      <c r="F40" s="1163" t="s">
        <v>293</v>
      </c>
      <c r="G40" s="1163" t="s">
        <v>2103</v>
      </c>
      <c r="H40" s="1166"/>
      <c r="I40" s="1165"/>
      <c r="J40" s="1165"/>
      <c r="K40" s="1165"/>
      <c r="L40" s="153">
        <f t="shared" si="0"/>
        <v>1586</v>
      </c>
      <c r="M40" s="154" t="str">
        <f t="shared" si="1"/>
        <v>FPA TAXES SCOLAIRES</v>
      </c>
      <c r="N40" s="155">
        <f>+IF(OR($Q40=Parametres!$G$2,$Q40=Parametres!$G$3),I40,C40)</f>
        <v>1822.74</v>
      </c>
      <c r="O40" s="1108">
        <f>+IF(OR($Q40=Parametres!$G$2,$Q40=Parametres!$G$3),J40,D40)</f>
        <v>-303.79000000000002</v>
      </c>
      <c r="P40" s="155">
        <f>+IF(OR($Q40=Parametres!$G$2,$Q40=Parametres!$G$3),K40,E40)</f>
        <v>1518.95</v>
      </c>
      <c r="Q40" s="154" t="str">
        <f t="shared" si="2"/>
        <v>2-Actifs</v>
      </c>
      <c r="R40" s="153" t="str">
        <f t="shared" si="3"/>
        <v>1500</v>
      </c>
      <c r="S40" s="154">
        <f t="shared" si="4"/>
        <v>0</v>
      </c>
      <c r="T40" s="156">
        <f>+VLOOKUP($L40,Data_Validation!$A:$D,1,0)</f>
        <v>1586</v>
      </c>
      <c r="U40" s="156" t="str">
        <f>+VLOOKUP($L40,Data_Validation!$A:$D,3,0)</f>
        <v>Bilan</v>
      </c>
      <c r="V40" s="156" t="str">
        <f>+VLOOKUP($L40,Data_Validation!$A:$D,4,0)</f>
        <v>Frais Payés d'Avance</v>
      </c>
      <c r="W40" s="156" t="str">
        <f>+VLOOKUP($L40,Data_Validation!$A:$E,5,0)</f>
        <v>$</v>
      </c>
      <c r="X40" s="156">
        <f>+VLOOKUP($L40,Data_Validation!$A:$F,6,0)</f>
        <v>0</v>
      </c>
    </row>
    <row r="41" spans="1:24" ht="15" hidden="1" customHeight="1">
      <c r="A41" s="1163" t="s">
        <v>2976</v>
      </c>
      <c r="B41" s="1164">
        <v>1591</v>
      </c>
      <c r="C41" s="1167">
        <v>-58.95</v>
      </c>
      <c r="D41" s="1167">
        <v>3452.49</v>
      </c>
      <c r="E41" s="1167">
        <v>3393.54</v>
      </c>
      <c r="F41" s="1163" t="s">
        <v>293</v>
      </c>
      <c r="G41" s="1163" t="s">
        <v>2103</v>
      </c>
      <c r="H41" s="1166"/>
      <c r="I41" s="1165"/>
      <c r="J41" s="1165"/>
      <c r="K41" s="1165"/>
      <c r="L41" s="153">
        <f t="shared" si="0"/>
        <v>1591</v>
      </c>
      <c r="M41" s="154" t="str">
        <f t="shared" si="1"/>
        <v>FPA PAYABLES</v>
      </c>
      <c r="N41" s="155">
        <f>+IF(OR($Q41=Parametres!$G$2,$Q41=Parametres!$G$3),I41,C41)</f>
        <v>-58.95</v>
      </c>
      <c r="O41" s="1106">
        <f>+IF(OR($Q41=Parametres!$G$2,$Q41=Parametres!$G$3),J41,D41)</f>
        <v>3452.49</v>
      </c>
      <c r="P41" s="155">
        <f>+IF(OR($Q41=Parametres!$G$2,$Q41=Parametres!$G$3),K41,E41)</f>
        <v>3393.54</v>
      </c>
      <c r="Q41" s="154" t="str">
        <f t="shared" si="2"/>
        <v>2-Actifs</v>
      </c>
      <c r="R41" s="153" t="str">
        <f t="shared" si="3"/>
        <v>1500</v>
      </c>
      <c r="S41" s="154">
        <f t="shared" si="4"/>
        <v>0</v>
      </c>
      <c r="T41" s="156">
        <f>+VLOOKUP($L41,Data_Validation!$A:$D,1,0)</f>
        <v>1591</v>
      </c>
      <c r="U41" s="156" t="str">
        <f>+VLOOKUP($L41,Data_Validation!$A:$D,3,0)</f>
        <v>Bilan</v>
      </c>
      <c r="V41" s="156" t="str">
        <f>+VLOOKUP($L41,Data_Validation!$A:$D,4,0)</f>
        <v>Frais Payés d'Avance</v>
      </c>
      <c r="W41" s="156" t="str">
        <f>+VLOOKUP($L41,Data_Validation!$A:$E,5,0)</f>
        <v>$</v>
      </c>
      <c r="X41" s="156">
        <f>+VLOOKUP($L41,Data_Validation!$A:$F,6,0)</f>
        <v>0</v>
      </c>
    </row>
    <row r="42" spans="1:24" ht="15" hidden="1" customHeight="1">
      <c r="A42" s="1163" t="s">
        <v>2798</v>
      </c>
      <c r="B42" s="1164">
        <v>1592</v>
      </c>
      <c r="C42" s="1167">
        <v>-34708.11</v>
      </c>
      <c r="D42" s="1167">
        <v>8867.9599999999991</v>
      </c>
      <c r="E42" s="1167">
        <v>-25840.15</v>
      </c>
      <c r="F42" s="1163" t="s">
        <v>293</v>
      </c>
      <c r="G42" s="1163" t="s">
        <v>2103</v>
      </c>
      <c r="H42" s="1166"/>
      <c r="I42" s="1165"/>
      <c r="J42" s="1165"/>
      <c r="K42" s="1165"/>
      <c r="L42" s="153">
        <f t="shared" si="0"/>
        <v>1592</v>
      </c>
      <c r="M42" s="154" t="str">
        <f t="shared" si="1"/>
        <v>FPA AUTRES</v>
      </c>
      <c r="N42" s="155">
        <f>+IF(OR($Q42=Parametres!$G$2,$Q42=Parametres!$G$3),I42,C42)</f>
        <v>-34708.11</v>
      </c>
      <c r="O42" s="1108">
        <f>+IF(OR($Q42=Parametres!$G$2,$Q42=Parametres!$G$3),J42,D42)</f>
        <v>8867.9599999999991</v>
      </c>
      <c r="P42" s="155">
        <f>+IF(OR($Q42=Parametres!$G$2,$Q42=Parametres!$G$3),K42,E42)</f>
        <v>-25840.15</v>
      </c>
      <c r="Q42" s="154" t="str">
        <f t="shared" si="2"/>
        <v>2-Actifs</v>
      </c>
      <c r="R42" s="153" t="str">
        <f t="shared" si="3"/>
        <v>1500</v>
      </c>
      <c r="S42" s="154">
        <f t="shared" si="4"/>
        <v>0</v>
      </c>
      <c r="T42" s="156">
        <f>+VLOOKUP($L42,Data_Validation!$A:$D,1,0)</f>
        <v>1592</v>
      </c>
      <c r="U42" s="156" t="str">
        <f>+VLOOKUP($L42,Data_Validation!$A:$D,3,0)</f>
        <v>Bilan</v>
      </c>
      <c r="V42" s="156" t="str">
        <f>+VLOOKUP($L42,Data_Validation!$A:$D,4,0)</f>
        <v>Frais Payés d'Avance</v>
      </c>
      <c r="W42" s="156" t="str">
        <f>+VLOOKUP($L42,Data_Validation!$A:$E,5,0)</f>
        <v>$</v>
      </c>
      <c r="X42" s="156">
        <f>+VLOOKUP($L42,Data_Validation!$A:$F,6,0)</f>
        <v>0</v>
      </c>
    </row>
    <row r="43" spans="1:24" ht="15" hidden="1" customHeight="1">
      <c r="A43" s="1163" t="s">
        <v>2395</v>
      </c>
      <c r="B43" s="1164">
        <v>1732</v>
      </c>
      <c r="C43" s="1167">
        <v>144370.28</v>
      </c>
      <c r="D43" s="1166">
        <v>0</v>
      </c>
      <c r="E43" s="1167">
        <v>144370.28</v>
      </c>
      <c r="F43" s="1163" t="s">
        <v>293</v>
      </c>
      <c r="G43" s="1163" t="s">
        <v>2125</v>
      </c>
      <c r="H43" s="1166"/>
      <c r="I43" s="1165"/>
      <c r="J43" s="1165"/>
      <c r="K43" s="1165"/>
      <c r="L43" s="153">
        <f t="shared" si="0"/>
        <v>1732</v>
      </c>
      <c r="M43" s="154" t="str">
        <f t="shared" si="1"/>
        <v>AMELIOR. LOCATIVES</v>
      </c>
      <c r="N43" s="155">
        <f>+IF(OR($Q43=Parametres!$G$2,$Q43=Parametres!$G$3),I43,C43)</f>
        <v>144370.28</v>
      </c>
      <c r="O43" s="1108">
        <f>+IF(OR($Q43=Parametres!$G$2,$Q43=Parametres!$G$3),J43,D43)</f>
        <v>0</v>
      </c>
      <c r="P43" s="155">
        <f>+IF(OR($Q43=Parametres!$G$2,$Q43=Parametres!$G$3),K43,E43)</f>
        <v>144370.28</v>
      </c>
      <c r="Q43" s="154" t="str">
        <f t="shared" si="2"/>
        <v>2-Actifs</v>
      </c>
      <c r="R43" s="153" t="str">
        <f t="shared" si="3"/>
        <v>1700</v>
      </c>
      <c r="S43" s="154">
        <f t="shared" si="4"/>
        <v>0</v>
      </c>
      <c r="T43" s="156">
        <f>+VLOOKUP($L43,Data_Validation!$A:$D,1,0)</f>
        <v>1732</v>
      </c>
      <c r="U43" s="156" t="str">
        <f>+VLOOKUP($L43,Data_Validation!$A:$D,3,0)</f>
        <v>Bilan</v>
      </c>
      <c r="V43" s="156" t="str">
        <f>+VLOOKUP($L43,Data_Validation!$A:$D,4,0)</f>
        <v>Améliorations Locatives</v>
      </c>
      <c r="W43" s="156" t="str">
        <f>+VLOOKUP($L43,Data_Validation!$A:$E,5,0)</f>
        <v>$</v>
      </c>
      <c r="X43" s="156">
        <f>+VLOOKUP($L43,Data_Validation!$A:$F,6,0)</f>
        <v>0</v>
      </c>
    </row>
    <row r="44" spans="1:24" ht="15.75" hidden="1" customHeight="1">
      <c r="A44" s="1163" t="s">
        <v>2153</v>
      </c>
      <c r="B44" s="1164">
        <v>1733</v>
      </c>
      <c r="C44" s="1167">
        <v>-99100.02</v>
      </c>
      <c r="D44" s="1167">
        <v>-225</v>
      </c>
      <c r="E44" s="1167">
        <v>-99325.02</v>
      </c>
      <c r="F44" s="1163" t="s">
        <v>293</v>
      </c>
      <c r="G44" s="1163" t="s">
        <v>2125</v>
      </c>
      <c r="H44" s="1166"/>
      <c r="I44" s="1165"/>
      <c r="J44" s="1165"/>
      <c r="K44" s="1165"/>
      <c r="L44" s="153">
        <f t="shared" si="0"/>
        <v>1733</v>
      </c>
      <c r="M44" s="154" t="str">
        <f t="shared" si="1"/>
        <v>AMORT. CUM. AMEL. LOCAT.</v>
      </c>
      <c r="N44" s="155">
        <f>+IF(OR($Q44=Parametres!$G$2,$Q44=Parametres!$G$3),I44,C44)</f>
        <v>-99100.02</v>
      </c>
      <c r="O44" s="1108">
        <f>+IF(OR($Q44=Parametres!$G$2,$Q44=Parametres!$G$3),J44,D44)</f>
        <v>-225</v>
      </c>
      <c r="P44" s="155">
        <f>+IF(OR($Q44=Parametres!$G$2,$Q44=Parametres!$G$3),K44,E44)</f>
        <v>-99325.02</v>
      </c>
      <c r="Q44" s="154" t="str">
        <f t="shared" si="2"/>
        <v>2-Actifs</v>
      </c>
      <c r="R44" s="153" t="str">
        <f t="shared" si="3"/>
        <v>1700</v>
      </c>
      <c r="S44" s="154">
        <f t="shared" si="4"/>
        <v>0</v>
      </c>
      <c r="T44" s="156">
        <f>+VLOOKUP($L44,Data_Validation!$A:$D,1,0)</f>
        <v>1733</v>
      </c>
      <c r="U44" s="156" t="str">
        <f>+VLOOKUP($L44,Data_Validation!$A:$D,3,0)</f>
        <v>Bilan</v>
      </c>
      <c r="V44" s="156" t="str">
        <f>+VLOOKUP($L44,Data_Validation!$A:$D,4,0)</f>
        <v>Améliorations Locatives</v>
      </c>
      <c r="W44" s="156" t="str">
        <f>+VLOOKUP($L44,Data_Validation!$A:$E,5,0)</f>
        <v>$</v>
      </c>
      <c r="X44" s="156">
        <f>+VLOOKUP($L44,Data_Validation!$A:$F,6,0)</f>
        <v>0</v>
      </c>
    </row>
    <row r="45" spans="1:24" ht="15" hidden="1" customHeight="1">
      <c r="A45" s="1163" t="s">
        <v>2397</v>
      </c>
      <c r="B45" s="1164">
        <v>1742</v>
      </c>
      <c r="C45" s="1167">
        <v>954256.21</v>
      </c>
      <c r="D45" s="1167">
        <v>0</v>
      </c>
      <c r="E45" s="1167">
        <v>954256.21</v>
      </c>
      <c r="F45" s="1163" t="s">
        <v>293</v>
      </c>
      <c r="G45" s="1163" t="s">
        <v>2125</v>
      </c>
      <c r="H45" s="1166"/>
      <c r="I45" s="1165"/>
      <c r="J45" s="1165"/>
      <c r="K45" s="1165"/>
      <c r="L45" s="153">
        <f t="shared" si="0"/>
        <v>1742</v>
      </c>
      <c r="M45" s="154" t="str">
        <f t="shared" si="1"/>
        <v>MACHINERIE &amp; EQUIPEMENT</v>
      </c>
      <c r="N45" s="155">
        <f>+IF(OR($Q45=Parametres!$G$2,$Q45=Parametres!$G$3),I45,C45)</f>
        <v>954256.21</v>
      </c>
      <c r="O45" s="1108">
        <f>+IF(OR($Q45=Parametres!$G$2,$Q45=Parametres!$G$3),J45,D45)</f>
        <v>0</v>
      </c>
      <c r="P45" s="155">
        <f>+IF(OR($Q45=Parametres!$G$2,$Q45=Parametres!$G$3),K45,E45)</f>
        <v>954256.21</v>
      </c>
      <c r="Q45" s="154" t="str">
        <f t="shared" si="2"/>
        <v>2-Actifs</v>
      </c>
      <c r="R45" s="153" t="str">
        <f t="shared" si="3"/>
        <v>1700</v>
      </c>
      <c r="S45" s="154">
        <f t="shared" si="4"/>
        <v>0</v>
      </c>
      <c r="T45" s="156">
        <f>+VLOOKUP($L45,Data_Validation!$A:$D,1,0)</f>
        <v>1742</v>
      </c>
      <c r="U45" s="156" t="str">
        <f>+VLOOKUP($L45,Data_Validation!$A:$D,3,0)</f>
        <v>Bilan</v>
      </c>
      <c r="V45" s="156" t="str">
        <f>+VLOOKUP($L45,Data_Validation!$A:$D,4,0)</f>
        <v>Équipements Service</v>
      </c>
      <c r="W45" s="156" t="str">
        <f>+VLOOKUP($L45,Data_Validation!$A:$E,5,0)</f>
        <v>$</v>
      </c>
      <c r="X45" s="156">
        <f>+VLOOKUP($L45,Data_Validation!$A:$F,6,0)</f>
        <v>0</v>
      </c>
    </row>
    <row r="46" spans="1:24" ht="15" hidden="1" customHeight="1">
      <c r="A46" s="1163" t="s">
        <v>2123</v>
      </c>
      <c r="B46" s="1164">
        <v>1743</v>
      </c>
      <c r="C46" s="1167">
        <v>-785189.08</v>
      </c>
      <c r="D46" s="1167">
        <v>-2612</v>
      </c>
      <c r="E46" s="1167">
        <v>-787801.08</v>
      </c>
      <c r="F46" s="1163" t="s">
        <v>293</v>
      </c>
      <c r="G46" s="1163" t="s">
        <v>2125</v>
      </c>
      <c r="H46" s="1166"/>
      <c r="I46" s="1165"/>
      <c r="J46" s="1165"/>
      <c r="K46" s="1165"/>
      <c r="L46" s="153">
        <f t="shared" si="0"/>
        <v>1743</v>
      </c>
      <c r="M46" s="154" t="str">
        <f t="shared" si="1"/>
        <v>AMORTISS.MACHINERIE &amp; EQUIP.</v>
      </c>
      <c r="N46" s="155">
        <f>+IF(OR($Q46=Parametres!$G$2,$Q46=Parametres!$G$3),I46,C46)</f>
        <v>-785189.08</v>
      </c>
      <c r="O46" s="1108">
        <f>+IF(OR($Q46=Parametres!$G$2,$Q46=Parametres!$G$3),J46,D46)</f>
        <v>-2612</v>
      </c>
      <c r="P46" s="155">
        <f>+IF(OR($Q46=Parametres!$G$2,$Q46=Parametres!$G$3),K46,E46)</f>
        <v>-787801.08</v>
      </c>
      <c r="Q46" s="154" t="str">
        <f t="shared" si="2"/>
        <v>2-Actifs</v>
      </c>
      <c r="R46" s="153" t="str">
        <f t="shared" si="3"/>
        <v>1700</v>
      </c>
      <c r="S46" s="154">
        <f t="shared" si="4"/>
        <v>0</v>
      </c>
      <c r="T46" s="156">
        <f>+VLOOKUP($L46,Data_Validation!$A:$D,1,0)</f>
        <v>1743</v>
      </c>
      <c r="U46" s="156" t="str">
        <f>+VLOOKUP($L46,Data_Validation!$A:$D,3,0)</f>
        <v>Bilan</v>
      </c>
      <c r="V46" s="156" t="str">
        <f>+VLOOKUP($L46,Data_Validation!$A:$D,4,0)</f>
        <v>Équipements Service</v>
      </c>
      <c r="W46" s="156" t="str">
        <f>+VLOOKUP($L46,Data_Validation!$A:$E,5,0)</f>
        <v>$</v>
      </c>
      <c r="X46" s="156">
        <f>+VLOOKUP($L46,Data_Validation!$A:$F,6,0)</f>
        <v>0</v>
      </c>
    </row>
    <row r="47" spans="1:24" ht="15" hidden="1" customHeight="1">
      <c r="A47" s="1163" t="s">
        <v>2399</v>
      </c>
      <c r="B47" s="1164">
        <v>1744</v>
      </c>
      <c r="C47" s="1167">
        <v>47461.59</v>
      </c>
      <c r="D47" s="1167">
        <v>0</v>
      </c>
      <c r="E47" s="1167">
        <v>47461.59</v>
      </c>
      <c r="F47" s="1163" t="s">
        <v>293</v>
      </c>
      <c r="G47" s="1163" t="s">
        <v>2125</v>
      </c>
      <c r="H47" s="1166"/>
      <c r="I47" s="1165"/>
      <c r="J47" s="1165"/>
      <c r="K47" s="1165"/>
      <c r="L47" s="153">
        <f t="shared" si="0"/>
        <v>1744</v>
      </c>
      <c r="M47" s="154" t="str">
        <f t="shared" si="1"/>
        <v>EQUIPEMENT PIECES</v>
      </c>
      <c r="N47" s="155">
        <f>+IF(OR($Q47=Parametres!$G$2,$Q47=Parametres!$G$3),I47,C47)</f>
        <v>47461.59</v>
      </c>
      <c r="O47" s="1108">
        <f>+IF(OR($Q47=Parametres!$G$2,$Q47=Parametres!$G$3),J47,D47)</f>
        <v>0</v>
      </c>
      <c r="P47" s="155">
        <f>+IF(OR($Q47=Parametres!$G$2,$Q47=Parametres!$G$3),K47,E47)</f>
        <v>47461.59</v>
      </c>
      <c r="Q47" s="154" t="str">
        <f t="shared" si="2"/>
        <v>2-Actifs</v>
      </c>
      <c r="R47" s="153" t="str">
        <f t="shared" si="3"/>
        <v>1700</v>
      </c>
      <c r="S47" s="154">
        <f t="shared" si="4"/>
        <v>0</v>
      </c>
      <c r="T47" s="156">
        <f>+VLOOKUP($L47,Data_Validation!$A:$D,1,0)</f>
        <v>1744</v>
      </c>
      <c r="U47" s="156" t="str">
        <f>+VLOOKUP($L47,Data_Validation!$A:$D,3,0)</f>
        <v>Bilan</v>
      </c>
      <c r="V47" s="156" t="str">
        <f>+VLOOKUP($L47,Data_Validation!$A:$D,4,0)</f>
        <v>Équipements Service</v>
      </c>
      <c r="W47" s="156" t="str">
        <f>+VLOOKUP($L47,Data_Validation!$A:$E,5,0)</f>
        <v>$</v>
      </c>
      <c r="X47" s="156">
        <f>+VLOOKUP($L47,Data_Validation!$A:$F,6,0)</f>
        <v>0</v>
      </c>
    </row>
    <row r="48" spans="1:24" ht="15.75" hidden="1" customHeight="1">
      <c r="A48" s="1163" t="s">
        <v>2194</v>
      </c>
      <c r="B48" s="1164">
        <v>1745</v>
      </c>
      <c r="C48" s="1167">
        <v>-47401.01</v>
      </c>
      <c r="D48" s="1166">
        <v>-8.5</v>
      </c>
      <c r="E48" s="1167">
        <v>-47409.51</v>
      </c>
      <c r="F48" s="1163" t="s">
        <v>293</v>
      </c>
      <c r="G48" s="1163" t="s">
        <v>2125</v>
      </c>
      <c r="H48" s="1166"/>
      <c r="I48" s="1165"/>
      <c r="J48" s="1165"/>
      <c r="K48" s="1165"/>
      <c r="L48" s="153">
        <f t="shared" si="0"/>
        <v>1745</v>
      </c>
      <c r="M48" s="154" t="str">
        <f t="shared" si="1"/>
        <v>AMORTISS.EQUIPEMENTS PIECES</v>
      </c>
      <c r="N48" s="155">
        <f>+IF(OR($Q48=Parametres!$G$2,$Q48=Parametres!$G$3),I48,C48)</f>
        <v>-47401.01</v>
      </c>
      <c r="O48" s="1108">
        <f>+IF(OR($Q48=Parametres!$G$2,$Q48=Parametres!$G$3),J48,D48)</f>
        <v>-8.5</v>
      </c>
      <c r="P48" s="155">
        <f>+IF(OR($Q48=Parametres!$G$2,$Q48=Parametres!$G$3),K48,E48)</f>
        <v>-47409.51</v>
      </c>
      <c r="Q48" s="154" t="str">
        <f t="shared" si="2"/>
        <v>2-Actifs</v>
      </c>
      <c r="R48" s="153" t="str">
        <f t="shared" si="3"/>
        <v>1700</v>
      </c>
      <c r="S48" s="154">
        <f t="shared" si="4"/>
        <v>0</v>
      </c>
      <c r="T48" s="156">
        <f>+VLOOKUP($L48,Data_Validation!$A:$D,1,0)</f>
        <v>1745</v>
      </c>
      <c r="U48" s="156" t="str">
        <f>+VLOOKUP($L48,Data_Validation!$A:$D,3,0)</f>
        <v>Bilan</v>
      </c>
      <c r="V48" s="156" t="str">
        <f>+VLOOKUP($L48,Data_Validation!$A:$D,4,0)</f>
        <v>Équipements Service</v>
      </c>
      <c r="W48" s="156" t="str">
        <f>+VLOOKUP($L48,Data_Validation!$A:$E,5,0)</f>
        <v>$</v>
      </c>
      <c r="X48" s="156">
        <f>+VLOOKUP($L48,Data_Validation!$A:$F,6,0)</f>
        <v>0</v>
      </c>
    </row>
    <row r="49" spans="1:24" ht="15" hidden="1" customHeight="1">
      <c r="A49" s="1163" t="s">
        <v>2403</v>
      </c>
      <c r="B49" s="1164">
        <v>1762</v>
      </c>
      <c r="C49" s="1167">
        <v>433206.49</v>
      </c>
      <c r="D49" s="1166">
        <v>0</v>
      </c>
      <c r="E49" s="1167">
        <v>433206.49</v>
      </c>
      <c r="F49" s="1163" t="s">
        <v>293</v>
      </c>
      <c r="G49" s="1163" t="s">
        <v>2125</v>
      </c>
      <c r="H49" s="1166"/>
      <c r="I49" s="1165"/>
      <c r="J49" s="1165"/>
      <c r="K49" s="1165"/>
      <c r="L49" s="153">
        <f t="shared" si="0"/>
        <v>1762</v>
      </c>
      <c r="M49" s="154" t="str">
        <f t="shared" si="1"/>
        <v>AMEUBLEMENT &amp; INSTR.</v>
      </c>
      <c r="N49" s="155">
        <f>+IF(OR($Q49=Parametres!$G$2,$Q49=Parametres!$G$3),I49,C49)</f>
        <v>433206.49</v>
      </c>
      <c r="O49" s="1106">
        <f>+IF(OR($Q49=Parametres!$G$2,$Q49=Parametres!$G$3),J49,D49)</f>
        <v>0</v>
      </c>
      <c r="P49" s="155">
        <f>+IF(OR($Q49=Parametres!$G$2,$Q49=Parametres!$G$3),K49,E49)</f>
        <v>433206.49</v>
      </c>
      <c r="Q49" s="154" t="str">
        <f t="shared" si="2"/>
        <v>2-Actifs</v>
      </c>
      <c r="R49" s="153" t="str">
        <f t="shared" si="3"/>
        <v>1700</v>
      </c>
      <c r="S49" s="154">
        <f t="shared" si="4"/>
        <v>0</v>
      </c>
      <c r="T49" s="156">
        <f>+VLOOKUP($L49,Data_Validation!$A:$D,1,0)</f>
        <v>1762</v>
      </c>
      <c r="U49" s="156" t="str">
        <f>+VLOOKUP($L49,Data_Validation!$A:$D,3,0)</f>
        <v>Bilan</v>
      </c>
      <c r="V49" s="156" t="str">
        <f>+VLOOKUP($L49,Data_Validation!$A:$D,4,0)</f>
        <v>Mobilier</v>
      </c>
      <c r="W49" s="156" t="str">
        <f>+VLOOKUP($L49,Data_Validation!$A:$E,5,0)</f>
        <v>$</v>
      </c>
      <c r="X49" s="156">
        <f>+VLOOKUP($L49,Data_Validation!$A:$F,6,0)</f>
        <v>0</v>
      </c>
    </row>
    <row r="50" spans="1:24" ht="15" hidden="1" customHeight="1">
      <c r="A50" s="1163" t="s">
        <v>2160</v>
      </c>
      <c r="B50" s="1164">
        <v>1763</v>
      </c>
      <c r="C50" s="1167">
        <v>-402426.7</v>
      </c>
      <c r="D50" s="1166">
        <v>-497</v>
      </c>
      <c r="E50" s="1167">
        <v>-402923.7</v>
      </c>
      <c r="F50" s="1163" t="s">
        <v>293</v>
      </c>
      <c r="G50" s="1163" t="s">
        <v>2125</v>
      </c>
      <c r="H50" s="1166"/>
      <c r="I50" s="1165"/>
      <c r="J50" s="1165"/>
      <c r="K50" s="1165"/>
      <c r="L50" s="153">
        <f t="shared" si="0"/>
        <v>1763</v>
      </c>
      <c r="M50" s="154" t="str">
        <f t="shared" si="1"/>
        <v>AMORTISS.AMEUBL.INSTR.</v>
      </c>
      <c r="N50" s="155">
        <f>+IF(OR($Q50=Parametres!$G$2,$Q50=Parametres!$G$3),I50,C50)</f>
        <v>-402426.7</v>
      </c>
      <c r="O50" s="1108">
        <f>+IF(OR($Q50=Parametres!$G$2,$Q50=Parametres!$G$3),J50,D50)</f>
        <v>-497</v>
      </c>
      <c r="P50" s="155">
        <f>+IF(OR($Q50=Parametres!$G$2,$Q50=Parametres!$G$3),K50,E50)</f>
        <v>-402923.7</v>
      </c>
      <c r="Q50" s="154" t="str">
        <f t="shared" si="2"/>
        <v>2-Actifs</v>
      </c>
      <c r="R50" s="153" t="str">
        <f t="shared" si="3"/>
        <v>1700</v>
      </c>
      <c r="S50" s="154">
        <f t="shared" si="4"/>
        <v>0</v>
      </c>
      <c r="T50" s="156">
        <f>+VLOOKUP($L50,Data_Validation!$A:$D,1,0)</f>
        <v>1763</v>
      </c>
      <c r="U50" s="156" t="str">
        <f>+VLOOKUP($L50,Data_Validation!$A:$D,3,0)</f>
        <v>Bilan</v>
      </c>
      <c r="V50" s="156" t="str">
        <f>+VLOOKUP($L50,Data_Validation!$A:$D,4,0)</f>
        <v>Mobilier</v>
      </c>
      <c r="W50" s="156" t="str">
        <f>+VLOOKUP($L50,Data_Validation!$A:$E,5,0)</f>
        <v>$</v>
      </c>
      <c r="X50" s="156">
        <f>+VLOOKUP($L50,Data_Validation!$A:$F,6,0)</f>
        <v>0</v>
      </c>
    </row>
    <row r="51" spans="1:24" ht="15" hidden="1" customHeight="1">
      <c r="A51" s="1163" t="s">
        <v>2405</v>
      </c>
      <c r="B51" s="1164">
        <v>1772</v>
      </c>
      <c r="C51" s="1167">
        <v>3987.88</v>
      </c>
      <c r="D51" s="1167">
        <v>0</v>
      </c>
      <c r="E51" s="1167">
        <v>3987.88</v>
      </c>
      <c r="F51" s="1163" t="s">
        <v>293</v>
      </c>
      <c r="G51" s="1163" t="s">
        <v>2125</v>
      </c>
      <c r="H51" s="1166"/>
      <c r="I51" s="1165"/>
      <c r="J51" s="1165"/>
      <c r="K51" s="1165"/>
      <c r="L51" s="153">
        <f t="shared" si="0"/>
        <v>1772</v>
      </c>
      <c r="M51" s="154" t="str">
        <f t="shared" si="1"/>
        <v>VEHICULES DE CIE</v>
      </c>
      <c r="N51" s="155">
        <f>+IF(OR($Q51=Parametres!$G$2,$Q51=Parametres!$G$3),I51,C51)</f>
        <v>3987.88</v>
      </c>
      <c r="O51" s="1108">
        <f>+IF(OR($Q51=Parametres!$G$2,$Q51=Parametres!$G$3),J51,D51)</f>
        <v>0</v>
      </c>
      <c r="P51" s="155">
        <f>+IF(OR($Q51=Parametres!$G$2,$Q51=Parametres!$G$3),K51,E51)</f>
        <v>3987.88</v>
      </c>
      <c r="Q51" s="154" t="str">
        <f t="shared" si="2"/>
        <v>2-Actifs</v>
      </c>
      <c r="R51" s="153" t="str">
        <f t="shared" si="3"/>
        <v>1700</v>
      </c>
      <c r="S51" s="154">
        <f t="shared" si="4"/>
        <v>0</v>
      </c>
      <c r="T51" s="156">
        <f>+VLOOKUP($L51,Data_Validation!$A:$D,1,0)</f>
        <v>1772</v>
      </c>
      <c r="U51" s="156" t="str">
        <f>+VLOOKUP($L51,Data_Validation!$A:$D,3,0)</f>
        <v>Bilan</v>
      </c>
      <c r="V51" s="156" t="str">
        <f>+VLOOKUP($L51,Data_Validation!$A:$D,4,0)</f>
        <v>Équipements Service</v>
      </c>
      <c r="W51" s="156" t="str">
        <f>+VLOOKUP($L51,Data_Validation!$A:$E,5,0)</f>
        <v>$</v>
      </c>
      <c r="X51" s="156">
        <f>+VLOOKUP($L51,Data_Validation!$A:$F,6,0)</f>
        <v>0</v>
      </c>
    </row>
    <row r="52" spans="1:24" ht="15.75" hidden="1" customHeight="1">
      <c r="A52" s="1163" t="s">
        <v>2407</v>
      </c>
      <c r="B52" s="1164">
        <v>1773</v>
      </c>
      <c r="C52" s="1167">
        <v>-3987.88</v>
      </c>
      <c r="D52" s="1166">
        <v>0</v>
      </c>
      <c r="E52" s="1167">
        <v>-3987.88</v>
      </c>
      <c r="F52" s="1163" t="s">
        <v>293</v>
      </c>
      <c r="G52" s="1163" t="s">
        <v>2125</v>
      </c>
      <c r="H52" s="1166"/>
      <c r="I52" s="1165"/>
      <c r="J52" s="1165"/>
      <c r="K52" s="1165"/>
      <c r="L52" s="153">
        <f t="shared" si="0"/>
        <v>1773</v>
      </c>
      <c r="M52" s="154" t="str">
        <f t="shared" si="1"/>
        <v>DEPRECIATION &amp; AMORT.</v>
      </c>
      <c r="N52" s="155">
        <f>+IF(OR($Q52=Parametres!$G$2,$Q52=Parametres!$G$3),I52,C52)</f>
        <v>-3987.88</v>
      </c>
      <c r="O52" s="1108">
        <f>+IF(OR($Q52=Parametres!$G$2,$Q52=Parametres!$G$3),J52,D52)</f>
        <v>0</v>
      </c>
      <c r="P52" s="155">
        <f>+IF(OR($Q52=Parametres!$G$2,$Q52=Parametres!$G$3),K52,E52)</f>
        <v>-3987.88</v>
      </c>
      <c r="Q52" s="154" t="str">
        <f t="shared" si="2"/>
        <v>2-Actifs</v>
      </c>
      <c r="R52" s="153" t="str">
        <f t="shared" si="3"/>
        <v>1700</v>
      </c>
      <c r="S52" s="154">
        <f t="shared" si="4"/>
        <v>0</v>
      </c>
      <c r="T52" s="156">
        <f>+VLOOKUP($L52,Data_Validation!$A:$D,1,0)</f>
        <v>1773</v>
      </c>
      <c r="U52" s="156" t="str">
        <f>+VLOOKUP($L52,Data_Validation!$A:$D,3,0)</f>
        <v>Bilan</v>
      </c>
      <c r="V52" s="156" t="str">
        <f>+VLOOKUP($L52,Data_Validation!$A:$D,4,0)</f>
        <v>Équipements Service</v>
      </c>
      <c r="W52" s="156" t="str">
        <f>+VLOOKUP($L52,Data_Validation!$A:$E,5,0)</f>
        <v>$</v>
      </c>
      <c r="X52" s="156">
        <f>+VLOOKUP($L52,Data_Validation!$A:$F,6,0)</f>
        <v>0</v>
      </c>
    </row>
    <row r="53" spans="1:24" ht="15" hidden="1" customHeight="1">
      <c r="A53" s="1163" t="s">
        <v>2563</v>
      </c>
      <c r="B53" s="1164">
        <v>1786</v>
      </c>
      <c r="C53" s="1167">
        <v>123312.49</v>
      </c>
      <c r="D53" s="1166">
        <v>0</v>
      </c>
      <c r="E53" s="1167">
        <v>123312.49</v>
      </c>
      <c r="F53" s="1163" t="s">
        <v>293</v>
      </c>
      <c r="G53" s="1163" t="s">
        <v>2125</v>
      </c>
      <c r="H53" s="1166"/>
      <c r="I53" s="1165"/>
      <c r="J53" s="1165"/>
      <c r="K53" s="1165"/>
      <c r="L53" s="153">
        <f t="shared" si="0"/>
        <v>1786</v>
      </c>
      <c r="M53" s="154" t="str">
        <f t="shared" si="1"/>
        <v>EQUIPEMENT INFORMATIQUE</v>
      </c>
      <c r="N53" s="155">
        <f>+IF(OR($Q53=Parametres!$G$2,$Q53=Parametres!$G$3),I53,C53)</f>
        <v>123312.49</v>
      </c>
      <c r="O53" s="1108">
        <f>+IF(OR($Q53=Parametres!$G$2,$Q53=Parametres!$G$3),J53,D53)</f>
        <v>0</v>
      </c>
      <c r="P53" s="155">
        <f>+IF(OR($Q53=Parametres!$G$2,$Q53=Parametres!$G$3),K53,E53)</f>
        <v>123312.49</v>
      </c>
      <c r="Q53" s="154" t="str">
        <f t="shared" si="2"/>
        <v>2-Actifs</v>
      </c>
      <c r="R53" s="153" t="str">
        <f t="shared" si="3"/>
        <v>1700</v>
      </c>
      <c r="S53" s="154">
        <f t="shared" si="4"/>
        <v>0</v>
      </c>
      <c r="T53" s="156">
        <f>+VLOOKUP($L53,Data_Validation!$A:$D,1,0)</f>
        <v>1786</v>
      </c>
      <c r="U53" s="156" t="str">
        <f>+VLOOKUP($L53,Data_Validation!$A:$D,3,0)</f>
        <v>Bilan</v>
      </c>
      <c r="V53" s="156" t="str">
        <f>+VLOOKUP($L53,Data_Validation!$A:$D,4,0)</f>
        <v>Équipements Informatique</v>
      </c>
      <c r="W53" s="156" t="str">
        <f>+VLOOKUP($L53,Data_Validation!$A:$E,5,0)</f>
        <v>$</v>
      </c>
      <c r="X53" s="156">
        <f>+VLOOKUP($L53,Data_Validation!$A:$F,6,0)</f>
        <v>0</v>
      </c>
    </row>
    <row r="54" spans="1:24" ht="15" hidden="1" customHeight="1">
      <c r="A54" s="1163" t="s">
        <v>2151</v>
      </c>
      <c r="B54" s="1164">
        <v>1787</v>
      </c>
      <c r="C54" s="1167">
        <v>-102235.43</v>
      </c>
      <c r="D54" s="1166">
        <v>-972</v>
      </c>
      <c r="E54" s="1167">
        <v>-103207.43</v>
      </c>
      <c r="F54" s="1163" t="s">
        <v>293</v>
      </c>
      <c r="G54" s="1163" t="s">
        <v>2125</v>
      </c>
      <c r="H54" s="1166"/>
      <c r="I54" s="1165"/>
      <c r="J54" s="1165"/>
      <c r="K54" s="1165"/>
      <c r="L54" s="153">
        <f t="shared" si="0"/>
        <v>1787</v>
      </c>
      <c r="M54" s="154" t="str">
        <f t="shared" si="1"/>
        <v>AMORTISS.EQUIP.INFORMATIQUES</v>
      </c>
      <c r="N54" s="155">
        <f>+IF(OR($Q54=Parametres!$G$2,$Q54=Parametres!$G$3),I54,C54)</f>
        <v>-102235.43</v>
      </c>
      <c r="O54" s="1108">
        <f>+IF(OR($Q54=Parametres!$G$2,$Q54=Parametres!$G$3),J54,D54)</f>
        <v>-972</v>
      </c>
      <c r="P54" s="155">
        <f>+IF(OR($Q54=Parametres!$G$2,$Q54=Parametres!$G$3),K54,E54)</f>
        <v>-103207.43</v>
      </c>
      <c r="Q54" s="154" t="str">
        <f t="shared" si="2"/>
        <v>2-Actifs</v>
      </c>
      <c r="R54" s="153" t="str">
        <f t="shared" si="3"/>
        <v>1700</v>
      </c>
      <c r="S54" s="154">
        <f t="shared" si="4"/>
        <v>0</v>
      </c>
      <c r="T54" s="156">
        <f>+VLOOKUP($L54,Data_Validation!$A:$D,1,0)</f>
        <v>1787</v>
      </c>
      <c r="U54" s="156" t="str">
        <f>+VLOOKUP($L54,Data_Validation!$A:$D,3,0)</f>
        <v>Bilan</v>
      </c>
      <c r="V54" s="156" t="str">
        <f>+VLOOKUP($L54,Data_Validation!$A:$D,4,0)</f>
        <v>Équipements Informatique</v>
      </c>
      <c r="W54" s="156" t="str">
        <f>+VLOOKUP($L54,Data_Validation!$A:$E,5,0)</f>
        <v>$</v>
      </c>
      <c r="X54" s="156">
        <f>+VLOOKUP($L54,Data_Validation!$A:$F,6,0)</f>
        <v>0</v>
      </c>
    </row>
    <row r="55" spans="1:24" ht="15" hidden="1" customHeight="1">
      <c r="A55" s="1163" t="s">
        <v>822</v>
      </c>
      <c r="B55" s="1164">
        <v>1792</v>
      </c>
      <c r="C55" s="1167">
        <v>119393.66</v>
      </c>
      <c r="D55" s="1166">
        <v>0</v>
      </c>
      <c r="E55" s="1167">
        <v>119393.66</v>
      </c>
      <c r="F55" s="1163" t="s">
        <v>293</v>
      </c>
      <c r="G55" s="1163" t="s">
        <v>2125</v>
      </c>
      <c r="H55" s="1166"/>
      <c r="I55" s="1165"/>
      <c r="J55" s="1165"/>
      <c r="K55" s="1165"/>
      <c r="L55" s="153">
        <f t="shared" si="0"/>
        <v>1792</v>
      </c>
      <c r="M55" s="154" t="str">
        <f t="shared" si="1"/>
        <v>ENSEIGNES</v>
      </c>
      <c r="N55" s="155">
        <f>+IF(OR($Q55=Parametres!$G$2,$Q55=Parametres!$G$3),I55,C55)</f>
        <v>119393.66</v>
      </c>
      <c r="O55" s="1108">
        <f>+IF(OR($Q55=Parametres!$G$2,$Q55=Parametres!$G$3),J55,D55)</f>
        <v>0</v>
      </c>
      <c r="P55" s="155">
        <f>+IF(OR($Q55=Parametres!$G$2,$Q55=Parametres!$G$3),K55,E55)</f>
        <v>119393.66</v>
      </c>
      <c r="Q55" s="154" t="str">
        <f t="shared" si="2"/>
        <v>2-Actifs</v>
      </c>
      <c r="R55" s="153" t="str">
        <f t="shared" si="3"/>
        <v>1700</v>
      </c>
      <c r="S55" s="154">
        <f t="shared" si="4"/>
        <v>0</v>
      </c>
      <c r="T55" s="156">
        <f>+VLOOKUP($L55,Data_Validation!$A:$D,1,0)</f>
        <v>1792</v>
      </c>
      <c r="U55" s="156" t="str">
        <f>+VLOOKUP($L55,Data_Validation!$A:$D,3,0)</f>
        <v>Bilan</v>
      </c>
      <c r="V55" s="156" t="str">
        <f>+VLOOKUP($L55,Data_Validation!$A:$D,4,0)</f>
        <v>Enseigne</v>
      </c>
      <c r="W55" s="156" t="str">
        <f>+VLOOKUP($L55,Data_Validation!$A:$E,5,0)</f>
        <v>$</v>
      </c>
      <c r="X55" s="156">
        <f>+VLOOKUP($L55,Data_Validation!$A:$F,6,0)</f>
        <v>0</v>
      </c>
    </row>
    <row r="56" spans="1:24" ht="15.75" hidden="1" customHeight="1">
      <c r="A56" s="1163" t="s">
        <v>2192</v>
      </c>
      <c r="B56" s="1164">
        <v>1793</v>
      </c>
      <c r="C56" s="1167">
        <v>-119393.65</v>
      </c>
      <c r="D56" s="1166">
        <v>0</v>
      </c>
      <c r="E56" s="1167">
        <v>-119393.65</v>
      </c>
      <c r="F56" s="1163" t="s">
        <v>293</v>
      </c>
      <c r="G56" s="1163" t="s">
        <v>2125</v>
      </c>
      <c r="H56" s="1166"/>
      <c r="I56" s="1165"/>
      <c r="J56" s="1165"/>
      <c r="K56" s="1165"/>
      <c r="L56" s="153">
        <f t="shared" si="0"/>
        <v>1793</v>
      </c>
      <c r="M56" s="154" t="str">
        <f t="shared" si="1"/>
        <v>AMORT. CUM. ENSEIGNES</v>
      </c>
      <c r="N56" s="155">
        <f>+IF(OR($Q56=Parametres!$G$2,$Q56=Parametres!$G$3),I56,C56)</f>
        <v>-119393.65</v>
      </c>
      <c r="O56" s="1108">
        <f>+IF(OR($Q56=Parametres!$G$2,$Q56=Parametres!$G$3),J56,D56)</f>
        <v>0</v>
      </c>
      <c r="P56" s="155">
        <f>+IF(OR($Q56=Parametres!$G$2,$Q56=Parametres!$G$3),K56,E56)</f>
        <v>-119393.65</v>
      </c>
      <c r="Q56" s="154" t="str">
        <f t="shared" si="2"/>
        <v>2-Actifs</v>
      </c>
      <c r="R56" s="153" t="str">
        <f t="shared" si="3"/>
        <v>1700</v>
      </c>
      <c r="S56" s="154">
        <f t="shared" si="4"/>
        <v>0</v>
      </c>
      <c r="T56" s="156">
        <f>+VLOOKUP($L56,Data_Validation!$A:$D,1,0)</f>
        <v>1793</v>
      </c>
      <c r="U56" s="156" t="str">
        <f>+VLOOKUP($L56,Data_Validation!$A:$D,3,0)</f>
        <v>Bilan</v>
      </c>
      <c r="V56" s="156" t="str">
        <f>+VLOOKUP($L56,Data_Validation!$A:$D,4,0)</f>
        <v>Enseigne</v>
      </c>
      <c r="W56" s="156" t="str">
        <f>+VLOOKUP($L56,Data_Validation!$A:$E,5,0)</f>
        <v>$</v>
      </c>
      <c r="X56" s="156">
        <f>+VLOOKUP($L56,Data_Validation!$A:$F,6,0)</f>
        <v>0</v>
      </c>
    </row>
    <row r="57" spans="1:24" ht="15" hidden="1" customHeight="1">
      <c r="A57" s="1163" t="s">
        <v>2410</v>
      </c>
      <c r="B57" s="1164">
        <v>1804</v>
      </c>
      <c r="C57" s="1167">
        <v>1623600</v>
      </c>
      <c r="D57" s="1167">
        <v>0</v>
      </c>
      <c r="E57" s="1167">
        <v>1623600</v>
      </c>
      <c r="F57" s="1163" t="s">
        <v>293</v>
      </c>
      <c r="G57" s="1163" t="s">
        <v>2411</v>
      </c>
      <c r="H57" s="1166"/>
      <c r="I57" s="1165"/>
      <c r="J57" s="1165"/>
      <c r="K57" s="1165"/>
      <c r="L57" s="153">
        <f t="shared" si="0"/>
        <v>1804</v>
      </c>
      <c r="M57" s="154" t="str">
        <f t="shared" si="1"/>
        <v>RECEVABLE-PROP. &amp; EMPL.</v>
      </c>
      <c r="N57" s="155">
        <f>+IF(OR($Q57=Parametres!$G$2,$Q57=Parametres!$G$3),I57,C57)</f>
        <v>1623600</v>
      </c>
      <c r="O57" s="1108">
        <f>+IF(OR($Q57=Parametres!$G$2,$Q57=Parametres!$G$3),J57,D57)</f>
        <v>0</v>
      </c>
      <c r="P57" s="155">
        <f>+IF(OR($Q57=Parametres!$G$2,$Q57=Parametres!$G$3),K57,E57)</f>
        <v>1623600</v>
      </c>
      <c r="Q57" s="154" t="str">
        <f t="shared" si="2"/>
        <v>2-Actifs</v>
      </c>
      <c r="R57" s="153" t="str">
        <f t="shared" si="3"/>
        <v>1804</v>
      </c>
      <c r="S57" s="154">
        <f t="shared" si="4"/>
        <v>0</v>
      </c>
      <c r="T57" s="156">
        <f>+VLOOKUP($L57,Data_Validation!$A:$D,1,0)</f>
        <v>1804</v>
      </c>
      <c r="U57" s="156" t="str">
        <f>+VLOOKUP($L57,Data_Validation!$A:$D,3,0)</f>
        <v>Bilan</v>
      </c>
      <c r="V57" s="156" t="str">
        <f>+VLOOKUP($L57,Data_Validation!$A:$D,4,0)</f>
        <v>Avances à Recevoir Long Terme</v>
      </c>
      <c r="W57" s="156" t="str">
        <f>+VLOOKUP($L57,Data_Validation!$A:$E,5,0)</f>
        <v>$</v>
      </c>
      <c r="X57" s="156">
        <f>+VLOOKUP($L57,Data_Validation!$A:$F,6,0)</f>
        <v>0</v>
      </c>
    </row>
    <row r="58" spans="1:24" ht="15" hidden="1" customHeight="1">
      <c r="A58" s="1163" t="s">
        <v>2747</v>
      </c>
      <c r="B58" s="1164">
        <v>1806</v>
      </c>
      <c r="C58" s="1167">
        <v>1339.89</v>
      </c>
      <c r="D58" s="1167">
        <v>4935.2</v>
      </c>
      <c r="E58" s="1167">
        <v>6275.09</v>
      </c>
      <c r="F58" s="1163" t="s">
        <v>293</v>
      </c>
      <c r="G58" s="1163" t="s">
        <v>2618</v>
      </c>
      <c r="H58" s="1166"/>
      <c r="I58" s="1165"/>
      <c r="J58" s="1165"/>
      <c r="K58" s="1165"/>
      <c r="L58" s="153">
        <f t="shared" si="0"/>
        <v>1806</v>
      </c>
      <c r="M58" s="154" t="str">
        <f t="shared" si="1"/>
        <v>FINANCEMENT RECEVABLE</v>
      </c>
      <c r="N58" s="155">
        <f>+IF(OR($Q58=Parametres!$G$2,$Q58=Parametres!$G$3),I58,C58)</f>
        <v>1339.89</v>
      </c>
      <c r="O58" s="1108">
        <f>+IF(OR($Q58=Parametres!$G$2,$Q58=Parametres!$G$3),J58,D58)</f>
        <v>4935.2</v>
      </c>
      <c r="P58" s="155">
        <f>+IF(OR($Q58=Parametres!$G$2,$Q58=Parametres!$G$3),K58,E58)</f>
        <v>6275.09</v>
      </c>
      <c r="Q58" s="154" t="str">
        <f t="shared" si="2"/>
        <v>2-Actifs</v>
      </c>
      <c r="R58" s="153" t="str">
        <f t="shared" si="3"/>
        <v>1382</v>
      </c>
      <c r="S58" s="154">
        <f t="shared" si="4"/>
        <v>0</v>
      </c>
      <c r="T58" s="156">
        <f>+VLOOKUP($L58,Data_Validation!$A:$D,1,0)</f>
        <v>1806</v>
      </c>
      <c r="U58" s="156" t="str">
        <f>+VLOOKUP($L58,Data_Validation!$A:$D,3,0)</f>
        <v>Bilan</v>
      </c>
      <c r="V58" s="156" t="str">
        <f>+VLOOKUP($L58,Data_Validation!$A:$D,4,0)</f>
        <v>Recevables Autres</v>
      </c>
      <c r="W58" s="156" t="str">
        <f>+VLOOKUP($L58,Data_Validation!$A:$E,5,0)</f>
        <v>$</v>
      </c>
      <c r="X58" s="156">
        <f>+VLOOKUP($L58,Data_Validation!$A:$F,6,0)</f>
        <v>0</v>
      </c>
    </row>
    <row r="59" spans="1:24" ht="15" hidden="1" customHeight="1">
      <c r="A59" s="1163" t="s">
        <v>2841</v>
      </c>
      <c r="B59" s="1164">
        <v>2101</v>
      </c>
      <c r="C59" s="1167">
        <v>-1699167.02</v>
      </c>
      <c r="D59" s="1167">
        <v>-205666.63</v>
      </c>
      <c r="E59" s="1167">
        <v>-1904833.65</v>
      </c>
      <c r="F59" s="1163" t="s">
        <v>282</v>
      </c>
      <c r="G59" s="1163" t="s">
        <v>2842</v>
      </c>
      <c r="H59" s="1166"/>
      <c r="I59" s="1165"/>
      <c r="J59" s="1165"/>
      <c r="K59" s="1165"/>
      <c r="L59" s="153">
        <f t="shared" si="0"/>
        <v>2101</v>
      </c>
      <c r="M59" s="154" t="str">
        <f t="shared" si="1"/>
        <v>NOTE A PAYER VEH. NEUFS VOLKS</v>
      </c>
      <c r="N59" s="155">
        <f>+IF(OR($Q59=Parametres!$G$2,$Q59=Parametres!$G$3),I59,C59)</f>
        <v>-1699167.02</v>
      </c>
      <c r="O59" s="1106">
        <f>+IF(OR($Q59=Parametres!$G$2,$Q59=Parametres!$G$3),J59,D59)</f>
        <v>-205666.63</v>
      </c>
      <c r="P59" s="155">
        <f>+IF(OR($Q59=Parametres!$G$2,$Q59=Parametres!$G$3),K59,E59)</f>
        <v>-1904833.65</v>
      </c>
      <c r="Q59" s="154" t="str">
        <f t="shared" si="2"/>
        <v>3-Passifs</v>
      </c>
      <c r="R59" s="153" t="str">
        <f t="shared" si="3"/>
        <v>2101</v>
      </c>
      <c r="S59" s="154">
        <f t="shared" si="4"/>
        <v>0</v>
      </c>
      <c r="T59" s="156">
        <f>+VLOOKUP($L59,Data_Validation!$A:$D,1,0)</f>
        <v>2101</v>
      </c>
      <c r="U59" s="156" t="str">
        <f>+VLOOKUP($L59,Data_Validation!$A:$D,3,0)</f>
        <v>Bilan</v>
      </c>
      <c r="V59" s="156" t="str">
        <f>+VLOOKUP($L59,Data_Validation!$A:$D,4,0)</f>
        <v>Effet à Payer Véhicules Neufs</v>
      </c>
      <c r="W59" s="156" t="str">
        <f>+VLOOKUP($L59,Data_Validation!$A:$E,5,0)</f>
        <v>$</v>
      </c>
      <c r="X59" s="156">
        <f>+VLOOKUP($L59,Data_Validation!$A:$F,6,0)</f>
        <v>0</v>
      </c>
    </row>
    <row r="60" spans="1:24" ht="15" hidden="1" customHeight="1">
      <c r="A60" s="1163" t="s">
        <v>2033</v>
      </c>
      <c r="B60" s="1164">
        <v>2103</v>
      </c>
      <c r="C60" s="1167">
        <v>-585243.65</v>
      </c>
      <c r="D60" s="1167">
        <v>-416200.38</v>
      </c>
      <c r="E60" s="1167">
        <v>-1001444.03</v>
      </c>
      <c r="F60" s="1163" t="s">
        <v>282</v>
      </c>
      <c r="G60" s="1163" t="s">
        <v>2034</v>
      </c>
      <c r="H60" s="1166"/>
      <c r="I60" s="1165"/>
      <c r="J60" s="1165"/>
      <c r="K60" s="1165"/>
      <c r="L60" s="153">
        <f t="shared" si="0"/>
        <v>2103</v>
      </c>
      <c r="M60" s="154" t="str">
        <f t="shared" si="1"/>
        <v>NOTE PAYABLE-FIN. VEH. USAG.</v>
      </c>
      <c r="N60" s="155">
        <f>+IF(OR($Q60=Parametres!$G$2,$Q60=Parametres!$G$3),I60,C60)</f>
        <v>-585243.65</v>
      </c>
      <c r="O60" s="1108">
        <f>+IF(OR($Q60=Parametres!$G$2,$Q60=Parametres!$G$3),J60,D60)</f>
        <v>-416200.38</v>
      </c>
      <c r="P60" s="155">
        <f>+IF(OR($Q60=Parametres!$G$2,$Q60=Parametres!$G$3),K60,E60)</f>
        <v>-1001444.03</v>
      </c>
      <c r="Q60" s="154" t="str">
        <f t="shared" si="2"/>
        <v>3-Passifs</v>
      </c>
      <c r="R60" s="153" t="str">
        <f t="shared" si="3"/>
        <v>2103</v>
      </c>
      <c r="S60" s="154">
        <f t="shared" si="4"/>
        <v>0</v>
      </c>
      <c r="T60" s="156">
        <f>+VLOOKUP($L60,Data_Validation!$A:$D,1,0)</f>
        <v>2103</v>
      </c>
      <c r="U60" s="156" t="str">
        <f>+VLOOKUP($L60,Data_Validation!$A:$D,3,0)</f>
        <v>Bilan</v>
      </c>
      <c r="V60" s="156" t="str">
        <f>+VLOOKUP($L60,Data_Validation!$A:$D,4,0)</f>
        <v>Effet à Payer Véhicules Usagés</v>
      </c>
      <c r="W60" s="156" t="str">
        <f>+VLOOKUP($L60,Data_Validation!$A:$E,5,0)</f>
        <v>$</v>
      </c>
      <c r="X60" s="156">
        <f>+VLOOKUP($L60,Data_Validation!$A:$F,6,0)</f>
        <v>0</v>
      </c>
    </row>
    <row r="61" spans="1:24" ht="15" hidden="1" customHeight="1">
      <c r="A61" s="1163" t="s">
        <v>2412</v>
      </c>
      <c r="B61" s="1164">
        <v>2131</v>
      </c>
      <c r="C61" s="1167">
        <v>-15810</v>
      </c>
      <c r="D61" s="1166">
        <v>0</v>
      </c>
      <c r="E61" s="1167">
        <v>-15810</v>
      </c>
      <c r="F61" s="1163" t="s">
        <v>282</v>
      </c>
      <c r="G61" s="1163" t="s">
        <v>2413</v>
      </c>
      <c r="H61" s="1166"/>
      <c r="I61" s="1165"/>
      <c r="J61" s="1165"/>
      <c r="K61" s="1165"/>
      <c r="L61" s="153">
        <f t="shared" si="0"/>
        <v>2131</v>
      </c>
      <c r="M61" s="154" t="str">
        <f t="shared" si="1"/>
        <v>PORTION COURANTE PRET</v>
      </c>
      <c r="N61" s="155">
        <f>+IF(OR($Q61=Parametres!$G$2,$Q61=Parametres!$G$3),I61,C61)</f>
        <v>-15810</v>
      </c>
      <c r="O61" s="1108">
        <f>+IF(OR($Q61=Parametres!$G$2,$Q61=Parametres!$G$3),J61,D61)</f>
        <v>0</v>
      </c>
      <c r="P61" s="155">
        <f>+IF(OR($Q61=Parametres!$G$2,$Q61=Parametres!$G$3),K61,E61)</f>
        <v>-15810</v>
      </c>
      <c r="Q61" s="154" t="str">
        <f t="shared" si="2"/>
        <v>3-Passifs</v>
      </c>
      <c r="R61" s="153" t="str">
        <f t="shared" si="3"/>
        <v>2131</v>
      </c>
      <c r="S61" s="154">
        <f t="shared" si="4"/>
        <v>0</v>
      </c>
      <c r="T61" s="156">
        <f>+VLOOKUP($L61,Data_Validation!$A:$D,1,0)</f>
        <v>2131</v>
      </c>
      <c r="U61" s="156" t="str">
        <f>+VLOOKUP($L61,Data_Validation!$A:$D,3,0)</f>
        <v>Bilan</v>
      </c>
      <c r="V61" s="156" t="str">
        <f>+VLOOKUP($L61,Data_Validation!$A:$D,4,0)</f>
        <v>Portion Court Terme de la Dette Long Terme</v>
      </c>
      <c r="W61" s="156" t="str">
        <f>+VLOOKUP($L61,Data_Validation!$A:$E,5,0)</f>
        <v>$</v>
      </c>
      <c r="X61" s="156">
        <f>+VLOOKUP($L61,Data_Validation!$A:$F,6,0)</f>
        <v>0</v>
      </c>
    </row>
    <row r="62" spans="1:24" ht="15" hidden="1" customHeight="1">
      <c r="A62" s="1163" t="s">
        <v>2200</v>
      </c>
      <c r="B62" s="1164">
        <v>2220</v>
      </c>
      <c r="C62" s="1167">
        <v>-119.66</v>
      </c>
      <c r="D62" s="1167">
        <v>-220.72</v>
      </c>
      <c r="E62" s="1167">
        <v>-340.38</v>
      </c>
      <c r="F62" s="1163" t="s">
        <v>282</v>
      </c>
      <c r="G62" s="1163" t="s">
        <v>2201</v>
      </c>
      <c r="H62" s="1166"/>
      <c r="I62" s="1165"/>
      <c r="J62" s="1165"/>
      <c r="K62" s="1165"/>
      <c r="L62" s="153">
        <f t="shared" si="0"/>
        <v>2220</v>
      </c>
      <c r="M62" s="154" t="str">
        <f t="shared" si="1"/>
        <v>TPA A PAYER</v>
      </c>
      <c r="N62" s="155">
        <f>+IF(OR($Q62=Parametres!$G$2,$Q62=Parametres!$G$3),I62,C62)</f>
        <v>-119.66</v>
      </c>
      <c r="O62" s="1108">
        <f>+IF(OR($Q62=Parametres!$G$2,$Q62=Parametres!$G$3),J62,D62)</f>
        <v>-220.72</v>
      </c>
      <c r="P62" s="155">
        <f>+IF(OR($Q62=Parametres!$G$2,$Q62=Parametres!$G$3),K62,E62)</f>
        <v>-340.38</v>
      </c>
      <c r="Q62" s="154" t="str">
        <f t="shared" si="2"/>
        <v>3-Passifs</v>
      </c>
      <c r="R62" s="153" t="str">
        <f t="shared" si="3"/>
        <v>2220</v>
      </c>
      <c r="S62" s="154">
        <f t="shared" si="4"/>
        <v>0</v>
      </c>
      <c r="T62" s="156">
        <f>+VLOOKUP($L62,Data_Validation!$A:$D,1,0)</f>
        <v>2220</v>
      </c>
      <c r="U62" s="156" t="str">
        <f>+VLOOKUP($L62,Data_Validation!$A:$D,3,0)</f>
        <v>Bilan</v>
      </c>
      <c r="V62" s="156" t="str">
        <f>+VLOOKUP($L62,Data_Validation!$A:$D,4,0)</f>
        <v>Taxes de Vente à Payer</v>
      </c>
      <c r="W62" s="156" t="str">
        <f>+VLOOKUP($L62,Data_Validation!$A:$E,5,0)</f>
        <v>$</v>
      </c>
      <c r="X62" s="156">
        <f>+VLOOKUP($L62,Data_Validation!$A:$F,6,0)</f>
        <v>0</v>
      </c>
    </row>
    <row r="63" spans="1:24" ht="15" hidden="1" customHeight="1">
      <c r="A63" s="1163" t="s">
        <v>2053</v>
      </c>
      <c r="B63" s="1164">
        <v>2221</v>
      </c>
      <c r="C63" s="1167">
        <v>-87212</v>
      </c>
      <c r="D63" s="1167">
        <v>19043.62</v>
      </c>
      <c r="E63" s="1167">
        <v>-68168.38</v>
      </c>
      <c r="F63" s="1163" t="s">
        <v>282</v>
      </c>
      <c r="G63" s="1163" t="s">
        <v>2054</v>
      </c>
      <c r="H63" s="1166"/>
      <c r="I63" s="1165"/>
      <c r="J63" s="1165"/>
      <c r="K63" s="1165"/>
      <c r="L63" s="153">
        <f t="shared" si="0"/>
        <v>2221</v>
      </c>
      <c r="M63" s="154" t="str">
        <f t="shared" si="1"/>
        <v>TVQ A PAYER</v>
      </c>
      <c r="N63" s="155">
        <f>+IF(OR($Q63=Parametres!$G$2,$Q63=Parametres!$G$3),I63,C63)</f>
        <v>-87212</v>
      </c>
      <c r="O63" s="1106">
        <f>+IF(OR($Q63=Parametres!$G$2,$Q63=Parametres!$G$3),J63,D63)</f>
        <v>19043.62</v>
      </c>
      <c r="P63" s="155">
        <f>+IF(OR($Q63=Parametres!$G$2,$Q63=Parametres!$G$3),K63,E63)</f>
        <v>-68168.38</v>
      </c>
      <c r="Q63" s="154" t="str">
        <f t="shared" si="2"/>
        <v>3-Passifs</v>
      </c>
      <c r="R63" s="153" t="str">
        <f t="shared" si="3"/>
        <v>2221</v>
      </c>
      <c r="S63" s="154">
        <f t="shared" si="4"/>
        <v>0</v>
      </c>
      <c r="T63" s="156">
        <f>+VLOOKUP($L63,Data_Validation!$A:$D,1,0)</f>
        <v>2221</v>
      </c>
      <c r="U63" s="156" t="str">
        <f>+VLOOKUP($L63,Data_Validation!$A:$D,3,0)</f>
        <v>Bilan</v>
      </c>
      <c r="V63" s="156" t="str">
        <f>+VLOOKUP($L63,Data_Validation!$A:$D,4,0)</f>
        <v>Taxes de Vente à Payer</v>
      </c>
      <c r="W63" s="156" t="str">
        <f>+VLOOKUP($L63,Data_Validation!$A:$E,5,0)</f>
        <v>$</v>
      </c>
      <c r="X63" s="156">
        <f>+VLOOKUP($L63,Data_Validation!$A:$F,6,0)</f>
        <v>0</v>
      </c>
    </row>
    <row r="64" spans="1:24" ht="15" hidden="1" customHeight="1">
      <c r="A64" s="1163" t="s">
        <v>2791</v>
      </c>
      <c r="B64" s="1164">
        <v>2222</v>
      </c>
      <c r="C64" s="1167">
        <v>49118.49</v>
      </c>
      <c r="D64" s="1167">
        <v>-6457.69</v>
      </c>
      <c r="E64" s="1167">
        <v>42660.800000000003</v>
      </c>
      <c r="F64" s="1163" t="s">
        <v>282</v>
      </c>
      <c r="G64" s="1163" t="s">
        <v>2054</v>
      </c>
      <c r="H64" s="1166"/>
      <c r="I64" s="1165"/>
      <c r="J64" s="1165"/>
      <c r="K64" s="1165"/>
      <c r="L64" s="153">
        <f t="shared" si="0"/>
        <v>2222</v>
      </c>
      <c r="M64" s="154" t="str">
        <f t="shared" si="1"/>
        <v>TVQ A RECEVOIR</v>
      </c>
      <c r="N64" s="155">
        <f>+IF(OR($Q64=Parametres!$G$2,$Q64=Parametres!$G$3),I64,C64)</f>
        <v>49118.49</v>
      </c>
      <c r="O64" s="1108">
        <f>+IF(OR($Q64=Parametres!$G$2,$Q64=Parametres!$G$3),J64,D64)</f>
        <v>-6457.69</v>
      </c>
      <c r="P64" s="155">
        <f>+IF(OR($Q64=Parametres!$G$2,$Q64=Parametres!$G$3),K64,E64)</f>
        <v>42660.800000000003</v>
      </c>
      <c r="Q64" s="154" t="str">
        <f t="shared" si="2"/>
        <v>3-Passifs</v>
      </c>
      <c r="R64" s="153" t="str">
        <f t="shared" si="3"/>
        <v>2221</v>
      </c>
      <c r="S64" s="154">
        <f t="shared" si="4"/>
        <v>0</v>
      </c>
      <c r="T64" s="156">
        <f>+VLOOKUP($L64,Data_Validation!$A:$D,1,0)</f>
        <v>2222</v>
      </c>
      <c r="U64" s="156" t="str">
        <f>+VLOOKUP($L64,Data_Validation!$A:$D,3,0)</f>
        <v>Bilan</v>
      </c>
      <c r="V64" s="156" t="str">
        <f>+VLOOKUP($L64,Data_Validation!$A:$D,4,0)</f>
        <v>Taxes de Vente à Payer</v>
      </c>
      <c r="W64" s="156" t="str">
        <f>+VLOOKUP($L64,Data_Validation!$A:$E,5,0)</f>
        <v>$</v>
      </c>
      <c r="X64" s="156">
        <f>+VLOOKUP($L64,Data_Validation!$A:$F,6,0)</f>
        <v>0</v>
      </c>
    </row>
    <row r="65" spans="1:24" ht="15" hidden="1" customHeight="1">
      <c r="A65" s="1163" t="s">
        <v>2808</v>
      </c>
      <c r="B65" s="1164">
        <v>2223</v>
      </c>
      <c r="C65" s="1167">
        <v>-169772.33</v>
      </c>
      <c r="D65" s="1167">
        <v>-13243.79</v>
      </c>
      <c r="E65" s="1167">
        <v>-183016.12</v>
      </c>
      <c r="F65" s="1163" t="s">
        <v>282</v>
      </c>
      <c r="G65" s="1163" t="s">
        <v>2063</v>
      </c>
      <c r="H65" s="1166"/>
      <c r="I65" s="1165"/>
      <c r="J65" s="1165"/>
      <c r="K65" s="1165"/>
      <c r="L65" s="153">
        <f t="shared" si="0"/>
        <v>2223</v>
      </c>
      <c r="M65" s="154" t="str">
        <f t="shared" si="1"/>
        <v>TPS A PAYER</v>
      </c>
      <c r="N65" s="155">
        <f>+IF(OR($Q65=Parametres!$G$2,$Q65=Parametres!$G$3),I65,C65)</f>
        <v>-169772.33</v>
      </c>
      <c r="O65" s="1106">
        <f>+IF(OR($Q65=Parametres!$G$2,$Q65=Parametres!$G$3),J65,D65)</f>
        <v>-13243.79</v>
      </c>
      <c r="P65" s="155">
        <f>+IF(OR($Q65=Parametres!$G$2,$Q65=Parametres!$G$3),K65,E65)</f>
        <v>-183016.12</v>
      </c>
      <c r="Q65" s="154" t="str">
        <f t="shared" si="2"/>
        <v>3-Passifs</v>
      </c>
      <c r="R65" s="153" t="str">
        <f t="shared" si="3"/>
        <v>2223</v>
      </c>
      <c r="S65" s="154">
        <f t="shared" si="4"/>
        <v>0</v>
      </c>
      <c r="T65" s="156">
        <f>+VLOOKUP($L65,Data_Validation!$A:$D,1,0)</f>
        <v>2223</v>
      </c>
      <c r="U65" s="156" t="str">
        <f>+VLOOKUP($L65,Data_Validation!$A:$D,3,0)</f>
        <v>Bilan</v>
      </c>
      <c r="V65" s="156" t="str">
        <f>+VLOOKUP($L65,Data_Validation!$A:$D,4,0)</f>
        <v>Taxes de Vente à Payer</v>
      </c>
      <c r="W65" s="156" t="str">
        <f>+VLOOKUP($L65,Data_Validation!$A:$E,5,0)</f>
        <v>$</v>
      </c>
      <c r="X65" s="156">
        <f>+VLOOKUP($L65,Data_Validation!$A:$F,6,0)</f>
        <v>0</v>
      </c>
    </row>
    <row r="66" spans="1:24" ht="15" hidden="1" customHeight="1">
      <c r="A66" s="1163" t="s">
        <v>2061</v>
      </c>
      <c r="B66" s="1164">
        <v>2224</v>
      </c>
      <c r="C66" s="1167">
        <v>135313.75</v>
      </c>
      <c r="D66" s="1167">
        <v>16608.57</v>
      </c>
      <c r="E66" s="1167">
        <v>151922.32</v>
      </c>
      <c r="F66" s="1163" t="s">
        <v>282</v>
      </c>
      <c r="G66" s="1163" t="s">
        <v>2063</v>
      </c>
      <c r="H66" s="1166"/>
      <c r="I66" s="1165"/>
      <c r="J66" s="1165"/>
      <c r="K66" s="1165"/>
      <c r="L66" s="153">
        <f t="shared" ref="L66:L129" si="5">+B66</f>
        <v>2224</v>
      </c>
      <c r="M66" s="154" t="str">
        <f t="shared" ref="M66:M129" si="6">+A66</f>
        <v>TPS A RECEVOIR</v>
      </c>
      <c r="N66" s="155">
        <f>+IF(OR($Q66=Parametres!$G$2,$Q66=Parametres!$G$3),I66,C66)</f>
        <v>135313.75</v>
      </c>
      <c r="O66" s="1108">
        <f>+IF(OR($Q66=Parametres!$G$2,$Q66=Parametres!$G$3),J66,D66)</f>
        <v>16608.57</v>
      </c>
      <c r="P66" s="155">
        <f>+IF(OR($Q66=Parametres!$G$2,$Q66=Parametres!$G$3),K66,E66)</f>
        <v>151922.32</v>
      </c>
      <c r="Q66" s="154" t="str">
        <f t="shared" ref="Q66:Q129" si="7">+F66</f>
        <v>3-Passifs</v>
      </c>
      <c r="R66" s="153" t="str">
        <f t="shared" ref="R66:R129" si="8">+G66</f>
        <v>2223</v>
      </c>
      <c r="S66" s="154">
        <f t="shared" ref="S66:S129" si="9">+H66</f>
        <v>0</v>
      </c>
      <c r="T66" s="156">
        <f>+VLOOKUP($L66,Data_Validation!$A:$D,1,0)</f>
        <v>2224</v>
      </c>
      <c r="U66" s="156" t="str">
        <f>+VLOOKUP($L66,Data_Validation!$A:$D,3,0)</f>
        <v>Bilan</v>
      </c>
      <c r="V66" s="156" t="str">
        <f>+VLOOKUP($L66,Data_Validation!$A:$D,4,0)</f>
        <v>Taxes de Vente à Payer</v>
      </c>
      <c r="W66" s="156" t="str">
        <f>+VLOOKUP($L66,Data_Validation!$A:$E,5,0)</f>
        <v>$</v>
      </c>
      <c r="X66" s="156">
        <f>+VLOOKUP($L66,Data_Validation!$A:$F,6,0)</f>
        <v>0</v>
      </c>
    </row>
    <row r="67" spans="1:24" ht="15" hidden="1" customHeight="1">
      <c r="A67" s="1163" t="s">
        <v>2611</v>
      </c>
      <c r="B67" s="1164">
        <v>2225</v>
      </c>
      <c r="C67" s="1167">
        <v>-1272</v>
      </c>
      <c r="D67" s="1167">
        <v>165</v>
      </c>
      <c r="E67" s="1167">
        <v>-1107</v>
      </c>
      <c r="F67" s="1163" t="s">
        <v>282</v>
      </c>
      <c r="G67" s="1163" t="s">
        <v>2054</v>
      </c>
      <c r="H67" s="1166"/>
      <c r="I67" s="1165"/>
      <c r="J67" s="1165"/>
      <c r="K67" s="1165"/>
      <c r="L67" s="153">
        <f t="shared" si="5"/>
        <v>2225</v>
      </c>
      <c r="M67" s="154" t="str">
        <f t="shared" si="6"/>
        <v>DROIT SUR PNEUS</v>
      </c>
      <c r="N67" s="155">
        <f>+IF(OR($Q67=Parametres!$G$2,$Q67=Parametres!$G$3),I67,C67)</f>
        <v>-1272</v>
      </c>
      <c r="O67" s="1108">
        <f>+IF(OR($Q67=Parametres!$G$2,$Q67=Parametres!$G$3),J67,D67)</f>
        <v>165</v>
      </c>
      <c r="P67" s="155">
        <f>+IF(OR($Q67=Parametres!$G$2,$Q67=Parametres!$G$3),K67,E67)</f>
        <v>-1107</v>
      </c>
      <c r="Q67" s="154" t="str">
        <f t="shared" si="7"/>
        <v>3-Passifs</v>
      </c>
      <c r="R67" s="153" t="str">
        <f t="shared" si="8"/>
        <v>2221</v>
      </c>
      <c r="S67" s="154">
        <f t="shared" si="9"/>
        <v>0</v>
      </c>
      <c r="T67" s="156">
        <f>+VLOOKUP($L67,Data_Validation!$A:$D,1,0)</f>
        <v>2225</v>
      </c>
      <c r="U67" s="156" t="str">
        <f>+VLOOKUP($L67,Data_Validation!$A:$D,3,0)</f>
        <v>Bilan</v>
      </c>
      <c r="V67" s="156" t="str">
        <f>+VLOOKUP($L67,Data_Validation!$A:$D,4,0)</f>
        <v>Taxes de Vente à Payer</v>
      </c>
      <c r="W67" s="156" t="str">
        <f>+VLOOKUP($L67,Data_Validation!$A:$E,5,0)</f>
        <v>$</v>
      </c>
      <c r="X67" s="156">
        <f>+VLOOKUP($L67,Data_Validation!$A:$F,6,0)</f>
        <v>0</v>
      </c>
    </row>
    <row r="68" spans="1:24" ht="15" hidden="1" customHeight="1">
      <c r="A68" s="1163" t="s">
        <v>2813</v>
      </c>
      <c r="B68" s="1164">
        <v>2281</v>
      </c>
      <c r="C68" s="1167">
        <v>-4005</v>
      </c>
      <c r="D68" s="1167">
        <v>-307990.63</v>
      </c>
      <c r="E68" s="1167">
        <v>-311995.63</v>
      </c>
      <c r="F68" s="1163" t="s">
        <v>282</v>
      </c>
      <c r="G68" s="1163" t="s">
        <v>2131</v>
      </c>
      <c r="H68" s="1166"/>
      <c r="I68" s="1165"/>
      <c r="J68" s="1165"/>
      <c r="K68" s="1165"/>
      <c r="L68" s="153">
        <f t="shared" si="5"/>
        <v>2281</v>
      </c>
      <c r="M68" s="154" t="str">
        <f t="shared" si="6"/>
        <v>LIEN A PAYER</v>
      </c>
      <c r="N68" s="155">
        <f>+IF(OR($Q68=Parametres!$G$2,$Q68=Parametres!$G$3),I68,C68)</f>
        <v>-4005</v>
      </c>
      <c r="O68" s="1106">
        <f>+IF(OR($Q68=Parametres!$G$2,$Q68=Parametres!$G$3),J68,D68)</f>
        <v>-307990.63</v>
      </c>
      <c r="P68" s="155">
        <f>+IF(OR($Q68=Parametres!$G$2,$Q68=Parametres!$G$3),K68,E68)</f>
        <v>-311995.63</v>
      </c>
      <c r="Q68" s="154" t="str">
        <f t="shared" si="7"/>
        <v>3-Passifs</v>
      </c>
      <c r="R68" s="153" t="str">
        <f t="shared" si="8"/>
        <v>2283</v>
      </c>
      <c r="S68" s="154">
        <f t="shared" si="9"/>
        <v>0</v>
      </c>
      <c r="T68" s="156">
        <f>+VLOOKUP($L68,Data_Validation!$A:$D,1,0)</f>
        <v>2281</v>
      </c>
      <c r="U68" s="156" t="str">
        <f>+VLOOKUP($L68,Data_Validation!$A:$D,3,0)</f>
        <v>Bilan</v>
      </c>
      <c r="V68" s="156" t="str">
        <f>+VLOOKUP($L68,Data_Validation!$A:$D,4,0)</f>
        <v>Autres Comptes à Payer</v>
      </c>
      <c r="W68" s="156" t="str">
        <f>+VLOOKUP($L68,Data_Validation!$A:$E,5,0)</f>
        <v>$</v>
      </c>
      <c r="X68" s="156">
        <f>+VLOOKUP($L68,Data_Validation!$A:$F,6,0)</f>
        <v>0</v>
      </c>
    </row>
    <row r="69" spans="1:24" ht="15" hidden="1" customHeight="1">
      <c r="A69" s="1163" t="s">
        <v>2170</v>
      </c>
      <c r="B69" s="1164">
        <v>2283</v>
      </c>
      <c r="C69" s="1167">
        <v>0</v>
      </c>
      <c r="D69" s="1167">
        <v>-490</v>
      </c>
      <c r="E69" s="1167">
        <v>-490</v>
      </c>
      <c r="F69" s="1163" t="s">
        <v>282</v>
      </c>
      <c r="G69" s="1163" t="s">
        <v>2131</v>
      </c>
      <c r="H69" s="1166"/>
      <c r="I69" s="1165"/>
      <c r="J69" s="1165"/>
      <c r="K69" s="1165"/>
      <c r="L69" s="153">
        <f t="shared" si="5"/>
        <v>2283</v>
      </c>
      <c r="M69" s="154" t="str">
        <f t="shared" si="6"/>
        <v>PLAQUE A PAYER</v>
      </c>
      <c r="N69" s="155">
        <f>+IF(OR($Q69=Parametres!$G$2,$Q69=Parametres!$G$3),I69,C69)</f>
        <v>0</v>
      </c>
      <c r="O69" s="1108">
        <f>+IF(OR($Q69=Parametres!$G$2,$Q69=Parametres!$G$3),J69,D69)</f>
        <v>-490</v>
      </c>
      <c r="P69" s="155">
        <f>+IF(OR($Q69=Parametres!$G$2,$Q69=Parametres!$G$3),K69,E69)</f>
        <v>-490</v>
      </c>
      <c r="Q69" s="154" t="str">
        <f t="shared" si="7"/>
        <v>3-Passifs</v>
      </c>
      <c r="R69" s="153" t="str">
        <f t="shared" si="8"/>
        <v>2283</v>
      </c>
      <c r="S69" s="154">
        <f t="shared" si="9"/>
        <v>0</v>
      </c>
      <c r="T69" s="156">
        <f>+VLOOKUP($L69,Data_Validation!$A:$D,1,0)</f>
        <v>2283</v>
      </c>
      <c r="U69" s="156" t="str">
        <f>+VLOOKUP($L69,Data_Validation!$A:$D,3,0)</f>
        <v>Bilan</v>
      </c>
      <c r="V69" s="156" t="str">
        <f>+VLOOKUP($L69,Data_Validation!$A:$D,4,0)</f>
        <v>Autres Comptes à Payer</v>
      </c>
      <c r="W69" s="156" t="str">
        <f>+VLOOKUP($L69,Data_Validation!$A:$E,5,0)</f>
        <v>$</v>
      </c>
      <c r="X69" s="156">
        <f>+VLOOKUP($L69,Data_Validation!$A:$F,6,0)</f>
        <v>0</v>
      </c>
    </row>
    <row r="70" spans="1:24" ht="15" hidden="1" customHeight="1">
      <c r="A70" s="1163" t="s">
        <v>2767</v>
      </c>
      <c r="B70" s="1164">
        <v>2285</v>
      </c>
      <c r="C70" s="1167">
        <v>-52493.5</v>
      </c>
      <c r="D70" s="1167">
        <v>-15782.3</v>
      </c>
      <c r="E70" s="1167">
        <v>-68275.8</v>
      </c>
      <c r="F70" s="1163" t="s">
        <v>282</v>
      </c>
      <c r="G70" s="1163" t="s">
        <v>2131</v>
      </c>
      <c r="H70" s="1166"/>
      <c r="I70" s="1165"/>
      <c r="J70" s="1165"/>
      <c r="K70" s="1165"/>
      <c r="L70" s="153">
        <f t="shared" si="5"/>
        <v>2285</v>
      </c>
      <c r="M70" s="154" t="str">
        <f t="shared" si="6"/>
        <v>PROTECTIONS A PAYER</v>
      </c>
      <c r="N70" s="155">
        <f>+IF(OR($Q70=Parametres!$G$2,$Q70=Parametres!$G$3),I70,C70)</f>
        <v>-52493.5</v>
      </c>
      <c r="O70" s="1108">
        <f>+IF(OR($Q70=Parametres!$G$2,$Q70=Parametres!$G$3),J70,D70)</f>
        <v>-15782.3</v>
      </c>
      <c r="P70" s="155">
        <f>+IF(OR($Q70=Parametres!$G$2,$Q70=Parametres!$G$3),K70,E70)</f>
        <v>-68275.8</v>
      </c>
      <c r="Q70" s="154" t="str">
        <f t="shared" si="7"/>
        <v>3-Passifs</v>
      </c>
      <c r="R70" s="153" t="str">
        <f t="shared" si="8"/>
        <v>2283</v>
      </c>
      <c r="S70" s="154">
        <f t="shared" si="9"/>
        <v>0</v>
      </c>
      <c r="T70" s="156">
        <f>+VLOOKUP($L70,Data_Validation!$A:$D,1,0)</f>
        <v>2285</v>
      </c>
      <c r="U70" s="156" t="str">
        <f>+VLOOKUP($L70,Data_Validation!$A:$D,3,0)</f>
        <v>Bilan</v>
      </c>
      <c r="V70" s="156" t="str">
        <f>+VLOOKUP($L70,Data_Validation!$A:$D,4,0)</f>
        <v>Autres Comptes à Payer</v>
      </c>
      <c r="W70" s="156" t="str">
        <f>+VLOOKUP($L70,Data_Validation!$A:$E,5,0)</f>
        <v>$</v>
      </c>
      <c r="X70" s="156">
        <f>+VLOOKUP($L70,Data_Validation!$A:$F,6,0)</f>
        <v>0</v>
      </c>
    </row>
    <row r="71" spans="1:24" ht="15" hidden="1" customHeight="1">
      <c r="A71" s="1163" t="s">
        <v>2741</v>
      </c>
      <c r="B71" s="1164">
        <v>2287</v>
      </c>
      <c r="C71" s="1167">
        <v>-4618.3500000000004</v>
      </c>
      <c r="D71" s="1167">
        <v>730.8</v>
      </c>
      <c r="E71" s="1167">
        <v>-3887.55</v>
      </c>
      <c r="F71" s="1163" t="s">
        <v>282</v>
      </c>
      <c r="G71" s="1163" t="s">
        <v>2131</v>
      </c>
      <c r="H71" s="1166"/>
      <c r="I71" s="1165"/>
      <c r="J71" s="1165"/>
      <c r="K71" s="1165"/>
      <c r="L71" s="153">
        <f t="shared" si="5"/>
        <v>2287</v>
      </c>
      <c r="M71" s="154" t="str">
        <f t="shared" si="6"/>
        <v>A PAYER INVAPLAN</v>
      </c>
      <c r="N71" s="155">
        <f>+IF(OR($Q71=Parametres!$G$2,$Q71=Parametres!$G$3),I71,C71)</f>
        <v>-4618.3500000000004</v>
      </c>
      <c r="O71" s="1108">
        <f>+IF(OR($Q71=Parametres!$G$2,$Q71=Parametres!$G$3),J71,D71)</f>
        <v>730.8</v>
      </c>
      <c r="P71" s="155">
        <f>+IF(OR($Q71=Parametres!$G$2,$Q71=Parametres!$G$3),K71,E71)</f>
        <v>-3887.55</v>
      </c>
      <c r="Q71" s="154" t="str">
        <f t="shared" si="7"/>
        <v>3-Passifs</v>
      </c>
      <c r="R71" s="153" t="str">
        <f t="shared" si="8"/>
        <v>2283</v>
      </c>
      <c r="S71" s="154">
        <f t="shared" si="9"/>
        <v>0</v>
      </c>
      <c r="T71" s="156">
        <f>+VLOOKUP($L71,Data_Validation!$A:$D,1,0)</f>
        <v>2287</v>
      </c>
      <c r="U71" s="156" t="str">
        <f>+VLOOKUP($L71,Data_Validation!$A:$D,3,0)</f>
        <v>Bilan</v>
      </c>
      <c r="V71" s="156" t="str">
        <f>+VLOOKUP($L71,Data_Validation!$A:$D,4,0)</f>
        <v>Autres Comptes à Payer</v>
      </c>
      <c r="W71" s="156" t="str">
        <f>+VLOOKUP($L71,Data_Validation!$A:$E,5,0)</f>
        <v>$</v>
      </c>
      <c r="X71" s="156">
        <f>+VLOOKUP($L71,Data_Validation!$A:$F,6,0)</f>
        <v>0</v>
      </c>
    </row>
    <row r="72" spans="1:24" ht="15" hidden="1" customHeight="1">
      <c r="A72" s="1163" t="s">
        <v>2006</v>
      </c>
      <c r="B72" s="1164">
        <v>2291</v>
      </c>
      <c r="C72" s="1167">
        <v>59255.5</v>
      </c>
      <c r="D72" s="1167">
        <v>-198552.86</v>
      </c>
      <c r="E72" s="1167">
        <v>-139297.35999999999</v>
      </c>
      <c r="F72" s="1163" t="s">
        <v>282</v>
      </c>
      <c r="G72" s="1163" t="s">
        <v>2007</v>
      </c>
      <c r="H72" s="1166"/>
      <c r="I72" s="1165"/>
      <c r="J72" s="1165"/>
      <c r="K72" s="1165"/>
      <c r="L72" s="153">
        <f t="shared" si="5"/>
        <v>2291</v>
      </c>
      <c r="M72" s="154" t="str">
        <f t="shared" si="6"/>
        <v>COMPTES FOURNISSEURS</v>
      </c>
      <c r="N72" s="155">
        <f>+IF(OR($Q72=Parametres!$G$2,$Q72=Parametres!$G$3),I72,C72)</f>
        <v>59255.5</v>
      </c>
      <c r="O72" s="1106">
        <f>+IF(OR($Q72=Parametres!$G$2,$Q72=Parametres!$G$3),J72,D72)</f>
        <v>-198552.86</v>
      </c>
      <c r="P72" s="155">
        <f>+IF(OR($Q72=Parametres!$G$2,$Q72=Parametres!$G$3),K72,E72)</f>
        <v>-139297.35999999999</v>
      </c>
      <c r="Q72" s="154" t="str">
        <f t="shared" si="7"/>
        <v>3-Passifs</v>
      </c>
      <c r="R72" s="153" t="str">
        <f t="shared" si="8"/>
        <v>2291</v>
      </c>
      <c r="S72" s="154">
        <f t="shared" si="9"/>
        <v>0</v>
      </c>
      <c r="T72" s="156">
        <f>+VLOOKUP($L72,Data_Validation!$A:$D,1,0)</f>
        <v>2291</v>
      </c>
      <c r="U72" s="156" t="str">
        <f>+VLOOKUP($L72,Data_Validation!$A:$D,3,0)</f>
        <v>Bilan</v>
      </c>
      <c r="V72" s="156" t="str">
        <f>+VLOOKUP($L72,Data_Validation!$A:$D,4,0)</f>
        <v>Comptes à Payer Fournisseurs</v>
      </c>
      <c r="W72" s="156" t="str">
        <f>+VLOOKUP($L72,Data_Validation!$A:$E,5,0)</f>
        <v>$</v>
      </c>
      <c r="X72" s="156">
        <f>+VLOOKUP($L72,Data_Validation!$A:$F,6,0)</f>
        <v>0</v>
      </c>
    </row>
    <row r="73" spans="1:24" ht="15" hidden="1" customHeight="1">
      <c r="A73" s="1163" t="s">
        <v>2046</v>
      </c>
      <c r="B73" s="1164">
        <v>2292</v>
      </c>
      <c r="C73" s="1167">
        <v>0</v>
      </c>
      <c r="D73" s="1167">
        <v>-47529.35</v>
      </c>
      <c r="E73" s="1167">
        <v>-47529.35</v>
      </c>
      <c r="F73" s="1163" t="s">
        <v>282</v>
      </c>
      <c r="G73" s="1163" t="s">
        <v>2007</v>
      </c>
      <c r="H73" s="1166"/>
      <c r="I73" s="1165"/>
      <c r="J73" s="1165"/>
      <c r="K73" s="1165"/>
      <c r="L73" s="153">
        <f t="shared" si="5"/>
        <v>2292</v>
      </c>
      <c r="M73" s="154" t="str">
        <f t="shared" si="6"/>
        <v>ECHANGE ENTRE CONCESSIONNAIRES</v>
      </c>
      <c r="N73" s="155">
        <f>+IF(OR($Q73=Parametres!$G$2,$Q73=Parametres!$G$3),I73,C73)</f>
        <v>0</v>
      </c>
      <c r="O73" s="1108">
        <f>+IF(OR($Q73=Parametres!$G$2,$Q73=Parametres!$G$3),J73,D73)</f>
        <v>-47529.35</v>
      </c>
      <c r="P73" s="155">
        <f>+IF(OR($Q73=Parametres!$G$2,$Q73=Parametres!$G$3),K73,E73)</f>
        <v>-47529.35</v>
      </c>
      <c r="Q73" s="154" t="str">
        <f t="shared" si="7"/>
        <v>3-Passifs</v>
      </c>
      <c r="R73" s="153" t="str">
        <f t="shared" si="8"/>
        <v>2291</v>
      </c>
      <c r="S73" s="154">
        <f t="shared" si="9"/>
        <v>0</v>
      </c>
      <c r="T73" s="156">
        <f>+VLOOKUP($L73,Data_Validation!$A:$D,1,0)</f>
        <v>2292</v>
      </c>
      <c r="U73" s="156" t="str">
        <f>+VLOOKUP($L73,Data_Validation!$A:$D,3,0)</f>
        <v>Bilan</v>
      </c>
      <c r="V73" s="156" t="str">
        <f>+VLOOKUP($L73,Data_Validation!$A:$D,4,0)</f>
        <v>Autres Comptes à Payer</v>
      </c>
      <c r="W73" s="156" t="str">
        <f>+VLOOKUP($L73,Data_Validation!$A:$E,5,0)</f>
        <v>$</v>
      </c>
      <c r="X73" s="156">
        <f>+VLOOKUP($L73,Data_Validation!$A:$F,6,0)</f>
        <v>0</v>
      </c>
    </row>
    <row r="74" spans="1:24" ht="15" hidden="1" customHeight="1">
      <c r="A74" s="1163" t="s">
        <v>2977</v>
      </c>
      <c r="B74" s="1164">
        <v>2296</v>
      </c>
      <c r="C74" s="1167">
        <v>-128549.81</v>
      </c>
      <c r="D74" s="1167">
        <v>31217.11</v>
      </c>
      <c r="E74" s="1167">
        <v>-97332.7</v>
      </c>
      <c r="F74" s="1163" t="s">
        <v>282</v>
      </c>
      <c r="G74" s="1163" t="s">
        <v>2007</v>
      </c>
      <c r="H74" s="1166"/>
      <c r="I74" s="1165"/>
      <c r="J74" s="1165"/>
      <c r="K74" s="1165"/>
      <c r="L74" s="153">
        <f t="shared" si="5"/>
        <v>2296</v>
      </c>
      <c r="M74" s="154" t="str">
        <f t="shared" si="6"/>
        <v>COMPTE FOURNISSEURS INTERCO</v>
      </c>
      <c r="N74" s="155">
        <f>+IF(OR($Q74=Parametres!$G$2,$Q74=Parametres!$G$3),I74,C74)</f>
        <v>-128549.81</v>
      </c>
      <c r="O74" s="1108">
        <f>+IF(OR($Q74=Parametres!$G$2,$Q74=Parametres!$G$3),J74,D74)</f>
        <v>31217.11</v>
      </c>
      <c r="P74" s="155">
        <f>+IF(OR($Q74=Parametres!$G$2,$Q74=Parametres!$G$3),K74,E74)</f>
        <v>-97332.7</v>
      </c>
      <c r="Q74" s="154" t="str">
        <f t="shared" si="7"/>
        <v>3-Passifs</v>
      </c>
      <c r="R74" s="153" t="str">
        <f t="shared" si="8"/>
        <v>2291</v>
      </c>
      <c r="S74" s="154">
        <f t="shared" si="9"/>
        <v>0</v>
      </c>
      <c r="T74" s="156">
        <f>+VLOOKUP($L74,Data_Validation!$A:$D,1,0)</f>
        <v>2296</v>
      </c>
      <c r="U74" s="156" t="str">
        <f>+VLOOKUP($L74,Data_Validation!$A:$D,3,0)</f>
        <v>Bilan</v>
      </c>
      <c r="V74" s="156" t="str">
        <f>+VLOOKUP($L74,Data_Validation!$A:$D,4,0)</f>
        <v>Payables Intercos</v>
      </c>
      <c r="W74" s="156" t="str">
        <f>+VLOOKUP($L74,Data_Validation!$A:$E,5,0)</f>
        <v>$</v>
      </c>
      <c r="X74" s="156">
        <f>+VLOOKUP($L74,Data_Validation!$A:$F,6,0)</f>
        <v>0</v>
      </c>
    </row>
    <row r="75" spans="1:24" ht="15" hidden="1" customHeight="1">
      <c r="A75" s="1163" t="s">
        <v>2143</v>
      </c>
      <c r="B75" s="1164">
        <v>2297</v>
      </c>
      <c r="C75" s="1167">
        <v>-6550</v>
      </c>
      <c r="D75" s="1167">
        <v>0</v>
      </c>
      <c r="E75" s="1167">
        <v>-6550</v>
      </c>
      <c r="F75" s="1163" t="s">
        <v>282</v>
      </c>
      <c r="G75" s="1163" t="s">
        <v>2131</v>
      </c>
      <c r="H75" s="1166"/>
      <c r="I75" s="1165"/>
      <c r="J75" s="1165"/>
      <c r="K75" s="1165"/>
      <c r="L75" s="153">
        <f t="shared" si="5"/>
        <v>2297</v>
      </c>
      <c r="M75" s="154" t="str">
        <f t="shared" si="6"/>
        <v>RESERVE RENOUVELLEMENT</v>
      </c>
      <c r="N75" s="155">
        <f>+IF(OR($Q75=Parametres!$G$2,$Q75=Parametres!$G$3),I75,C75)</f>
        <v>-6550</v>
      </c>
      <c r="O75" s="1108">
        <f>+IF(OR($Q75=Parametres!$G$2,$Q75=Parametres!$G$3),J75,D75)</f>
        <v>0</v>
      </c>
      <c r="P75" s="155">
        <f>+IF(OR($Q75=Parametres!$G$2,$Q75=Parametres!$G$3),K75,E75)</f>
        <v>-6550</v>
      </c>
      <c r="Q75" s="154" t="str">
        <f t="shared" si="7"/>
        <v>3-Passifs</v>
      </c>
      <c r="R75" s="153" t="str">
        <f t="shared" si="8"/>
        <v>2283</v>
      </c>
      <c r="S75" s="154">
        <f t="shared" si="9"/>
        <v>0</v>
      </c>
      <c r="T75" s="156">
        <f>+VLOOKUP($L75,Data_Validation!$A:$D,1,0)</f>
        <v>2297</v>
      </c>
      <c r="U75" s="156" t="str">
        <f>+VLOOKUP($L75,Data_Validation!$A:$D,3,0)</f>
        <v>Bilan</v>
      </c>
      <c r="V75" s="156" t="str">
        <f>+VLOOKUP($L75,Data_Validation!$A:$D,4,0)</f>
        <v>Autres Courus</v>
      </c>
      <c r="W75" s="156" t="str">
        <f>+VLOOKUP($L75,Data_Validation!$A:$E,5,0)</f>
        <v>$</v>
      </c>
      <c r="X75" s="156">
        <f>+VLOOKUP($L75,Data_Validation!$A:$F,6,0)</f>
        <v>0</v>
      </c>
    </row>
    <row r="76" spans="1:24" ht="15" hidden="1" customHeight="1">
      <c r="A76" s="1163" t="s">
        <v>2705</v>
      </c>
      <c r="B76" s="1164">
        <v>2315</v>
      </c>
      <c r="C76" s="1165">
        <v>0</v>
      </c>
      <c r="D76" s="1165">
        <v>2110.7600000000002</v>
      </c>
      <c r="E76" s="1165">
        <v>2110.7600000000002</v>
      </c>
      <c r="F76" s="1163" t="s">
        <v>282</v>
      </c>
      <c r="G76" s="1163" t="s">
        <v>2159</v>
      </c>
      <c r="H76" s="1166"/>
      <c r="I76" s="1166"/>
      <c r="J76" s="1166"/>
      <c r="K76" s="1166"/>
      <c r="L76" s="153">
        <f t="shared" si="5"/>
        <v>2315</v>
      </c>
      <c r="M76" s="154" t="str">
        <f t="shared" si="6"/>
        <v>PRIME ASSURANCE GROUPE</v>
      </c>
      <c r="N76" s="155">
        <f>+IF(OR($Q76=Parametres!$G$2,$Q76=Parametres!$G$3),I76,C76)</f>
        <v>0</v>
      </c>
      <c r="O76" s="1108">
        <f>+IF(OR($Q76=Parametres!$G$2,$Q76=Parametres!$G$3),J76,D76)</f>
        <v>2110.7600000000002</v>
      </c>
      <c r="P76" s="155">
        <f>+IF(OR($Q76=Parametres!$G$2,$Q76=Parametres!$G$3),K76,E76)</f>
        <v>2110.7600000000002</v>
      </c>
      <c r="Q76" s="154" t="str">
        <f t="shared" si="7"/>
        <v>3-Passifs</v>
      </c>
      <c r="R76" s="153" t="str">
        <f t="shared" si="8"/>
        <v>2315</v>
      </c>
      <c r="S76" s="154">
        <f t="shared" si="9"/>
        <v>0</v>
      </c>
      <c r="T76" s="156">
        <f>+VLOOKUP($L76,Data_Validation!$A:$D,1,0)</f>
        <v>2315</v>
      </c>
      <c r="U76" s="156" t="str">
        <f>+VLOOKUP($L76,Data_Validation!$A:$D,3,0)</f>
        <v>Bilan</v>
      </c>
      <c r="V76" s="156" t="str">
        <f>+VLOOKUP($L76,Data_Validation!$A:$D,4,0)</f>
        <v>DAS à Payer</v>
      </c>
      <c r="W76" s="156" t="str">
        <f>+VLOOKUP($L76,Data_Validation!$A:$E,5,0)</f>
        <v>$</v>
      </c>
      <c r="X76" s="156">
        <f>+VLOOKUP($L76,Data_Validation!$A:$F,6,0)</f>
        <v>0</v>
      </c>
    </row>
    <row r="77" spans="1:24" ht="15" hidden="1" customHeight="1">
      <c r="A77" s="1163" t="s">
        <v>2157</v>
      </c>
      <c r="B77" s="1164">
        <v>2335</v>
      </c>
      <c r="C77" s="1165">
        <v>0</v>
      </c>
      <c r="D77" s="1165">
        <v>20.94</v>
      </c>
      <c r="E77" s="1165">
        <v>20.94</v>
      </c>
      <c r="F77" s="1163" t="s">
        <v>282</v>
      </c>
      <c r="G77" s="1163" t="s">
        <v>2159</v>
      </c>
      <c r="H77" s="1166"/>
      <c r="I77" s="1166"/>
      <c r="J77" s="1166"/>
      <c r="K77" s="1166"/>
      <c r="L77" s="153">
        <f t="shared" si="5"/>
        <v>2335</v>
      </c>
      <c r="M77" s="154" t="str">
        <f t="shared" si="6"/>
        <v>COMITE SOCIAL</v>
      </c>
      <c r="N77" s="155">
        <f>+IF(OR($Q77=Parametres!$G$2,$Q77=Parametres!$G$3),I77,C77)</f>
        <v>0</v>
      </c>
      <c r="O77" s="1108">
        <f>+IF(OR($Q77=Parametres!$G$2,$Q77=Parametres!$G$3),J77,D77)</f>
        <v>20.94</v>
      </c>
      <c r="P77" s="155">
        <f>+IF(OR($Q77=Parametres!$G$2,$Q77=Parametres!$G$3),K77,E77)</f>
        <v>20.94</v>
      </c>
      <c r="Q77" s="154" t="str">
        <f t="shared" si="7"/>
        <v>3-Passifs</v>
      </c>
      <c r="R77" s="153" t="str">
        <f t="shared" si="8"/>
        <v>2315</v>
      </c>
      <c r="S77" s="154">
        <f t="shared" si="9"/>
        <v>0</v>
      </c>
      <c r="T77" s="156">
        <f>+VLOOKUP($L77,Data_Validation!$A:$D,1,0)</f>
        <v>2335</v>
      </c>
      <c r="U77" s="156" t="str">
        <f>+VLOOKUP($L77,Data_Validation!$A:$D,3,0)</f>
        <v>Bilan</v>
      </c>
      <c r="V77" s="156" t="str">
        <f>+VLOOKUP($L77,Data_Validation!$A:$D,4,0)</f>
        <v>DAS à Payer</v>
      </c>
      <c r="W77" s="156" t="str">
        <f>+VLOOKUP($L77,Data_Validation!$A:$E,5,0)</f>
        <v>$</v>
      </c>
      <c r="X77" s="156">
        <f>+VLOOKUP($L77,Data_Validation!$A:$F,6,0)</f>
        <v>0</v>
      </c>
    </row>
    <row r="78" spans="1:24" ht="15" hidden="1" customHeight="1">
      <c r="A78" s="1163" t="s">
        <v>2744</v>
      </c>
      <c r="B78" s="1164">
        <v>2342</v>
      </c>
      <c r="C78" s="1165">
        <v>-40182.57</v>
      </c>
      <c r="D78" s="1165">
        <v>16333.84</v>
      </c>
      <c r="E78" s="1165">
        <v>-23848.73</v>
      </c>
      <c r="F78" s="1163" t="s">
        <v>282</v>
      </c>
      <c r="G78" s="1163" t="s">
        <v>2159</v>
      </c>
      <c r="H78" s="1166"/>
      <c r="I78" s="1166"/>
      <c r="J78" s="1166"/>
      <c r="K78" s="1166"/>
      <c r="L78" s="153">
        <f t="shared" si="5"/>
        <v>2342</v>
      </c>
      <c r="M78" s="154" t="str">
        <f t="shared" si="6"/>
        <v>REER STANDARD LIFE</v>
      </c>
      <c r="N78" s="155">
        <f>+IF(OR($Q78=Parametres!$G$2,$Q78=Parametres!$G$3),I78,C78)</f>
        <v>-40182.57</v>
      </c>
      <c r="O78" s="1108">
        <f>+IF(OR($Q78=Parametres!$G$2,$Q78=Parametres!$G$3),J78,D78)</f>
        <v>16333.84</v>
      </c>
      <c r="P78" s="155">
        <f>+IF(OR($Q78=Parametres!$G$2,$Q78=Parametres!$G$3),K78,E78)</f>
        <v>-23848.73</v>
      </c>
      <c r="Q78" s="154" t="str">
        <f t="shared" si="7"/>
        <v>3-Passifs</v>
      </c>
      <c r="R78" s="153" t="str">
        <f t="shared" si="8"/>
        <v>2315</v>
      </c>
      <c r="S78" s="154">
        <f t="shared" si="9"/>
        <v>0</v>
      </c>
      <c r="T78" s="156">
        <f>+VLOOKUP($L78,Data_Validation!$A:$D,1,0)</f>
        <v>2342</v>
      </c>
      <c r="U78" s="156" t="str">
        <f>+VLOOKUP($L78,Data_Validation!$A:$D,3,0)</f>
        <v>Bilan</v>
      </c>
      <c r="V78" s="156" t="str">
        <f>+VLOOKUP($L78,Data_Validation!$A:$D,4,0)</f>
        <v>DAS à Payer</v>
      </c>
      <c r="W78" s="156" t="str">
        <f>+VLOOKUP($L78,Data_Validation!$A:$E,5,0)</f>
        <v>$</v>
      </c>
      <c r="X78" s="156">
        <f>+VLOOKUP($L78,Data_Validation!$A:$F,6,0)</f>
        <v>0</v>
      </c>
    </row>
    <row r="79" spans="1:24" ht="15" hidden="1" customHeight="1">
      <c r="A79" s="1163" t="s">
        <v>2577</v>
      </c>
      <c r="B79" s="1164">
        <v>2343</v>
      </c>
      <c r="C79" s="1165">
        <v>-572.46</v>
      </c>
      <c r="D79" s="1165">
        <v>219.7</v>
      </c>
      <c r="E79" s="1165">
        <v>-352.76</v>
      </c>
      <c r="F79" s="1163" t="s">
        <v>282</v>
      </c>
      <c r="G79" s="1163" t="s">
        <v>2159</v>
      </c>
      <c r="H79" s="1166"/>
      <c r="I79" s="1166"/>
      <c r="J79" s="1166"/>
      <c r="K79" s="1166"/>
      <c r="L79" s="153">
        <f t="shared" si="5"/>
        <v>2343</v>
      </c>
      <c r="M79" s="154" t="str">
        <f t="shared" si="6"/>
        <v>COMITE PARITAIRE</v>
      </c>
      <c r="N79" s="155">
        <f>+IF(OR($Q79=Parametres!$G$2,$Q79=Parametres!$G$3),I79,C79)</f>
        <v>-572.46</v>
      </c>
      <c r="O79" s="1108">
        <f>+IF(OR($Q79=Parametres!$G$2,$Q79=Parametres!$G$3),J79,D79)</f>
        <v>219.7</v>
      </c>
      <c r="P79" s="155">
        <f>+IF(OR($Q79=Parametres!$G$2,$Q79=Parametres!$G$3),K79,E79)</f>
        <v>-352.76</v>
      </c>
      <c r="Q79" s="154" t="str">
        <f t="shared" si="7"/>
        <v>3-Passifs</v>
      </c>
      <c r="R79" s="153" t="str">
        <f t="shared" si="8"/>
        <v>2315</v>
      </c>
      <c r="S79" s="154">
        <f t="shared" si="9"/>
        <v>0</v>
      </c>
      <c r="T79" s="156">
        <f>+VLOOKUP($L79,Data_Validation!$A:$D,1,0)</f>
        <v>2343</v>
      </c>
      <c r="U79" s="156" t="str">
        <f>+VLOOKUP($L79,Data_Validation!$A:$D,3,0)</f>
        <v>Bilan</v>
      </c>
      <c r="V79" s="156" t="str">
        <f>+VLOOKUP($L79,Data_Validation!$A:$D,4,0)</f>
        <v>DAS à Payer</v>
      </c>
      <c r="W79" s="156" t="str">
        <f>+VLOOKUP($L79,Data_Validation!$A:$E,5,0)</f>
        <v>$</v>
      </c>
      <c r="X79" s="156">
        <f>+VLOOKUP($L79,Data_Validation!$A:$F,6,0)</f>
        <v>0</v>
      </c>
    </row>
    <row r="80" spans="1:24" ht="15.75" hidden="1" customHeight="1">
      <c r="A80" s="1163" t="s">
        <v>536</v>
      </c>
      <c r="B80" s="1164">
        <v>2344</v>
      </c>
      <c r="C80" s="1165">
        <v>-899.36</v>
      </c>
      <c r="D80" s="1165">
        <v>259.92</v>
      </c>
      <c r="E80" s="1165">
        <v>-639.44000000000005</v>
      </c>
      <c r="F80" s="1163" t="s">
        <v>282</v>
      </c>
      <c r="G80" s="1163" t="s">
        <v>2159</v>
      </c>
      <c r="H80" s="1166"/>
      <c r="I80" s="1166"/>
      <c r="J80" s="1166"/>
      <c r="K80" s="1166"/>
      <c r="L80" s="153">
        <f t="shared" si="5"/>
        <v>2344</v>
      </c>
      <c r="M80" s="154" t="str">
        <f t="shared" si="6"/>
        <v>CENTRAIDE</v>
      </c>
      <c r="N80" s="155">
        <f>+IF(OR($Q80=Parametres!$G$2,$Q80=Parametres!$G$3),I80,C80)</f>
        <v>-899.36</v>
      </c>
      <c r="O80" s="1108">
        <f>+IF(OR($Q80=Parametres!$G$2,$Q80=Parametres!$G$3),J80,D80)</f>
        <v>259.92</v>
      </c>
      <c r="P80" s="155">
        <f>+IF(OR($Q80=Parametres!$G$2,$Q80=Parametres!$G$3),K80,E80)</f>
        <v>-639.44000000000005</v>
      </c>
      <c r="Q80" s="154" t="str">
        <f t="shared" si="7"/>
        <v>3-Passifs</v>
      </c>
      <c r="R80" s="153" t="str">
        <f t="shared" si="8"/>
        <v>2315</v>
      </c>
      <c r="S80" s="154">
        <f t="shared" si="9"/>
        <v>0</v>
      </c>
      <c r="T80" s="156">
        <f>+VLOOKUP($L80,Data_Validation!$A:$D,1,0)</f>
        <v>2344</v>
      </c>
      <c r="U80" s="156" t="str">
        <f>+VLOOKUP($L80,Data_Validation!$A:$D,3,0)</f>
        <v>Bilan</v>
      </c>
      <c r="V80" s="156" t="str">
        <f>+VLOOKUP($L80,Data_Validation!$A:$D,4,0)</f>
        <v>DAS à Payer</v>
      </c>
      <c r="W80" s="156" t="str">
        <f>+VLOOKUP($L80,Data_Validation!$A:$E,5,0)</f>
        <v>$</v>
      </c>
      <c r="X80" s="156">
        <f>+VLOOKUP($L80,Data_Validation!$A:$F,6,0)</f>
        <v>0</v>
      </c>
    </row>
    <row r="81" spans="1:24" ht="15" hidden="1" customHeight="1">
      <c r="A81" s="1163" t="s">
        <v>2190</v>
      </c>
      <c r="B81" s="1164">
        <v>2401</v>
      </c>
      <c r="C81" s="1165">
        <v>-11500</v>
      </c>
      <c r="D81" s="1165">
        <v>-3748</v>
      </c>
      <c r="E81" s="1165">
        <v>-15248</v>
      </c>
      <c r="F81" s="1163" t="s">
        <v>282</v>
      </c>
      <c r="G81" s="1163" t="s">
        <v>2191</v>
      </c>
      <c r="H81" s="1166"/>
      <c r="I81" s="1166"/>
      <c r="J81" s="1166"/>
      <c r="K81" s="1166"/>
      <c r="L81" s="153">
        <f t="shared" si="5"/>
        <v>2401</v>
      </c>
      <c r="M81" s="154" t="str">
        <f t="shared" si="6"/>
        <v>DEPOTS FIDUCIE-VENTE CLIENTS</v>
      </c>
      <c r="N81" s="155">
        <f>+IF(OR($Q81=Parametres!$G$2,$Q81=Parametres!$G$3),I81,C81)</f>
        <v>-11500</v>
      </c>
      <c r="O81" s="1108">
        <f>+IF(OR($Q81=Parametres!$G$2,$Q81=Parametres!$G$3),J81,D81)</f>
        <v>-3748</v>
      </c>
      <c r="P81" s="155">
        <f>+IF(OR($Q81=Parametres!$G$2,$Q81=Parametres!$G$3),K81,E81)</f>
        <v>-15248</v>
      </c>
      <c r="Q81" s="154" t="str">
        <f t="shared" si="7"/>
        <v>3-Passifs</v>
      </c>
      <c r="R81" s="153" t="str">
        <f t="shared" si="8"/>
        <v>2401</v>
      </c>
      <c r="S81" s="154">
        <f t="shared" si="9"/>
        <v>0</v>
      </c>
      <c r="T81" s="156">
        <f>+VLOOKUP($L81,Data_Validation!$A:$D,1,0)</f>
        <v>2401</v>
      </c>
      <c r="U81" s="156" t="str">
        <f>+VLOOKUP($L81,Data_Validation!$A:$D,3,0)</f>
        <v>Bilan</v>
      </c>
      <c r="V81" s="156" t="str">
        <f>+VLOOKUP($L81,Data_Validation!$A:$D,4,0)</f>
        <v>Dépôts de Client</v>
      </c>
      <c r="W81" s="156" t="str">
        <f>+VLOOKUP($L81,Data_Validation!$A:$E,5,0)</f>
        <v>$</v>
      </c>
      <c r="X81" s="156">
        <f>+VLOOKUP($L81,Data_Validation!$A:$F,6,0)</f>
        <v>0</v>
      </c>
    </row>
    <row r="82" spans="1:24" ht="15" hidden="1" customHeight="1">
      <c r="A82" s="1163" t="s">
        <v>2595</v>
      </c>
      <c r="B82" s="1164">
        <v>2501</v>
      </c>
      <c r="C82" s="1165">
        <v>-13640.99</v>
      </c>
      <c r="D82" s="1165">
        <v>-18923.11</v>
      </c>
      <c r="E82" s="1165">
        <v>-32564.1</v>
      </c>
      <c r="F82" s="1163" t="s">
        <v>282</v>
      </c>
      <c r="G82" s="1163" t="s">
        <v>2596</v>
      </c>
      <c r="H82" s="1166"/>
      <c r="I82" s="1166"/>
      <c r="J82" s="1166"/>
      <c r="K82" s="1166"/>
      <c r="L82" s="153">
        <f t="shared" si="5"/>
        <v>2501</v>
      </c>
      <c r="M82" s="154" t="str">
        <f t="shared" si="6"/>
        <v>COMMISSION A PAYER</v>
      </c>
      <c r="N82" s="155">
        <f>+IF(OR($Q82=Parametres!$G$2,$Q82=Parametres!$G$3),I82,C82)</f>
        <v>-13640.99</v>
      </c>
      <c r="O82" s="1108">
        <f>+IF(OR($Q82=Parametres!$G$2,$Q82=Parametres!$G$3),J82,D82)</f>
        <v>-18923.11</v>
      </c>
      <c r="P82" s="155">
        <f>+IF(OR($Q82=Parametres!$G$2,$Q82=Parametres!$G$3),K82,E82)</f>
        <v>-32564.1</v>
      </c>
      <c r="Q82" s="154" t="str">
        <f t="shared" si="7"/>
        <v>3-Passifs</v>
      </c>
      <c r="R82" s="153" t="str">
        <f t="shared" si="8"/>
        <v>2501</v>
      </c>
      <c r="S82" s="154">
        <f t="shared" si="9"/>
        <v>0</v>
      </c>
      <c r="T82" s="156">
        <f>+VLOOKUP($L82,Data_Validation!$A:$D,1,0)</f>
        <v>2501</v>
      </c>
      <c r="U82" s="156" t="str">
        <f>+VLOOKUP($L82,Data_Validation!$A:$D,3,0)</f>
        <v>Bilan</v>
      </c>
      <c r="V82" s="156" t="str">
        <f>+VLOOKUP($L82,Data_Validation!$A:$D,4,0)</f>
        <v>Salaires à Payer</v>
      </c>
      <c r="W82" s="156" t="str">
        <f>+VLOOKUP($L82,Data_Validation!$A:$E,5,0)</f>
        <v>$</v>
      </c>
      <c r="X82" s="156">
        <f>+VLOOKUP($L82,Data_Validation!$A:$F,6,0)</f>
        <v>0</v>
      </c>
    </row>
    <row r="83" spans="1:24" ht="15" hidden="1" customHeight="1">
      <c r="A83" s="1163" t="s">
        <v>2919</v>
      </c>
      <c r="B83" s="1164">
        <v>2502</v>
      </c>
      <c r="C83" s="1165">
        <v>676.06</v>
      </c>
      <c r="D83" s="1165">
        <v>-114.96</v>
      </c>
      <c r="E83" s="1165">
        <v>561.1</v>
      </c>
      <c r="F83" s="1163" t="s">
        <v>282</v>
      </c>
      <c r="G83" s="1163" t="s">
        <v>2920</v>
      </c>
      <c r="H83" s="1166"/>
      <c r="I83" s="1166"/>
      <c r="J83" s="1166"/>
      <c r="K83" s="1166"/>
      <c r="L83" s="153">
        <f t="shared" si="5"/>
        <v>2502</v>
      </c>
      <c r="M83" s="154" t="str">
        <f t="shared" si="6"/>
        <v>Compte de depense a payer</v>
      </c>
      <c r="N83" s="155">
        <f>+IF(OR($Q83=Parametres!$G$2,$Q83=Parametres!$G$3),I83,C83)</f>
        <v>676.06</v>
      </c>
      <c r="O83" s="1108">
        <f>+IF(OR($Q83=Parametres!$G$2,$Q83=Parametres!$G$3),J83,D83)</f>
        <v>-114.96</v>
      </c>
      <c r="P83" s="155">
        <f>+IF(OR($Q83=Parametres!$G$2,$Q83=Parametres!$G$3),K83,E83)</f>
        <v>561.1</v>
      </c>
      <c r="Q83" s="154" t="str">
        <f t="shared" si="7"/>
        <v>3-Passifs</v>
      </c>
      <c r="R83" s="153" t="str">
        <f t="shared" si="8"/>
        <v>250</v>
      </c>
      <c r="S83" s="154">
        <f t="shared" si="9"/>
        <v>0</v>
      </c>
      <c r="T83" s="156">
        <f>+VLOOKUP($L83,Data_Validation!$A:$D,1,0)</f>
        <v>2502</v>
      </c>
      <c r="U83" s="156" t="str">
        <f>+VLOOKUP($L83,Data_Validation!$A:$D,3,0)</f>
        <v>Bilan</v>
      </c>
      <c r="V83" s="156" t="str">
        <f>+VLOOKUP($L83,Data_Validation!$A:$D,4,0)</f>
        <v>Salaires à Payer</v>
      </c>
      <c r="W83" s="156" t="str">
        <f>+VLOOKUP($L83,Data_Validation!$A:$E,5,0)</f>
        <v>$</v>
      </c>
      <c r="X83" s="156">
        <f>+VLOOKUP($L83,Data_Validation!$A:$F,6,0)</f>
        <v>0</v>
      </c>
    </row>
    <row r="84" spans="1:24" ht="15.75" hidden="1" customHeight="1">
      <c r="A84" s="1163" t="s">
        <v>2055</v>
      </c>
      <c r="B84" s="1164">
        <v>2503</v>
      </c>
      <c r="C84" s="1165">
        <v>-202134.56</v>
      </c>
      <c r="D84" s="1165">
        <v>-23689.69</v>
      </c>
      <c r="E84" s="1165">
        <v>-225824.25</v>
      </c>
      <c r="F84" s="1163" t="s">
        <v>282</v>
      </c>
      <c r="G84" s="1163" t="s">
        <v>2056</v>
      </c>
      <c r="H84" s="1166"/>
      <c r="I84" s="1166"/>
      <c r="J84" s="1166"/>
      <c r="K84" s="1166"/>
      <c r="L84" s="153">
        <f t="shared" si="5"/>
        <v>2503</v>
      </c>
      <c r="M84" s="154" t="str">
        <f t="shared" si="6"/>
        <v>SALAIRES DES EMPLOYES</v>
      </c>
      <c r="N84" s="155">
        <f>+IF(OR($Q84=Parametres!$G$2,$Q84=Parametres!$G$3),I84,C84)</f>
        <v>-202134.56</v>
      </c>
      <c r="O84" s="1108">
        <f>+IF(OR($Q84=Parametres!$G$2,$Q84=Parametres!$G$3),J84,D84)</f>
        <v>-23689.69</v>
      </c>
      <c r="P84" s="155">
        <f>+IF(OR($Q84=Parametres!$G$2,$Q84=Parametres!$G$3),K84,E84)</f>
        <v>-225824.25</v>
      </c>
      <c r="Q84" s="154" t="str">
        <f t="shared" si="7"/>
        <v>3-Passifs</v>
      </c>
      <c r="R84" s="153" t="str">
        <f t="shared" si="8"/>
        <v>2503</v>
      </c>
      <c r="S84" s="154">
        <f t="shared" si="9"/>
        <v>0</v>
      </c>
      <c r="T84" s="156">
        <f>+VLOOKUP($L84,Data_Validation!$A:$D,1,0)</f>
        <v>2503</v>
      </c>
      <c r="U84" s="156" t="str">
        <f>+VLOOKUP($L84,Data_Validation!$A:$D,3,0)</f>
        <v>Bilan</v>
      </c>
      <c r="V84" s="156" t="str">
        <f>+VLOOKUP($L84,Data_Validation!$A:$D,4,0)</f>
        <v>Salaires à Payer</v>
      </c>
      <c r="W84" s="156" t="str">
        <f>+VLOOKUP($L84,Data_Validation!$A:$E,5,0)</f>
        <v>$</v>
      </c>
      <c r="X84" s="156">
        <f>+VLOOKUP($L84,Data_Validation!$A:$F,6,0)</f>
        <v>0</v>
      </c>
    </row>
    <row r="85" spans="1:24" ht="15" hidden="1" customHeight="1">
      <c r="A85" s="1163" t="s">
        <v>2095</v>
      </c>
      <c r="B85" s="1164">
        <v>2505</v>
      </c>
      <c r="C85" s="1165">
        <v>0</v>
      </c>
      <c r="D85" s="1165">
        <v>-7559.38</v>
      </c>
      <c r="E85" s="1165">
        <v>-7559.38</v>
      </c>
      <c r="F85" s="1163" t="s">
        <v>282</v>
      </c>
      <c r="G85" s="1163" t="s">
        <v>2056</v>
      </c>
      <c r="H85" s="1166"/>
      <c r="I85" s="1166"/>
      <c r="J85" s="1166"/>
      <c r="K85" s="1166"/>
      <c r="L85" s="153">
        <f t="shared" si="5"/>
        <v>2505</v>
      </c>
      <c r="M85" s="154" t="str">
        <f t="shared" si="6"/>
        <v>JOURS FERIES</v>
      </c>
      <c r="N85" s="155">
        <f>+IF(OR($Q85=Parametres!$G$2,$Q85=Parametres!$G$3),I85,C85)</f>
        <v>0</v>
      </c>
      <c r="O85" s="1108">
        <f>+IF(OR($Q85=Parametres!$G$2,$Q85=Parametres!$G$3),J85,D85)</f>
        <v>-7559.38</v>
      </c>
      <c r="P85" s="155">
        <f>+IF(OR($Q85=Parametres!$G$2,$Q85=Parametres!$G$3),K85,E85)</f>
        <v>-7559.38</v>
      </c>
      <c r="Q85" s="154" t="str">
        <f t="shared" si="7"/>
        <v>3-Passifs</v>
      </c>
      <c r="R85" s="153" t="str">
        <f t="shared" si="8"/>
        <v>2503</v>
      </c>
      <c r="S85" s="154">
        <f t="shared" si="9"/>
        <v>0</v>
      </c>
      <c r="T85" s="156">
        <f>+VLOOKUP($L85,Data_Validation!$A:$D,1,0)</f>
        <v>2505</v>
      </c>
      <c r="U85" s="156" t="str">
        <f>+VLOOKUP($L85,Data_Validation!$A:$D,3,0)</f>
        <v>Bilan</v>
      </c>
      <c r="V85" s="156" t="str">
        <f>+VLOOKUP($L85,Data_Validation!$A:$D,4,0)</f>
        <v>Salaires à Payer</v>
      </c>
      <c r="W85" s="156" t="str">
        <f>+VLOOKUP($L85,Data_Validation!$A:$E,5,0)</f>
        <v>$</v>
      </c>
      <c r="X85" s="156">
        <f>+VLOOKUP($L85,Data_Validation!$A:$F,6,0)</f>
        <v>0</v>
      </c>
    </row>
    <row r="86" spans="1:24" ht="15" hidden="1" customHeight="1">
      <c r="A86" s="1163" t="s">
        <v>2091</v>
      </c>
      <c r="B86" s="1164">
        <v>2509</v>
      </c>
      <c r="C86" s="1165">
        <v>-225861.11</v>
      </c>
      <c r="D86" s="1165">
        <v>-2114.37</v>
      </c>
      <c r="E86" s="1165">
        <v>-227975.48</v>
      </c>
      <c r="F86" s="1163" t="s">
        <v>282</v>
      </c>
      <c r="G86" s="1163" t="s">
        <v>2056</v>
      </c>
      <c r="H86" s="1166"/>
      <c r="I86" s="1166"/>
      <c r="J86" s="1166"/>
      <c r="K86" s="1166"/>
      <c r="L86" s="153">
        <f t="shared" si="5"/>
        <v>2509</v>
      </c>
      <c r="M86" s="154" t="str">
        <f t="shared" si="6"/>
        <v>SALAIRES DE VACANCES</v>
      </c>
      <c r="N86" s="155">
        <f>+IF(OR($Q86=Parametres!$G$2,$Q86=Parametres!$G$3),I86,C86)</f>
        <v>-225861.11</v>
      </c>
      <c r="O86" s="1108">
        <f>+IF(OR($Q86=Parametres!$G$2,$Q86=Parametres!$G$3),J86,D86)</f>
        <v>-2114.37</v>
      </c>
      <c r="P86" s="155">
        <f>+IF(OR($Q86=Parametres!$G$2,$Q86=Parametres!$G$3),K86,E86)</f>
        <v>-227975.48</v>
      </c>
      <c r="Q86" s="154" t="str">
        <f t="shared" si="7"/>
        <v>3-Passifs</v>
      </c>
      <c r="R86" s="153" t="str">
        <f t="shared" si="8"/>
        <v>2503</v>
      </c>
      <c r="S86" s="154">
        <f t="shared" si="9"/>
        <v>0</v>
      </c>
      <c r="T86" s="156">
        <f>+VLOOKUP($L86,Data_Validation!$A:$D,1,0)</f>
        <v>2509</v>
      </c>
      <c r="U86" s="156" t="str">
        <f>+VLOOKUP($L86,Data_Validation!$A:$D,3,0)</f>
        <v>Bilan</v>
      </c>
      <c r="V86" s="156" t="str">
        <f>+VLOOKUP($L86,Data_Validation!$A:$D,4,0)</f>
        <v>Salaires à Payer</v>
      </c>
      <c r="W86" s="156" t="str">
        <f>+VLOOKUP($L86,Data_Validation!$A:$E,5,0)</f>
        <v>$</v>
      </c>
      <c r="X86" s="156">
        <f>+VLOOKUP($L86,Data_Validation!$A:$F,6,0)</f>
        <v>0</v>
      </c>
    </row>
    <row r="87" spans="1:24" ht="15" hidden="1" customHeight="1">
      <c r="A87" s="1163" t="s">
        <v>2185</v>
      </c>
      <c r="B87" s="1164">
        <v>2511</v>
      </c>
      <c r="C87" s="1165">
        <v>-9454</v>
      </c>
      <c r="D87" s="1165">
        <v>6182.38</v>
      </c>
      <c r="E87" s="1165">
        <v>-3271.62</v>
      </c>
      <c r="F87" s="1163" t="s">
        <v>282</v>
      </c>
      <c r="G87" s="1163" t="s">
        <v>2056</v>
      </c>
      <c r="H87" s="1166"/>
      <c r="I87" s="1166"/>
      <c r="J87" s="1166"/>
      <c r="K87" s="1166"/>
      <c r="L87" s="153">
        <f t="shared" si="5"/>
        <v>2511</v>
      </c>
      <c r="M87" s="154" t="str">
        <f t="shared" si="6"/>
        <v>JOURNEE MALADIE</v>
      </c>
      <c r="N87" s="155">
        <f>+IF(OR($Q87=Parametres!$G$2,$Q87=Parametres!$G$3),I87,C87)</f>
        <v>-9454</v>
      </c>
      <c r="O87" s="1108">
        <f>+IF(OR($Q87=Parametres!$G$2,$Q87=Parametres!$G$3),J87,D87)</f>
        <v>6182.38</v>
      </c>
      <c r="P87" s="155">
        <f>+IF(OR($Q87=Parametres!$G$2,$Q87=Parametres!$G$3),K87,E87)</f>
        <v>-3271.62</v>
      </c>
      <c r="Q87" s="154" t="str">
        <f t="shared" si="7"/>
        <v>3-Passifs</v>
      </c>
      <c r="R87" s="153" t="str">
        <f t="shared" si="8"/>
        <v>2503</v>
      </c>
      <c r="S87" s="154">
        <f t="shared" si="9"/>
        <v>0</v>
      </c>
      <c r="T87" s="156">
        <f>+VLOOKUP($L87,Data_Validation!$A:$D,1,0)</f>
        <v>2511</v>
      </c>
      <c r="U87" s="156" t="str">
        <f>+VLOOKUP($L87,Data_Validation!$A:$D,3,0)</f>
        <v>Bilan</v>
      </c>
      <c r="V87" s="156" t="str">
        <f>+VLOOKUP($L87,Data_Validation!$A:$D,4,0)</f>
        <v>Salaires à Payer</v>
      </c>
      <c r="W87" s="156" t="str">
        <f>+VLOOKUP($L87,Data_Validation!$A:$E,5,0)</f>
        <v>$</v>
      </c>
      <c r="X87" s="156">
        <f>+VLOOKUP($L87,Data_Validation!$A:$F,6,0)</f>
        <v>0</v>
      </c>
    </row>
    <row r="88" spans="1:24" ht="15" hidden="1" customHeight="1">
      <c r="A88" s="1163" t="s">
        <v>3052</v>
      </c>
      <c r="B88" s="1164">
        <v>2561</v>
      </c>
      <c r="C88" s="1165">
        <v>-26424</v>
      </c>
      <c r="D88" s="1165">
        <v>12168</v>
      </c>
      <c r="E88" s="1165">
        <v>-14256</v>
      </c>
      <c r="F88" s="1163" t="s">
        <v>282</v>
      </c>
      <c r="G88" s="1163" t="s">
        <v>3053</v>
      </c>
      <c r="H88" s="1166"/>
      <c r="I88" s="1166"/>
      <c r="J88" s="1166"/>
      <c r="K88" s="1166"/>
      <c r="L88" s="153">
        <f t="shared" si="5"/>
        <v>2561</v>
      </c>
      <c r="M88" s="154" t="str">
        <f t="shared" si="6"/>
        <v>REVENUE HOLDBACK DIFFERE</v>
      </c>
      <c r="N88" s="155">
        <f>+IF(OR($Q88=Parametres!$G$2,$Q88=Parametres!$G$3),I88,C88)</f>
        <v>-26424</v>
      </c>
      <c r="O88" s="1108">
        <f>+IF(OR($Q88=Parametres!$G$2,$Q88=Parametres!$G$3),J88,D88)</f>
        <v>12168</v>
      </c>
      <c r="P88" s="155">
        <f>+IF(OR($Q88=Parametres!$G$2,$Q88=Parametres!$G$3),K88,E88)</f>
        <v>-14256</v>
      </c>
      <c r="Q88" s="154" t="str">
        <f t="shared" si="7"/>
        <v>3-Passifs</v>
      </c>
      <c r="R88" s="153" t="str">
        <f t="shared" si="8"/>
        <v>2561</v>
      </c>
      <c r="S88" s="154">
        <f t="shared" si="9"/>
        <v>0</v>
      </c>
      <c r="T88" s="156">
        <f>+VLOOKUP($L88,Data_Validation!$A:$D,1,0)</f>
        <v>2561</v>
      </c>
      <c r="U88" s="156" t="str">
        <f>+VLOOKUP($L88,Data_Validation!$A:$D,3,0)</f>
        <v>Bilan</v>
      </c>
      <c r="V88" s="156" t="str">
        <f>+VLOOKUP($L88,Data_Validation!$A:$D,4,0)</f>
        <v>Autres Courus</v>
      </c>
      <c r="W88" s="156" t="str">
        <f>+VLOOKUP($L88,Data_Validation!$A:$E,5,0)</f>
        <v>$</v>
      </c>
      <c r="X88" s="156">
        <f>+VLOOKUP($L88,Data_Validation!$A:$F,6,0)</f>
        <v>0</v>
      </c>
    </row>
    <row r="89" spans="1:24" ht="15" hidden="1" customHeight="1">
      <c r="A89" s="1163" t="s">
        <v>3106</v>
      </c>
      <c r="B89" s="1164">
        <v>2562</v>
      </c>
      <c r="C89" s="1165">
        <v>-149709</v>
      </c>
      <c r="D89" s="1165">
        <v>0</v>
      </c>
      <c r="E89" s="1165">
        <v>-149709</v>
      </c>
      <c r="F89" s="1163" t="s">
        <v>282</v>
      </c>
      <c r="G89" s="1163" t="s">
        <v>3108</v>
      </c>
      <c r="H89" s="1166"/>
      <c r="I89" s="1166"/>
      <c r="J89" s="1166"/>
      <c r="K89" s="1166"/>
      <c r="L89" s="153">
        <f t="shared" si="5"/>
        <v>2562</v>
      </c>
      <c r="M89" s="154" t="str">
        <f t="shared" si="6"/>
        <v>PROVISIONS QG</v>
      </c>
      <c r="N89" s="155">
        <f>+IF(OR($Q89=Parametres!$G$2,$Q89=Parametres!$G$3),I89,C89)</f>
        <v>-149709</v>
      </c>
      <c r="O89" s="1106">
        <f>+IF(OR($Q89=Parametres!$G$2,$Q89=Parametres!$G$3),J89,D89)</f>
        <v>0</v>
      </c>
      <c r="P89" s="155">
        <f>+IF(OR($Q89=Parametres!$G$2,$Q89=Parametres!$G$3),K89,E89)</f>
        <v>-149709</v>
      </c>
      <c r="Q89" s="154" t="str">
        <f t="shared" si="7"/>
        <v>3-Passifs</v>
      </c>
      <c r="R89" s="153" t="str">
        <f t="shared" si="8"/>
        <v>256</v>
      </c>
      <c r="S89" s="154">
        <f t="shared" si="9"/>
        <v>0</v>
      </c>
      <c r="T89" s="156">
        <f>+VLOOKUP($L89,Data_Validation!$A:$D,1,0)</f>
        <v>2562</v>
      </c>
      <c r="U89" s="156" t="str">
        <f>+VLOOKUP($L89,Data_Validation!$A:$D,3,0)</f>
        <v>Bilan</v>
      </c>
      <c r="V89" s="156" t="str">
        <f>+VLOOKUP($L89,Data_Validation!$A:$D,4,0)</f>
        <v>Autres Courus</v>
      </c>
      <c r="W89" s="156" t="str">
        <f>+VLOOKUP($L89,Data_Validation!$A:$E,5,0)</f>
        <v>$</v>
      </c>
      <c r="X89" s="156">
        <f>+VLOOKUP($L89,Data_Validation!$A:$F,6,0)</f>
        <v>0</v>
      </c>
    </row>
    <row r="90" spans="1:24" ht="15" hidden="1" customHeight="1">
      <c r="A90" s="1163" t="s">
        <v>2684</v>
      </c>
      <c r="B90" s="1164">
        <v>2801</v>
      </c>
      <c r="C90" s="1165">
        <v>-12348.75</v>
      </c>
      <c r="D90" s="1165">
        <v>1317.5</v>
      </c>
      <c r="E90" s="1165">
        <v>-11031.25</v>
      </c>
      <c r="F90" s="1163" t="s">
        <v>282</v>
      </c>
      <c r="G90" s="1163" t="s">
        <v>2685</v>
      </c>
      <c r="H90" s="1166"/>
      <c r="I90" s="1166"/>
      <c r="J90" s="1166"/>
      <c r="K90" s="1166"/>
      <c r="L90" s="153">
        <f t="shared" si="5"/>
        <v>2801</v>
      </c>
      <c r="M90" s="154" t="str">
        <f t="shared" si="6"/>
        <v>PRET CIBC</v>
      </c>
      <c r="N90" s="155">
        <f>+IF(OR($Q90=Parametres!$G$2,$Q90=Parametres!$G$3),I90,C90)</f>
        <v>-12348.75</v>
      </c>
      <c r="O90" s="1108">
        <f>+IF(OR($Q90=Parametres!$G$2,$Q90=Parametres!$G$3),J90,D90)</f>
        <v>1317.5</v>
      </c>
      <c r="P90" s="155">
        <f>+IF(OR($Q90=Parametres!$G$2,$Q90=Parametres!$G$3),K90,E90)</f>
        <v>-11031.25</v>
      </c>
      <c r="Q90" s="154" t="str">
        <f t="shared" si="7"/>
        <v>3-Passifs</v>
      </c>
      <c r="R90" s="153" t="str">
        <f t="shared" si="8"/>
        <v>2801</v>
      </c>
      <c r="S90" s="154">
        <f t="shared" si="9"/>
        <v>0</v>
      </c>
      <c r="T90" s="156">
        <f>+VLOOKUP($L90,Data_Validation!$A:$D,1,0)</f>
        <v>2801</v>
      </c>
      <c r="U90" s="156" t="str">
        <f>+VLOOKUP($L90,Data_Validation!$A:$D,3,0)</f>
        <v>Bilan</v>
      </c>
      <c r="V90" s="156" t="str">
        <f>+VLOOKUP($L90,Data_Validation!$A:$D,4,0)</f>
        <v>Dette à Long Terme</v>
      </c>
      <c r="W90" s="156" t="str">
        <f>+VLOOKUP($L90,Data_Validation!$A:$E,5,0)</f>
        <v>$</v>
      </c>
      <c r="X90" s="156">
        <f>+VLOOKUP($L90,Data_Validation!$A:$F,6,0)</f>
        <v>0</v>
      </c>
    </row>
    <row r="91" spans="1:24" ht="15" hidden="1" customHeight="1">
      <c r="A91" s="1163" t="s">
        <v>827</v>
      </c>
      <c r="B91" s="1164">
        <v>2901</v>
      </c>
      <c r="C91" s="1165">
        <v>-19122.599999999999</v>
      </c>
      <c r="D91" s="1165">
        <v>0</v>
      </c>
      <c r="E91" s="1165">
        <v>-19122.599999999999</v>
      </c>
      <c r="F91" s="1163" t="s">
        <v>282</v>
      </c>
      <c r="G91" s="1163" t="s">
        <v>2187</v>
      </c>
      <c r="H91" s="1166"/>
      <c r="I91" s="1166"/>
      <c r="J91" s="1166"/>
      <c r="K91" s="1166"/>
      <c r="L91" s="153">
        <f t="shared" si="5"/>
        <v>2901</v>
      </c>
      <c r="M91" s="154" t="str">
        <f t="shared" si="6"/>
        <v>RESERVE CARTES PRIVILEGE</v>
      </c>
      <c r="N91" s="155">
        <f>+IF(OR($Q91=Parametres!$G$2,$Q91=Parametres!$G$3),I91,C91)</f>
        <v>-19122.599999999999</v>
      </c>
      <c r="O91" s="1108">
        <f>+IF(OR($Q91=Parametres!$G$2,$Q91=Parametres!$G$3),J91,D91)</f>
        <v>0</v>
      </c>
      <c r="P91" s="155">
        <f>+IF(OR($Q91=Parametres!$G$2,$Q91=Parametres!$G$3),K91,E91)</f>
        <v>-19122.599999999999</v>
      </c>
      <c r="Q91" s="154" t="str">
        <f t="shared" si="7"/>
        <v>3-Passifs</v>
      </c>
      <c r="R91" s="153" t="str">
        <f t="shared" si="8"/>
        <v>2901</v>
      </c>
      <c r="S91" s="154">
        <f t="shared" si="9"/>
        <v>0</v>
      </c>
      <c r="T91" s="156">
        <f>+VLOOKUP($L91,Data_Validation!$A:$D,1,0)</f>
        <v>2901</v>
      </c>
      <c r="U91" s="156" t="str">
        <f>+VLOOKUP($L91,Data_Validation!$A:$D,3,0)</f>
        <v>Bilan</v>
      </c>
      <c r="V91" s="156" t="str">
        <f>+VLOOKUP($L91,Data_Validation!$A:$D,4,0)</f>
        <v>Autres Courus</v>
      </c>
      <c r="W91" s="156" t="str">
        <f>+VLOOKUP($L91,Data_Validation!$A:$E,5,0)</f>
        <v>$</v>
      </c>
      <c r="X91" s="156">
        <f>+VLOOKUP($L91,Data_Validation!$A:$F,6,0)</f>
        <v>0</v>
      </c>
    </row>
    <row r="92" spans="1:24" ht="15" hidden="1" customHeight="1">
      <c r="A92" s="1163" t="s">
        <v>2418</v>
      </c>
      <c r="B92" s="1164">
        <v>3001</v>
      </c>
      <c r="C92" s="1165">
        <v>-2350000</v>
      </c>
      <c r="D92" s="1165">
        <v>0</v>
      </c>
      <c r="E92" s="1165">
        <v>-2350000</v>
      </c>
      <c r="F92" s="1163" t="s">
        <v>831</v>
      </c>
      <c r="G92" s="1163" t="s">
        <v>2419</v>
      </c>
      <c r="H92" s="1166"/>
      <c r="I92" s="1166"/>
      <c r="J92" s="1166"/>
      <c r="K92" s="1166"/>
      <c r="L92" s="153">
        <f t="shared" si="5"/>
        <v>3001</v>
      </c>
      <c r="M92" s="154" t="str">
        <f t="shared" si="6"/>
        <v>ACTIONS CATEGORIE 1</v>
      </c>
      <c r="N92" s="155">
        <f>+IF(OR($Q92=Parametres!$G$2,$Q92=Parametres!$G$3),I92,C92)</f>
        <v>-2350000</v>
      </c>
      <c r="O92" s="1108">
        <f>+IF(OR($Q92=Parametres!$G$2,$Q92=Parametres!$G$3),J92,D92)</f>
        <v>0</v>
      </c>
      <c r="P92" s="155">
        <f>+IF(OR($Q92=Parametres!$G$2,$Q92=Parametres!$G$3),K92,E92)</f>
        <v>-2350000</v>
      </c>
      <c r="Q92" s="154" t="str">
        <f t="shared" si="7"/>
        <v>4-Valeur nette</v>
      </c>
      <c r="R92" s="153" t="str">
        <f t="shared" si="8"/>
        <v>3001</v>
      </c>
      <c r="S92" s="154">
        <f t="shared" si="9"/>
        <v>0</v>
      </c>
      <c r="T92" s="156">
        <f>+VLOOKUP($L92,Data_Validation!$A:$D,1,0)</f>
        <v>3001</v>
      </c>
      <c r="U92" s="156" t="str">
        <f>+VLOOKUP($L92,Data_Validation!$A:$D,3,0)</f>
        <v>Bilan</v>
      </c>
      <c r="V92" s="156" t="str">
        <f>+VLOOKUP($L92,Data_Validation!$A:$D,4,0)</f>
        <v>Capital Actions</v>
      </c>
      <c r="W92" s="156" t="str">
        <f>+VLOOKUP($L92,Data_Validation!$A:$E,5,0)</f>
        <v>$</v>
      </c>
      <c r="X92" s="156">
        <f>+VLOOKUP($L92,Data_Validation!$A:$F,6,0)</f>
        <v>0</v>
      </c>
    </row>
    <row r="93" spans="1:24" ht="15" hidden="1" customHeight="1">
      <c r="A93" s="1163" t="s">
        <v>2420</v>
      </c>
      <c r="B93" s="1164">
        <v>3003</v>
      </c>
      <c r="C93" s="1165">
        <v>-1723617</v>
      </c>
      <c r="D93" s="1165">
        <v>0</v>
      </c>
      <c r="E93" s="1165">
        <v>-1723617</v>
      </c>
      <c r="F93" s="1163" t="s">
        <v>831</v>
      </c>
      <c r="G93" s="1163" t="s">
        <v>2419</v>
      </c>
      <c r="H93" s="1166"/>
      <c r="I93" s="1166"/>
      <c r="J93" s="1166"/>
      <c r="K93" s="1166"/>
      <c r="L93" s="153">
        <f t="shared" si="5"/>
        <v>3003</v>
      </c>
      <c r="M93" s="154" t="str">
        <f t="shared" si="6"/>
        <v>APPORT / RETRAIT</v>
      </c>
      <c r="N93" s="155">
        <f>+IF(OR($Q93=Parametres!$G$2,$Q93=Parametres!$G$3),I93,C93)</f>
        <v>-1723617</v>
      </c>
      <c r="O93" s="1108">
        <f>+IF(OR($Q93=Parametres!$G$2,$Q93=Parametres!$G$3),J93,D93)</f>
        <v>0</v>
      </c>
      <c r="P93" s="155">
        <f>+IF(OR($Q93=Parametres!$G$2,$Q93=Parametres!$G$3),K93,E93)</f>
        <v>-1723617</v>
      </c>
      <c r="Q93" s="154" t="str">
        <f t="shared" si="7"/>
        <v>4-Valeur nette</v>
      </c>
      <c r="R93" s="153" t="str">
        <f t="shared" si="8"/>
        <v>3001</v>
      </c>
      <c r="S93" s="154">
        <f t="shared" si="9"/>
        <v>0</v>
      </c>
      <c r="T93" s="156">
        <f>+VLOOKUP($L93,Data_Validation!$A:$D,1,0)</f>
        <v>3003</v>
      </c>
      <c r="U93" s="156" t="str">
        <f>+VLOOKUP($L93,Data_Validation!$A:$D,3,0)</f>
        <v>Bilan</v>
      </c>
      <c r="V93" s="156" t="str">
        <f>+VLOOKUP($L93,Data_Validation!$A:$D,4,0)</f>
        <v>Apport</v>
      </c>
      <c r="W93" s="156" t="str">
        <f>+VLOOKUP($L93,Data_Validation!$A:$E,5,0)</f>
        <v>$</v>
      </c>
      <c r="X93" s="156">
        <f>+VLOOKUP($L93,Data_Validation!$A:$F,6,0)</f>
        <v>0</v>
      </c>
    </row>
    <row r="94" spans="1:24" ht="15.75" hidden="1" customHeight="1">
      <c r="A94" s="1163" t="s">
        <v>2422</v>
      </c>
      <c r="B94" s="1164">
        <v>3007</v>
      </c>
      <c r="C94" s="1165">
        <v>-347547.5</v>
      </c>
      <c r="D94" s="1165">
        <v>0</v>
      </c>
      <c r="E94" s="1165">
        <v>-347547.5</v>
      </c>
      <c r="F94" s="1163" t="s">
        <v>831</v>
      </c>
      <c r="G94" s="1163" t="s">
        <v>2419</v>
      </c>
      <c r="H94" s="1166"/>
      <c r="I94" s="1166"/>
      <c r="J94" s="1166"/>
      <c r="K94" s="1166"/>
      <c r="L94" s="153">
        <f t="shared" si="5"/>
        <v>3007</v>
      </c>
      <c r="M94" s="154" t="str">
        <f t="shared" si="6"/>
        <v>ACTIONS PARTICIPANTES</v>
      </c>
      <c r="N94" s="155">
        <f>+IF(OR($Q94=Parametres!$G$2,$Q94=Parametres!$G$3),I94,C94)</f>
        <v>-347547.5</v>
      </c>
      <c r="O94" s="1108">
        <f>+IF(OR($Q94=Parametres!$G$2,$Q94=Parametres!$G$3),J94,D94)</f>
        <v>0</v>
      </c>
      <c r="P94" s="155">
        <f>+IF(OR($Q94=Parametres!$G$2,$Q94=Parametres!$G$3),K94,E94)</f>
        <v>-347547.5</v>
      </c>
      <c r="Q94" s="154" t="str">
        <f t="shared" si="7"/>
        <v>4-Valeur nette</v>
      </c>
      <c r="R94" s="153" t="str">
        <f t="shared" si="8"/>
        <v>3001</v>
      </c>
      <c r="S94" s="154">
        <f t="shared" si="9"/>
        <v>0</v>
      </c>
      <c r="T94" s="156">
        <f>+VLOOKUP($L94,Data_Validation!$A:$D,1,0)</f>
        <v>3007</v>
      </c>
      <c r="U94" s="156" t="str">
        <f>+VLOOKUP($L94,Data_Validation!$A:$D,3,0)</f>
        <v>Bilan</v>
      </c>
      <c r="V94" s="156" t="str">
        <f>+VLOOKUP($L94,Data_Validation!$A:$D,4,0)</f>
        <v>Capital Actions</v>
      </c>
      <c r="W94" s="156">
        <f>+VLOOKUP($L94,Data_Validation!$A:$E,5,0)</f>
        <v>0</v>
      </c>
      <c r="X94" s="156">
        <f>+VLOOKUP($L94,Data_Validation!$A:$F,6,0)</f>
        <v>0</v>
      </c>
    </row>
    <row r="95" spans="1:24" ht="15" hidden="1" customHeight="1">
      <c r="A95" s="1163" t="s">
        <v>2424</v>
      </c>
      <c r="B95" s="1164">
        <v>3201</v>
      </c>
      <c r="C95" s="1165">
        <v>-3068758.8</v>
      </c>
      <c r="D95" s="1165">
        <v>0</v>
      </c>
      <c r="E95" s="1165">
        <v>-3068758.8</v>
      </c>
      <c r="F95" s="1163" t="s">
        <v>831</v>
      </c>
      <c r="G95" s="1163" t="s">
        <v>2419</v>
      </c>
      <c r="H95" s="1166"/>
      <c r="I95" s="1166"/>
      <c r="J95" s="1166"/>
      <c r="K95" s="1166"/>
      <c r="L95" s="153">
        <f t="shared" si="5"/>
        <v>3201</v>
      </c>
      <c r="M95" s="154" t="str">
        <f t="shared" si="6"/>
        <v>BENEFICES NON-REPARTIS</v>
      </c>
      <c r="N95" s="155">
        <f>+IF(OR($Q95=Parametres!$G$2,$Q95=Parametres!$G$3),I95,C95)</f>
        <v>-3068758.8</v>
      </c>
      <c r="O95" s="1108">
        <f>+IF(OR($Q95=Parametres!$G$2,$Q95=Parametres!$G$3),J95,D95)</f>
        <v>0</v>
      </c>
      <c r="P95" s="155">
        <f>+IF(OR($Q95=Parametres!$G$2,$Q95=Parametres!$G$3),K95,E95)</f>
        <v>-3068758.8</v>
      </c>
      <c r="Q95" s="154" t="str">
        <f t="shared" si="7"/>
        <v>4-Valeur nette</v>
      </c>
      <c r="R95" s="153" t="str">
        <f t="shared" si="8"/>
        <v>3001</v>
      </c>
      <c r="S95" s="154">
        <f t="shared" si="9"/>
        <v>0</v>
      </c>
      <c r="T95" s="156">
        <f>+VLOOKUP($L95,Data_Validation!$A:$D,1,0)</f>
        <v>3201</v>
      </c>
      <c r="U95" s="156" t="str">
        <f>+VLOOKUP($L95,Data_Validation!$A:$D,3,0)</f>
        <v>Bilan</v>
      </c>
      <c r="V95" s="156" t="str">
        <f>+VLOOKUP($L95,Data_Validation!$A:$D,4,0)</f>
        <v>Bénéfices non répartis</v>
      </c>
      <c r="W95" s="156" t="str">
        <f>+VLOOKUP($L95,Data_Validation!$A:$E,5,0)</f>
        <v>$</v>
      </c>
      <c r="X95" s="156">
        <f>+VLOOKUP($L95,Data_Validation!$A:$F,6,0)</f>
        <v>0</v>
      </c>
    </row>
    <row r="96" spans="1:24" ht="15" hidden="1" customHeight="1">
      <c r="A96" s="1163" t="s">
        <v>2022</v>
      </c>
      <c r="B96" s="1164">
        <v>4100</v>
      </c>
      <c r="C96" s="1167">
        <v>0</v>
      </c>
      <c r="D96" s="1167">
        <v>-267262.92</v>
      </c>
      <c r="E96" s="1167">
        <v>-267262.92</v>
      </c>
      <c r="F96" s="1163" t="s">
        <v>285</v>
      </c>
      <c r="G96" s="1163" t="s">
        <v>2023</v>
      </c>
      <c r="H96" s="1166"/>
      <c r="I96" s="1165"/>
      <c r="J96" s="1165"/>
      <c r="K96" s="1165"/>
      <c r="L96" s="153">
        <f t="shared" si="5"/>
        <v>4100</v>
      </c>
      <c r="M96" s="154" t="str">
        <f t="shared" si="6"/>
        <v>VTE - RACHAT BAIL VW</v>
      </c>
      <c r="N96" s="155">
        <f>+IF(OR($Q96=Parametres!$G$2,$Q96=Parametres!$G$3),I96,C96)</f>
        <v>0</v>
      </c>
      <c r="O96" s="1108">
        <f>+IF(OR($Q96=Parametres!$G$2,$Q96=Parametres!$G$3),J96,D96)</f>
        <v>-267262.92</v>
      </c>
      <c r="P96" s="155">
        <f>+IF(OR($Q96=Parametres!$G$2,$Q96=Parametres!$G$3),K96,E96)</f>
        <v>-267262.92</v>
      </c>
      <c r="Q96" s="154" t="str">
        <f t="shared" si="7"/>
        <v>5-Ventes</v>
      </c>
      <c r="R96" s="153" t="str">
        <f t="shared" si="8"/>
        <v>4100</v>
      </c>
      <c r="S96" s="154">
        <f t="shared" si="9"/>
        <v>0</v>
      </c>
      <c r="T96" s="156">
        <f>+VLOOKUP($L96,Data_Validation!$A:$D,1,0)</f>
        <v>4100</v>
      </c>
      <c r="U96" s="156" t="str">
        <f>+VLOOKUP($L96,Data_Validation!$A:$D,3,0)</f>
        <v>Véhicules neufs</v>
      </c>
      <c r="V96" s="156" t="str">
        <f>+VLOOKUP($L96,Data_Validation!$A:$D,4,0)</f>
        <v>Rachat bail</v>
      </c>
      <c r="W96" s="156" t="str">
        <f>+VLOOKUP($L96,Data_Validation!$A:$E,5,0)</f>
        <v>$</v>
      </c>
      <c r="X96" s="156" t="str">
        <f>+VLOOKUP($L96,Data_Validation!$A:$F,6,0)</f>
        <v>Oui</v>
      </c>
    </row>
    <row r="97" spans="1:24" ht="15" hidden="1" customHeight="1">
      <c r="A97" s="1163" t="s">
        <v>2477</v>
      </c>
      <c r="B97" s="1164" t="s">
        <v>2478</v>
      </c>
      <c r="C97" s="1165"/>
      <c r="D97" s="1165"/>
      <c r="E97" s="1165"/>
      <c r="F97" s="1163" t="s">
        <v>4</v>
      </c>
      <c r="G97" s="1163" t="s">
        <v>2023</v>
      </c>
      <c r="H97" s="1166"/>
      <c r="I97" s="1166">
        <v>0</v>
      </c>
      <c r="J97" s="1166">
        <v>-15</v>
      </c>
      <c r="K97" s="1166">
        <v>-15</v>
      </c>
      <c r="L97" s="153" t="str">
        <f t="shared" si="5"/>
        <v>4100@</v>
      </c>
      <c r="M97" s="154" t="str">
        <f t="shared" si="6"/>
        <v>RESERVE</v>
      </c>
      <c r="N97" s="155">
        <f>+IF(OR($Q97=Parametres!$G$2,$Q97=Parametres!$G$3),I97,C97)</f>
        <v>0</v>
      </c>
      <c r="O97" s="1106">
        <f>+IF(OR($Q97=Parametres!$G$2,$Q97=Parametres!$G$3),J97,D97)</f>
        <v>-15</v>
      </c>
      <c r="P97" s="155">
        <f>+IF(OR($Q97=Parametres!$G$2,$Q97=Parametres!$G$3),K97,E97)</f>
        <v>-15</v>
      </c>
      <c r="Q97" s="154" t="str">
        <f t="shared" si="7"/>
        <v>10-Compte compteur</v>
      </c>
      <c r="R97" s="153" t="str">
        <f t="shared" si="8"/>
        <v>4100</v>
      </c>
      <c r="S97" s="154">
        <f t="shared" si="9"/>
        <v>0</v>
      </c>
      <c r="T97" s="156" t="str">
        <f>+VLOOKUP($L97,Data_Validation!$A:$D,1,0)</f>
        <v>4100@</v>
      </c>
      <c r="U97" s="156" t="str">
        <f>+VLOOKUP($L97,Data_Validation!$A:$D,3,0)</f>
        <v>Véhicules neufs</v>
      </c>
      <c r="V97" s="156" t="str">
        <f>+VLOOKUP($L97,Data_Validation!$A:$D,4,0)</f>
        <v>Rachat bail</v>
      </c>
      <c r="W97" s="156" t="str">
        <f>+VLOOKUP($L97,Data_Validation!$A:$E,5,0)</f>
        <v>NB</v>
      </c>
      <c r="X97" s="156">
        <f>+VLOOKUP($L97,Data_Validation!$A:$F,6,0)</f>
        <v>0</v>
      </c>
    </row>
    <row r="98" spans="1:24" ht="15" hidden="1" customHeight="1">
      <c r="A98" s="1163" t="s">
        <v>2430</v>
      </c>
      <c r="B98" s="1164">
        <v>4109</v>
      </c>
      <c r="C98" s="1165">
        <v>0</v>
      </c>
      <c r="D98" s="1165">
        <v>-95863.81</v>
      </c>
      <c r="E98" s="1165">
        <v>-95863.81</v>
      </c>
      <c r="F98" s="1163" t="s">
        <v>285</v>
      </c>
      <c r="G98" s="1163" t="s">
        <v>2431</v>
      </c>
      <c r="H98" s="1166"/>
      <c r="I98" s="1166"/>
      <c r="J98" s="1166"/>
      <c r="K98" s="1166"/>
      <c r="L98" s="153">
        <f t="shared" si="5"/>
        <v>4109</v>
      </c>
      <c r="M98" s="154" t="str">
        <f t="shared" si="6"/>
        <v>VTE - GOLF R</v>
      </c>
      <c r="N98" s="155">
        <f>+IF(OR($Q98=Parametres!$G$2,$Q98=Parametres!$G$3),I98,C98)</f>
        <v>0</v>
      </c>
      <c r="O98" s="1106">
        <f>+IF(OR($Q98=Parametres!$G$2,$Q98=Parametres!$G$3),J98,D98)</f>
        <v>-95863.81</v>
      </c>
      <c r="P98" s="155">
        <f>+IF(OR($Q98=Parametres!$G$2,$Q98=Parametres!$G$3),K98,E98)</f>
        <v>-95863.81</v>
      </c>
      <c r="Q98" s="154" t="str">
        <f t="shared" si="7"/>
        <v>5-Ventes</v>
      </c>
      <c r="R98" s="153" t="str">
        <f t="shared" si="8"/>
        <v>4109</v>
      </c>
      <c r="S98" s="154">
        <f t="shared" si="9"/>
        <v>0</v>
      </c>
      <c r="T98" s="156">
        <f>+VLOOKUP($L98,Data_Validation!$A:$D,1,0)</f>
        <v>4109</v>
      </c>
      <c r="U98" s="156" t="str">
        <f>+VLOOKUP($L98,Data_Validation!$A:$D,3,0)</f>
        <v>Véhicules neufs</v>
      </c>
      <c r="V98" s="156" t="str">
        <f>+VLOOKUP($L98,Data_Validation!$A:$D,4,0)</f>
        <v>Autos détail</v>
      </c>
      <c r="W98" s="156" t="str">
        <f>+VLOOKUP($L98,Data_Validation!$A:$E,5,0)</f>
        <v>$</v>
      </c>
      <c r="X98" s="156" t="str">
        <f>+VLOOKUP($L98,Data_Validation!$A:$F,6,0)</f>
        <v>Oui</v>
      </c>
    </row>
    <row r="99" spans="1:24" ht="15.75" hidden="1" customHeight="1">
      <c r="A99" s="1187" t="s">
        <v>2485</v>
      </c>
      <c r="B99" s="1164" t="s">
        <v>2486</v>
      </c>
      <c r="C99" s="1165"/>
      <c r="D99" s="1165"/>
      <c r="E99" s="1165"/>
      <c r="F99" s="1163" t="s">
        <v>4</v>
      </c>
      <c r="G99" s="1163" t="s">
        <v>2431</v>
      </c>
      <c r="H99" s="1166"/>
      <c r="I99" s="1166">
        <v>0</v>
      </c>
      <c r="J99" s="1166">
        <v>-2</v>
      </c>
      <c r="K99" s="1166">
        <v>-2</v>
      </c>
      <c r="L99" s="153" t="str">
        <f t="shared" si="5"/>
        <v>4109@</v>
      </c>
      <c r="M99" s="154" t="str">
        <f t="shared" si="6"/>
        <v># DE VENTE - GOLF R</v>
      </c>
      <c r="N99" s="155">
        <f>+IF(OR($Q99=Parametres!$G$2,$Q99=Parametres!$G$3),I99,C99)</f>
        <v>0</v>
      </c>
      <c r="O99" s="1106">
        <f>+IF(OR($Q99=Parametres!$G$2,$Q99=Parametres!$G$3),J99,D99)</f>
        <v>-2</v>
      </c>
      <c r="P99" s="155">
        <f>+IF(OR($Q99=Parametres!$G$2,$Q99=Parametres!$G$3),K99,E99)</f>
        <v>-2</v>
      </c>
      <c r="Q99" s="154" t="str">
        <f t="shared" si="7"/>
        <v>10-Compte compteur</v>
      </c>
      <c r="R99" s="153" t="str">
        <f t="shared" si="8"/>
        <v>4109</v>
      </c>
      <c r="S99" s="154">
        <f t="shared" si="9"/>
        <v>0</v>
      </c>
      <c r="T99" s="156" t="str">
        <f>+VLOOKUP($L99,Data_Validation!$A:$D,1,0)</f>
        <v>4109@</v>
      </c>
      <c r="U99" s="156" t="str">
        <f>+VLOOKUP($L99,Data_Validation!$A:$D,3,0)</f>
        <v>Véhicules neufs</v>
      </c>
      <c r="V99" s="156" t="str">
        <f>+VLOOKUP($L99,Data_Validation!$A:$D,4,0)</f>
        <v>Autos détail</v>
      </c>
      <c r="W99" s="156" t="str">
        <f>+VLOOKUP($L99,Data_Validation!$A:$E,5,0)</f>
        <v>NB</v>
      </c>
      <c r="X99" s="156">
        <f>+VLOOKUP($L99,Data_Validation!$A:$F,6,0)</f>
        <v>0</v>
      </c>
    </row>
    <row r="100" spans="1:24" ht="15" hidden="1" customHeight="1">
      <c r="A100" s="1163" t="s">
        <v>2909</v>
      </c>
      <c r="B100" s="1164">
        <v>4118</v>
      </c>
      <c r="C100" s="1167">
        <v>0</v>
      </c>
      <c r="D100" s="1167">
        <v>-451907.71</v>
      </c>
      <c r="E100" s="1167">
        <v>-451907.71</v>
      </c>
      <c r="F100" s="1163" t="s">
        <v>285</v>
      </c>
      <c r="G100" s="1163" t="s">
        <v>2910</v>
      </c>
      <c r="H100" s="1166"/>
      <c r="I100" s="1165"/>
      <c r="J100" s="1165"/>
      <c r="K100" s="1165"/>
      <c r="L100" s="153">
        <f t="shared" si="5"/>
        <v>4118</v>
      </c>
      <c r="M100" s="154" t="str">
        <f t="shared" si="6"/>
        <v>VTES -TAOS</v>
      </c>
      <c r="N100" s="155">
        <f>+IF(OR($Q100=Parametres!$G$2,$Q100=Parametres!$G$3),I100,C100)</f>
        <v>0</v>
      </c>
      <c r="O100" s="1106">
        <f>+IF(OR($Q100=Parametres!$G$2,$Q100=Parametres!$G$3),J100,D100)</f>
        <v>-451907.71</v>
      </c>
      <c r="P100" s="155">
        <f>+IF(OR($Q100=Parametres!$G$2,$Q100=Parametres!$G$3),K100,E100)</f>
        <v>-451907.71</v>
      </c>
      <c r="Q100" s="154" t="str">
        <f t="shared" si="7"/>
        <v>5-Ventes</v>
      </c>
      <c r="R100" s="153" t="str">
        <f t="shared" si="8"/>
        <v>4117</v>
      </c>
      <c r="S100" s="154">
        <f t="shared" si="9"/>
        <v>0</v>
      </c>
      <c r="T100" s="156">
        <f>+VLOOKUP($L100,Data_Validation!$A:$D,1,0)</f>
        <v>4118</v>
      </c>
      <c r="U100" s="156" t="str">
        <f>+VLOOKUP($L100,Data_Validation!$A:$D,3,0)</f>
        <v>Véhicules neufs</v>
      </c>
      <c r="V100" s="156" t="str">
        <f>+VLOOKUP($L100,Data_Validation!$A:$D,4,0)</f>
        <v>Camions détail</v>
      </c>
      <c r="W100" s="156" t="str">
        <f>+VLOOKUP($L100,Data_Validation!$A:$E,5,0)</f>
        <v>$</v>
      </c>
      <c r="X100" s="156" t="str">
        <f>+VLOOKUP($L100,Data_Validation!$A:$F,6,0)</f>
        <v>Oui</v>
      </c>
    </row>
    <row r="101" spans="1:24" ht="15" hidden="1" customHeight="1">
      <c r="A101" s="1163" t="s">
        <v>2911</v>
      </c>
      <c r="B101" s="1164" t="s">
        <v>2912</v>
      </c>
      <c r="C101" s="1167"/>
      <c r="D101" s="1167"/>
      <c r="E101" s="1167"/>
      <c r="F101" s="1163" t="s">
        <v>4</v>
      </c>
      <c r="G101" s="1163" t="s">
        <v>342</v>
      </c>
      <c r="H101" s="1166"/>
      <c r="I101" s="1165">
        <v>0</v>
      </c>
      <c r="J101" s="1165">
        <v>-13</v>
      </c>
      <c r="K101" s="1165">
        <v>-13</v>
      </c>
      <c r="L101" s="153" t="str">
        <f t="shared" si="5"/>
        <v>4118@</v>
      </c>
      <c r="M101" s="154" t="str">
        <f t="shared" si="6"/>
        <v>TAOS</v>
      </c>
      <c r="N101" s="155">
        <f>+IF(OR($Q101=Parametres!$G$2,$Q101=Parametres!$G$3),I101,C101)</f>
        <v>0</v>
      </c>
      <c r="O101" s="1108">
        <f>+IF(OR($Q101=Parametres!$G$2,$Q101=Parametres!$G$3),J101,D101)</f>
        <v>-13</v>
      </c>
      <c r="P101" s="155">
        <f>+IF(OR($Q101=Parametres!$G$2,$Q101=Parametres!$G$3),K101,E101)</f>
        <v>-13</v>
      </c>
      <c r="Q101" s="154" t="str">
        <f t="shared" si="7"/>
        <v>10-Compte compteur</v>
      </c>
      <c r="R101" s="153" t="str">
        <f t="shared" si="8"/>
        <v>411</v>
      </c>
      <c r="S101" s="154">
        <f t="shared" si="9"/>
        <v>0</v>
      </c>
      <c r="T101" s="156" t="str">
        <f>+VLOOKUP($L101,Data_Validation!$A:$D,1,0)</f>
        <v>4118@</v>
      </c>
      <c r="U101" s="156" t="str">
        <f>+VLOOKUP($L101,Data_Validation!$A:$D,3,0)</f>
        <v>Véhicules neufs</v>
      </c>
      <c r="V101" s="156" t="str">
        <f>+VLOOKUP($L101,Data_Validation!$A:$D,4,0)</f>
        <v>Camions détail</v>
      </c>
      <c r="W101" s="156" t="str">
        <f>+VLOOKUP($L101,Data_Validation!$A:$E,5,0)</f>
        <v>NB</v>
      </c>
      <c r="X101" s="156">
        <f>+VLOOKUP($L101,Data_Validation!$A:$F,6,0)</f>
        <v>0</v>
      </c>
    </row>
    <row r="102" spans="1:24" ht="15" hidden="1" customHeight="1">
      <c r="A102" s="1163" t="s">
        <v>1999</v>
      </c>
      <c r="B102" s="1164">
        <v>4119</v>
      </c>
      <c r="C102" s="1165">
        <v>0</v>
      </c>
      <c r="D102" s="1165">
        <v>-287853.43</v>
      </c>
      <c r="E102" s="1165">
        <v>-287853.43</v>
      </c>
      <c r="F102" s="1163" t="s">
        <v>285</v>
      </c>
      <c r="G102" s="1163" t="s">
        <v>2000</v>
      </c>
      <c r="H102" s="1166"/>
      <c r="I102" s="1166"/>
      <c r="J102" s="1166"/>
      <c r="K102" s="1166"/>
      <c r="L102" s="153">
        <f t="shared" si="5"/>
        <v>4119</v>
      </c>
      <c r="M102" s="154" t="str">
        <f t="shared" si="6"/>
        <v>VTE - ATLAS</v>
      </c>
      <c r="N102" s="155">
        <f>+IF(OR($Q102=Parametres!$G$2,$Q102=Parametres!$G$3),I102,C102)</f>
        <v>0</v>
      </c>
      <c r="O102" s="1108">
        <f>+IF(OR($Q102=Parametres!$G$2,$Q102=Parametres!$G$3),J102,D102)</f>
        <v>-287853.43</v>
      </c>
      <c r="P102" s="155">
        <f>+IF(OR($Q102=Parametres!$G$2,$Q102=Parametres!$G$3),K102,E102)</f>
        <v>-287853.43</v>
      </c>
      <c r="Q102" s="154" t="str">
        <f t="shared" si="7"/>
        <v>5-Ventes</v>
      </c>
      <c r="R102" s="153" t="str">
        <f t="shared" si="8"/>
        <v>4119</v>
      </c>
      <c r="S102" s="154">
        <f t="shared" si="9"/>
        <v>0</v>
      </c>
      <c r="T102" s="156">
        <f>+VLOOKUP($L102,Data_Validation!$A:$D,1,0)</f>
        <v>4119</v>
      </c>
      <c r="U102" s="156" t="str">
        <f>+VLOOKUP($L102,Data_Validation!$A:$D,3,0)</f>
        <v>Véhicules neufs</v>
      </c>
      <c r="V102" s="156" t="str">
        <f>+VLOOKUP($L102,Data_Validation!$A:$D,4,0)</f>
        <v>Camions détail</v>
      </c>
      <c r="W102" s="156" t="str">
        <f>+VLOOKUP($L102,Data_Validation!$A:$E,5,0)</f>
        <v>$</v>
      </c>
      <c r="X102" s="156" t="str">
        <f>+VLOOKUP($L102,Data_Validation!$A:$F,6,0)</f>
        <v>Oui</v>
      </c>
    </row>
    <row r="103" spans="1:24" ht="15.75" hidden="1" customHeight="1">
      <c r="A103" s="1163" t="s">
        <v>2493</v>
      </c>
      <c r="B103" s="1164" t="s">
        <v>2494</v>
      </c>
      <c r="C103" s="1165"/>
      <c r="D103" s="1165"/>
      <c r="E103" s="1165"/>
      <c r="F103" s="1163" t="s">
        <v>4</v>
      </c>
      <c r="G103" s="1163" t="s">
        <v>2000</v>
      </c>
      <c r="H103" s="1166"/>
      <c r="I103" s="1166">
        <v>0</v>
      </c>
      <c r="J103" s="1166">
        <v>-5</v>
      </c>
      <c r="K103" s="1166">
        <v>-5</v>
      </c>
      <c r="L103" s="153" t="str">
        <f t="shared" si="5"/>
        <v>4119@</v>
      </c>
      <c r="M103" s="154" t="str">
        <f t="shared" si="6"/>
        <v># DE VTE - ATLAS</v>
      </c>
      <c r="N103" s="155">
        <f>+IF(OR($Q103=Parametres!$G$2,$Q103=Parametres!$G$3),I103,C103)</f>
        <v>0</v>
      </c>
      <c r="O103" s="1108">
        <f>+IF(OR($Q103=Parametres!$G$2,$Q103=Parametres!$G$3),J103,D103)</f>
        <v>-5</v>
      </c>
      <c r="P103" s="155">
        <f>+IF(OR($Q103=Parametres!$G$2,$Q103=Parametres!$G$3),K103,E103)</f>
        <v>-5</v>
      </c>
      <c r="Q103" s="154" t="str">
        <f t="shared" si="7"/>
        <v>10-Compte compteur</v>
      </c>
      <c r="R103" s="153" t="str">
        <f t="shared" si="8"/>
        <v>4119</v>
      </c>
      <c r="S103" s="154">
        <f t="shared" si="9"/>
        <v>0</v>
      </c>
      <c r="T103" s="156" t="str">
        <f>+VLOOKUP($L103,Data_Validation!$A:$D,1,0)</f>
        <v>4119@</v>
      </c>
      <c r="U103" s="156" t="str">
        <f>+VLOOKUP($L103,Data_Validation!$A:$D,3,0)</f>
        <v>Véhicules neufs</v>
      </c>
      <c r="V103" s="156" t="str">
        <f>+VLOOKUP($L103,Data_Validation!$A:$D,4,0)</f>
        <v>Camions détail</v>
      </c>
      <c r="W103" s="156" t="str">
        <f>+VLOOKUP($L103,Data_Validation!$A:$E,5,0)</f>
        <v>NB</v>
      </c>
      <c r="X103" s="156">
        <f>+VLOOKUP($L103,Data_Validation!$A:$F,6,0)</f>
        <v>0</v>
      </c>
    </row>
    <row r="104" spans="1:24" ht="15" hidden="1" customHeight="1">
      <c r="A104" s="1163" t="s">
        <v>2027</v>
      </c>
      <c r="B104" s="1164">
        <v>4127</v>
      </c>
      <c r="C104" s="1165">
        <v>0</v>
      </c>
      <c r="D104" s="1165">
        <v>-44922.95</v>
      </c>
      <c r="E104" s="1165">
        <v>-44922.95</v>
      </c>
      <c r="F104" s="1163" t="s">
        <v>285</v>
      </c>
      <c r="G104" s="1163" t="s">
        <v>2028</v>
      </c>
      <c r="H104" s="1166"/>
      <c r="I104" s="1166"/>
      <c r="J104" s="1166"/>
      <c r="K104" s="1166"/>
      <c r="L104" s="153">
        <f t="shared" si="5"/>
        <v>4127</v>
      </c>
      <c r="M104" s="154" t="str">
        <f t="shared" si="6"/>
        <v>VTE - GOLF GTI</v>
      </c>
      <c r="N104" s="155">
        <f>+IF(OR($Q104=Parametres!$G$2,$Q104=Parametres!$G$3),I104,C104)</f>
        <v>0</v>
      </c>
      <c r="O104" s="1108">
        <f>+IF(OR($Q104=Parametres!$G$2,$Q104=Parametres!$G$3),J104,D104)</f>
        <v>-44922.95</v>
      </c>
      <c r="P104" s="155">
        <f>+IF(OR($Q104=Parametres!$G$2,$Q104=Parametres!$G$3),K104,E104)</f>
        <v>-44922.95</v>
      </c>
      <c r="Q104" s="154" t="str">
        <f t="shared" si="7"/>
        <v>5-Ventes</v>
      </c>
      <c r="R104" s="153" t="str">
        <f t="shared" si="8"/>
        <v>4127</v>
      </c>
      <c r="S104" s="154">
        <f t="shared" si="9"/>
        <v>0</v>
      </c>
      <c r="T104" s="156">
        <f>+VLOOKUP($L104,Data_Validation!$A:$D,1,0)</f>
        <v>4127</v>
      </c>
      <c r="U104" s="156" t="str">
        <f>+VLOOKUP($L104,Data_Validation!$A:$D,3,0)</f>
        <v>Véhicules neufs</v>
      </c>
      <c r="V104" s="156" t="str">
        <f>+VLOOKUP($L104,Data_Validation!$A:$D,4,0)</f>
        <v>Autos détail</v>
      </c>
      <c r="W104" s="156" t="str">
        <f>+VLOOKUP($L104,Data_Validation!$A:$E,5,0)</f>
        <v>$</v>
      </c>
      <c r="X104" s="156" t="str">
        <f>+VLOOKUP($L104,Data_Validation!$A:$F,6,0)</f>
        <v>Oui</v>
      </c>
    </row>
    <row r="105" spans="1:24" ht="15" hidden="1" customHeight="1">
      <c r="A105" s="1163" t="s">
        <v>2495</v>
      </c>
      <c r="B105" s="1164" t="s">
        <v>2496</v>
      </c>
      <c r="C105" s="1165"/>
      <c r="D105" s="1165"/>
      <c r="E105" s="1165"/>
      <c r="F105" s="1163" t="s">
        <v>4</v>
      </c>
      <c r="G105" s="1163" t="s">
        <v>2028</v>
      </c>
      <c r="H105" s="1166"/>
      <c r="I105" s="1166">
        <v>0</v>
      </c>
      <c r="J105" s="1166">
        <v>-1</v>
      </c>
      <c r="K105" s="1166">
        <v>-1</v>
      </c>
      <c r="L105" s="153" t="str">
        <f t="shared" si="5"/>
        <v>4127@</v>
      </c>
      <c r="M105" s="154" t="str">
        <f t="shared" si="6"/>
        <v># DE VENTE - GOLF GTI</v>
      </c>
      <c r="N105" s="155">
        <f>+IF(OR($Q105=Parametres!$G$2,$Q105=Parametres!$G$3),I105,C105)</f>
        <v>0</v>
      </c>
      <c r="O105" s="1108">
        <f>+IF(OR($Q105=Parametres!$G$2,$Q105=Parametres!$G$3),J105,D105)</f>
        <v>-1</v>
      </c>
      <c r="P105" s="155">
        <f>+IF(OR($Q105=Parametres!$G$2,$Q105=Parametres!$G$3),K105,E105)</f>
        <v>-1</v>
      </c>
      <c r="Q105" s="154" t="str">
        <f t="shared" si="7"/>
        <v>10-Compte compteur</v>
      </c>
      <c r="R105" s="153" t="str">
        <f t="shared" si="8"/>
        <v>4127</v>
      </c>
      <c r="S105" s="154">
        <f t="shared" si="9"/>
        <v>0</v>
      </c>
      <c r="T105" s="156" t="str">
        <f>+VLOOKUP($L105,Data_Validation!$A:$D,1,0)</f>
        <v>4127@</v>
      </c>
      <c r="U105" s="156" t="str">
        <f>+VLOOKUP($L105,Data_Validation!$A:$D,3,0)</f>
        <v>Véhicules neufs</v>
      </c>
      <c r="V105" s="156" t="str">
        <f>+VLOOKUP($L105,Data_Validation!$A:$D,4,0)</f>
        <v>Autos détail</v>
      </c>
      <c r="W105" s="156" t="str">
        <f>+VLOOKUP($L105,Data_Validation!$A:$E,5,0)</f>
        <v>NB</v>
      </c>
      <c r="X105" s="156">
        <f>+VLOOKUP($L105,Data_Validation!$A:$F,6,0)</f>
        <v>0</v>
      </c>
    </row>
    <row r="106" spans="1:24" ht="15" hidden="1" customHeight="1">
      <c r="A106" s="1163" t="s">
        <v>1995</v>
      </c>
      <c r="B106" s="1164">
        <v>4131</v>
      </c>
      <c r="C106" s="1165">
        <v>0</v>
      </c>
      <c r="D106" s="1165">
        <v>-773659.47</v>
      </c>
      <c r="E106" s="1165">
        <v>-773659.47</v>
      </c>
      <c r="F106" s="1163" t="s">
        <v>285</v>
      </c>
      <c r="G106" s="1163" t="s">
        <v>1996</v>
      </c>
      <c r="H106" s="1166"/>
      <c r="I106" s="1166"/>
      <c r="J106" s="1166"/>
      <c r="K106" s="1166"/>
      <c r="L106" s="153">
        <f t="shared" si="5"/>
        <v>4131</v>
      </c>
      <c r="M106" s="154" t="str">
        <f t="shared" si="6"/>
        <v>VTE - TIGUAN LWB</v>
      </c>
      <c r="N106" s="155">
        <f>+IF(OR($Q106=Parametres!$G$2,$Q106=Parametres!$G$3),I106,C106)</f>
        <v>0</v>
      </c>
      <c r="O106" s="1108">
        <f>+IF(OR($Q106=Parametres!$G$2,$Q106=Parametres!$G$3),J106,D106)</f>
        <v>-773659.47</v>
      </c>
      <c r="P106" s="155">
        <f>+IF(OR($Q106=Parametres!$G$2,$Q106=Parametres!$G$3),K106,E106)</f>
        <v>-773659.47</v>
      </c>
      <c r="Q106" s="154" t="str">
        <f t="shared" si="7"/>
        <v>5-Ventes</v>
      </c>
      <c r="R106" s="153" t="str">
        <f t="shared" si="8"/>
        <v>4131</v>
      </c>
      <c r="S106" s="154">
        <f t="shared" si="9"/>
        <v>0</v>
      </c>
      <c r="T106" s="156">
        <f>+VLOOKUP($L106,Data_Validation!$A:$D,1,0)</f>
        <v>4131</v>
      </c>
      <c r="U106" s="156" t="str">
        <f>+VLOOKUP($L106,Data_Validation!$A:$D,3,0)</f>
        <v>Véhicules neufs</v>
      </c>
      <c r="V106" s="156" t="str">
        <f>+VLOOKUP($L106,Data_Validation!$A:$D,4,0)</f>
        <v>Camions détail</v>
      </c>
      <c r="W106" s="156" t="str">
        <f>+VLOOKUP($L106,Data_Validation!$A:$E,5,0)</f>
        <v>$</v>
      </c>
      <c r="X106" s="156" t="str">
        <f>+VLOOKUP($L106,Data_Validation!$A:$F,6,0)</f>
        <v>Oui</v>
      </c>
    </row>
    <row r="107" spans="1:24" ht="15" hidden="1" customHeight="1">
      <c r="A107" s="1163" t="s">
        <v>2497</v>
      </c>
      <c r="B107" s="1164" t="s">
        <v>2498</v>
      </c>
      <c r="C107" s="1165"/>
      <c r="D107" s="1165"/>
      <c r="E107" s="1165"/>
      <c r="F107" s="1163" t="s">
        <v>4</v>
      </c>
      <c r="G107" s="1163" t="s">
        <v>1996</v>
      </c>
      <c r="H107" s="1166"/>
      <c r="I107" s="1166">
        <v>0</v>
      </c>
      <c r="J107" s="1166">
        <v>-18</v>
      </c>
      <c r="K107" s="1166">
        <v>-18</v>
      </c>
      <c r="L107" s="153" t="str">
        <f t="shared" si="5"/>
        <v>4131@</v>
      </c>
      <c r="M107" s="154" t="str">
        <f t="shared" si="6"/>
        <v># DE VTE - TIGUAN LWB</v>
      </c>
      <c r="N107" s="155">
        <f>+IF(OR($Q107=Parametres!$G$2,$Q107=Parametres!$G$3),I107,C107)</f>
        <v>0</v>
      </c>
      <c r="O107" s="1108">
        <f>+IF(OR($Q107=Parametres!$G$2,$Q107=Parametres!$G$3),J107,D107)</f>
        <v>-18</v>
      </c>
      <c r="P107" s="155">
        <f>+IF(OR($Q107=Parametres!$G$2,$Q107=Parametres!$G$3),K107,E107)</f>
        <v>-18</v>
      </c>
      <c r="Q107" s="154" t="str">
        <f t="shared" si="7"/>
        <v>10-Compte compteur</v>
      </c>
      <c r="R107" s="153" t="str">
        <f t="shared" si="8"/>
        <v>4131</v>
      </c>
      <c r="S107" s="154">
        <f t="shared" si="9"/>
        <v>0</v>
      </c>
      <c r="T107" s="156" t="str">
        <f>+VLOOKUP($L107,Data_Validation!$A:$D,1,0)</f>
        <v>4131@</v>
      </c>
      <c r="U107" s="156" t="str">
        <f>+VLOOKUP($L107,Data_Validation!$A:$D,3,0)</f>
        <v>Véhicules neufs</v>
      </c>
      <c r="V107" s="156" t="str">
        <f>+VLOOKUP($L107,Data_Validation!$A:$D,4,0)</f>
        <v>Camions détail</v>
      </c>
      <c r="W107" s="156" t="str">
        <f>+VLOOKUP($L107,Data_Validation!$A:$E,5,0)</f>
        <v>NB</v>
      </c>
      <c r="X107" s="156">
        <f>+VLOOKUP($L107,Data_Validation!$A:$F,6,0)</f>
        <v>0</v>
      </c>
    </row>
    <row r="108" spans="1:24" ht="15" hidden="1" customHeight="1">
      <c r="A108" s="1163" t="s">
        <v>2001</v>
      </c>
      <c r="B108" s="1164">
        <v>4139</v>
      </c>
      <c r="C108" s="1165">
        <v>0</v>
      </c>
      <c r="D108" s="1165">
        <v>-317601.75</v>
      </c>
      <c r="E108" s="1165">
        <v>-317601.75</v>
      </c>
      <c r="F108" s="1163" t="s">
        <v>285</v>
      </c>
      <c r="G108" s="1163" t="s">
        <v>2002</v>
      </c>
      <c r="H108" s="1166"/>
      <c r="I108" s="1166"/>
      <c r="J108" s="1166"/>
      <c r="K108" s="1166"/>
      <c r="L108" s="153">
        <f t="shared" si="5"/>
        <v>4139</v>
      </c>
      <c r="M108" s="154" t="str">
        <f t="shared" si="6"/>
        <v>VTE - VW FLOTTE/VENTE ENTR/EMPLOYE/VEH DEMONS</v>
      </c>
      <c r="N108" s="155">
        <f>+IF(OR($Q108=Parametres!$G$2,$Q108=Parametres!$G$3),I108,C108)</f>
        <v>0</v>
      </c>
      <c r="O108" s="1108">
        <f>+IF(OR($Q108=Parametres!$G$2,$Q108=Parametres!$G$3),J108,D108)</f>
        <v>-317601.75</v>
      </c>
      <c r="P108" s="155">
        <f>+IF(OR($Q108=Parametres!$G$2,$Q108=Parametres!$G$3),K108,E108)</f>
        <v>-317601.75</v>
      </c>
      <c r="Q108" s="154" t="str">
        <f t="shared" si="7"/>
        <v>5-Ventes</v>
      </c>
      <c r="R108" s="153" t="str">
        <f t="shared" si="8"/>
        <v>4139</v>
      </c>
      <c r="S108" s="154">
        <f t="shared" si="9"/>
        <v>0</v>
      </c>
      <c r="T108" s="156">
        <f>+VLOOKUP($L108,Data_Validation!$A:$D,1,0)</f>
        <v>4139</v>
      </c>
      <c r="U108" s="156" t="str">
        <f>+VLOOKUP($L108,Data_Validation!$A:$D,3,0)</f>
        <v>Véhicules neufs</v>
      </c>
      <c r="V108" s="156" t="str">
        <f>+VLOOKUP($L108,Data_Validation!$A:$D,4,0)</f>
        <v>Ex-Démos et courtoisies</v>
      </c>
      <c r="W108" s="156" t="str">
        <f>+VLOOKUP($L108,Data_Validation!$A:$E,5,0)</f>
        <v>$</v>
      </c>
      <c r="X108" s="156" t="str">
        <f>+VLOOKUP($L108,Data_Validation!$A:$F,6,0)</f>
        <v>Oui</v>
      </c>
    </row>
    <row r="109" spans="1:24" ht="15.75" hidden="1" customHeight="1">
      <c r="A109" s="1163" t="s">
        <v>2504</v>
      </c>
      <c r="B109" s="1164" t="s">
        <v>2505</v>
      </c>
      <c r="C109" s="1165"/>
      <c r="D109" s="1165"/>
      <c r="E109" s="1165"/>
      <c r="F109" s="1163" t="s">
        <v>4</v>
      </c>
      <c r="G109" s="1163" t="s">
        <v>2002</v>
      </c>
      <c r="H109" s="1166"/>
      <c r="I109" s="1166">
        <v>0</v>
      </c>
      <c r="J109" s="1166">
        <v>-8</v>
      </c>
      <c r="K109" s="1166">
        <v>-8</v>
      </c>
      <c r="L109" s="153" t="str">
        <f t="shared" si="5"/>
        <v>4139@</v>
      </c>
      <c r="M109" s="154" t="str">
        <f t="shared" si="6"/>
        <v>VENTES A PARK AVENUE LOCATION</v>
      </c>
      <c r="N109" s="155">
        <f>+IF(OR($Q109=Parametres!$G$2,$Q109=Parametres!$G$3),I109,C109)</f>
        <v>0</v>
      </c>
      <c r="O109" s="1108">
        <f>+IF(OR($Q109=Parametres!$G$2,$Q109=Parametres!$G$3),J109,D109)</f>
        <v>-8</v>
      </c>
      <c r="P109" s="155">
        <f>+IF(OR($Q109=Parametres!$G$2,$Q109=Parametres!$G$3),K109,E109)</f>
        <v>-8</v>
      </c>
      <c r="Q109" s="154" t="str">
        <f t="shared" si="7"/>
        <v>10-Compte compteur</v>
      </c>
      <c r="R109" s="153" t="str">
        <f t="shared" si="8"/>
        <v>4139</v>
      </c>
      <c r="S109" s="154">
        <f t="shared" si="9"/>
        <v>0</v>
      </c>
      <c r="T109" s="156" t="str">
        <f>+VLOOKUP($L109,Data_Validation!$A:$D,1,0)</f>
        <v>4139@</v>
      </c>
      <c r="U109" s="156" t="str">
        <f>+VLOOKUP($L109,Data_Validation!$A:$D,3,0)</f>
        <v>Véhicules neufs</v>
      </c>
      <c r="V109" s="156" t="str">
        <f>+VLOOKUP($L109,Data_Validation!$A:$D,4,0)</f>
        <v>Ex-Démos et courtoisies</v>
      </c>
      <c r="W109" s="156" t="str">
        <f>+VLOOKUP($L109,Data_Validation!$A:$E,5,0)</f>
        <v>NB</v>
      </c>
      <c r="X109" s="156">
        <f>+VLOOKUP($L109,Data_Validation!$A:$F,6,0)</f>
        <v>0</v>
      </c>
    </row>
    <row r="110" spans="1:24" ht="15" hidden="1" customHeight="1">
      <c r="A110" s="1163" t="s">
        <v>1997</v>
      </c>
      <c r="B110" s="1164">
        <v>4201</v>
      </c>
      <c r="C110" s="1165">
        <v>0</v>
      </c>
      <c r="D110" s="1165">
        <v>-415664.19</v>
      </c>
      <c r="E110" s="1165">
        <v>-415664.19</v>
      </c>
      <c r="F110" s="1163" t="s">
        <v>285</v>
      </c>
      <c r="G110" s="1163" t="s">
        <v>1998</v>
      </c>
      <c r="H110" s="1166"/>
      <c r="I110" s="1166"/>
      <c r="J110" s="1166"/>
      <c r="K110" s="1166"/>
      <c r="L110" s="153">
        <f t="shared" si="5"/>
        <v>4201</v>
      </c>
      <c r="M110" s="154" t="str">
        <f t="shared" si="6"/>
        <v>VTE - VEH.USAGE VW DETAIL CERTIFIE</v>
      </c>
      <c r="N110" s="155">
        <f>+IF(OR($Q110=Parametres!$G$2,$Q110=Parametres!$G$3),I110,C110)</f>
        <v>0</v>
      </c>
      <c r="O110" s="1106">
        <f>+IF(OR($Q110=Parametres!$G$2,$Q110=Parametres!$G$3),J110,D110)</f>
        <v>-415664.19</v>
      </c>
      <c r="P110" s="155">
        <f>+IF(OR($Q110=Parametres!$G$2,$Q110=Parametres!$G$3),K110,E110)</f>
        <v>-415664.19</v>
      </c>
      <c r="Q110" s="154" t="str">
        <f t="shared" si="7"/>
        <v>5-Ventes</v>
      </c>
      <c r="R110" s="153" t="str">
        <f t="shared" si="8"/>
        <v>4201</v>
      </c>
      <c r="S110" s="154">
        <f t="shared" si="9"/>
        <v>0</v>
      </c>
      <c r="T110" s="156">
        <f>+VLOOKUP($L110,Data_Validation!$A:$D,1,0)</f>
        <v>4201</v>
      </c>
      <c r="U110" s="156" t="str">
        <f>+VLOOKUP($L110,Data_Validation!$A:$D,3,0)</f>
        <v>Véhicules usagés</v>
      </c>
      <c r="V110" s="156" t="str">
        <f>+VLOOKUP($L110,Data_Validation!$A:$D,4,0)</f>
        <v>Certifié</v>
      </c>
      <c r="W110" s="156" t="str">
        <f>+VLOOKUP($L110,Data_Validation!$A:$E,5,0)</f>
        <v>$</v>
      </c>
      <c r="X110" s="156" t="str">
        <f>+VLOOKUP($L110,Data_Validation!$A:$F,6,0)</f>
        <v>Oui</v>
      </c>
    </row>
    <row r="111" spans="1:24" ht="15" hidden="1" customHeight="1">
      <c r="A111" s="1163" t="s">
        <v>2506</v>
      </c>
      <c r="B111" s="1164" t="s">
        <v>2507</v>
      </c>
      <c r="C111" s="1165"/>
      <c r="D111" s="1165"/>
      <c r="E111" s="1165"/>
      <c r="F111" s="1163" t="s">
        <v>4</v>
      </c>
      <c r="G111" s="1163" t="s">
        <v>1998</v>
      </c>
      <c r="H111" s="1166"/>
      <c r="I111" s="1166">
        <v>0</v>
      </c>
      <c r="J111" s="1166">
        <v>-18</v>
      </c>
      <c r="K111" s="1166">
        <v>-18</v>
      </c>
      <c r="L111" s="153" t="str">
        <f t="shared" si="5"/>
        <v>4201@</v>
      </c>
      <c r="M111" s="154" t="str">
        <f t="shared" si="6"/>
        <v># DE VTE - VEH.USAGE VW DET.CERT.</v>
      </c>
      <c r="N111" s="155">
        <f>+IF(OR($Q111=Parametres!$G$2,$Q111=Parametres!$G$3),I111,C111)</f>
        <v>0</v>
      </c>
      <c r="O111" s="1108">
        <f>+IF(OR($Q111=Parametres!$G$2,$Q111=Parametres!$G$3),J111,D111)</f>
        <v>-18</v>
      </c>
      <c r="P111" s="155">
        <f>+IF(OR($Q111=Parametres!$G$2,$Q111=Parametres!$G$3),K111,E111)</f>
        <v>-18</v>
      </c>
      <c r="Q111" s="154" t="str">
        <f t="shared" si="7"/>
        <v>10-Compte compteur</v>
      </c>
      <c r="R111" s="153" t="str">
        <f t="shared" si="8"/>
        <v>4201</v>
      </c>
      <c r="S111" s="154">
        <f t="shared" si="9"/>
        <v>0</v>
      </c>
      <c r="T111" s="156" t="str">
        <f>+VLOOKUP($L111,Data_Validation!$A:$D,1,0)</f>
        <v>4201@</v>
      </c>
      <c r="U111" s="156" t="str">
        <f>+VLOOKUP($L111,Data_Validation!$A:$D,3,0)</f>
        <v>Véhicules usagés</v>
      </c>
      <c r="V111" s="156" t="str">
        <f>+VLOOKUP($L111,Data_Validation!$A:$D,4,0)</f>
        <v>Certifié</v>
      </c>
      <c r="W111" s="156" t="str">
        <f>+VLOOKUP($L111,Data_Validation!$A:$E,5,0)</f>
        <v>NB</v>
      </c>
      <c r="X111" s="156">
        <f>+VLOOKUP($L111,Data_Validation!$A:$F,6,0)</f>
        <v>0</v>
      </c>
    </row>
    <row r="112" spans="1:24" ht="15" hidden="1" customHeight="1">
      <c r="A112" s="1163" t="s">
        <v>2003</v>
      </c>
      <c r="B112" s="1164">
        <v>4291</v>
      </c>
      <c r="C112" s="1165">
        <v>0</v>
      </c>
      <c r="D112" s="1165">
        <v>-220500</v>
      </c>
      <c r="E112" s="1165">
        <v>-220500</v>
      </c>
      <c r="F112" s="1163" t="s">
        <v>285</v>
      </c>
      <c r="G112" s="1163" t="s">
        <v>2005</v>
      </c>
      <c r="H112" s="1166"/>
      <c r="I112" s="1166"/>
      <c r="J112" s="1166"/>
      <c r="K112" s="1166"/>
      <c r="L112" s="153">
        <f t="shared" si="5"/>
        <v>4291</v>
      </c>
      <c r="M112" s="154" t="str">
        <f t="shared" si="6"/>
        <v>VEH. D'OCC. AU GROS</v>
      </c>
      <c r="N112" s="155">
        <f>+IF(OR($Q112=Parametres!$G$2,$Q112=Parametres!$G$3),I112,C112)</f>
        <v>0</v>
      </c>
      <c r="O112" s="1108">
        <f>+IF(OR($Q112=Parametres!$G$2,$Q112=Parametres!$G$3),J112,D112)</f>
        <v>-220500</v>
      </c>
      <c r="P112" s="155">
        <f>+IF(OR($Q112=Parametres!$G$2,$Q112=Parametres!$G$3),K112,E112)</f>
        <v>-220500</v>
      </c>
      <c r="Q112" s="154" t="str">
        <f t="shared" si="7"/>
        <v>5-Ventes</v>
      </c>
      <c r="R112" s="153" t="str">
        <f t="shared" si="8"/>
        <v>4281</v>
      </c>
      <c r="S112" s="154">
        <f t="shared" si="9"/>
        <v>0</v>
      </c>
      <c r="T112" s="156">
        <f>+VLOOKUP($L112,Data_Validation!$A:$D,1,0)</f>
        <v>4291</v>
      </c>
      <c r="U112" s="156" t="str">
        <f>+VLOOKUP($L112,Data_Validation!$A:$D,3,0)</f>
        <v>Véhicules usagés</v>
      </c>
      <c r="V112" s="156" t="str">
        <f>+VLOOKUP($L112,Data_Validation!$A:$D,4,0)</f>
        <v>Ventes au Gros</v>
      </c>
      <c r="W112" s="156" t="str">
        <f>+VLOOKUP($L112,Data_Validation!$A:$E,5,0)</f>
        <v>$</v>
      </c>
      <c r="X112" s="156" t="str">
        <f>+VLOOKUP($L112,Data_Validation!$A:$F,6,0)</f>
        <v>Oui</v>
      </c>
    </row>
    <row r="113" spans="1:24" ht="15.75" hidden="1" customHeight="1">
      <c r="A113" s="1163" t="s">
        <v>2512</v>
      </c>
      <c r="B113" s="1164" t="s">
        <v>2513</v>
      </c>
      <c r="C113" s="1165"/>
      <c r="D113" s="1165"/>
      <c r="E113" s="1165"/>
      <c r="F113" s="1163" t="s">
        <v>4</v>
      </c>
      <c r="G113" s="1163" t="s">
        <v>2005</v>
      </c>
      <c r="H113" s="1177"/>
      <c r="I113" s="1177">
        <v>0</v>
      </c>
      <c r="J113" s="1177">
        <v>-18</v>
      </c>
      <c r="K113" s="1177">
        <v>-18</v>
      </c>
      <c r="L113" s="153" t="str">
        <f t="shared" si="5"/>
        <v>4291@</v>
      </c>
      <c r="M113" s="154" t="str">
        <f t="shared" si="6"/>
        <v>VENTE AU GROS - USAGES</v>
      </c>
      <c r="N113" s="155">
        <f>+IF(OR($Q113=Parametres!$G$2,$Q113=Parametres!$G$3),I113,C113)</f>
        <v>0</v>
      </c>
      <c r="O113" s="1108">
        <f>+IF(OR($Q113=Parametres!$G$2,$Q113=Parametres!$G$3),J113,D113)</f>
        <v>-18</v>
      </c>
      <c r="P113" s="155">
        <f>+IF(OR($Q113=Parametres!$G$2,$Q113=Parametres!$G$3),K113,E113)</f>
        <v>-18</v>
      </c>
      <c r="Q113" s="154" t="str">
        <f t="shared" si="7"/>
        <v>10-Compte compteur</v>
      </c>
      <c r="R113" s="153" t="str">
        <f t="shared" si="8"/>
        <v>4281</v>
      </c>
      <c r="S113" s="154">
        <f t="shared" si="9"/>
        <v>0</v>
      </c>
      <c r="T113" s="156" t="str">
        <f>+VLOOKUP($L113,Data_Validation!$A:$D,1,0)</f>
        <v>4291@</v>
      </c>
      <c r="U113" s="156" t="str">
        <f>+VLOOKUP($L113,Data_Validation!$A:$D,3,0)</f>
        <v>Véhicules usagés</v>
      </c>
      <c r="V113" s="156" t="str">
        <f>+VLOOKUP($L113,Data_Validation!$A:$D,4,0)</f>
        <v>Ventes au Gros</v>
      </c>
      <c r="W113" s="156" t="str">
        <f>+VLOOKUP($L113,Data_Validation!$A:$E,5,0)</f>
        <v>NB</v>
      </c>
      <c r="X113" s="156">
        <f>+VLOOKUP($L113,Data_Validation!$A:$F,6,0)</f>
        <v>0</v>
      </c>
    </row>
    <row r="114" spans="1:24" ht="15" hidden="1" customHeight="1">
      <c r="A114" s="1163" t="s">
        <v>2008</v>
      </c>
      <c r="B114" s="1164">
        <v>4401</v>
      </c>
      <c r="C114" s="1165">
        <v>0</v>
      </c>
      <c r="D114" s="1165">
        <v>-75842.06</v>
      </c>
      <c r="E114" s="1165">
        <v>-75842.06</v>
      </c>
      <c r="F114" s="1163" t="s">
        <v>285</v>
      </c>
      <c r="G114" s="1163" t="s">
        <v>2009</v>
      </c>
      <c r="H114" s="1175"/>
      <c r="I114" s="1175"/>
      <c r="J114" s="1175"/>
      <c r="K114" s="1175"/>
      <c r="L114" s="153">
        <f t="shared" si="5"/>
        <v>4401</v>
      </c>
      <c r="M114" s="154" t="str">
        <f t="shared" si="6"/>
        <v>M.O. MECANIQUE-VENTE CLIENTS</v>
      </c>
      <c r="N114" s="155">
        <f>+IF(OR($Q114=Parametres!$G$2,$Q114=Parametres!$G$3),I114,C114)</f>
        <v>0</v>
      </c>
      <c r="O114" s="1108">
        <f>+IF(OR($Q114=Parametres!$G$2,$Q114=Parametres!$G$3),J114,D114)</f>
        <v>-75842.06</v>
      </c>
      <c r="P114" s="155">
        <f>+IF(OR($Q114=Parametres!$G$2,$Q114=Parametres!$G$3),K114,E114)</f>
        <v>-75842.06</v>
      </c>
      <c r="Q114" s="154" t="str">
        <f t="shared" si="7"/>
        <v>5-Ventes</v>
      </c>
      <c r="R114" s="153" t="str">
        <f t="shared" si="8"/>
        <v>4401</v>
      </c>
      <c r="S114" s="154">
        <f t="shared" si="9"/>
        <v>0</v>
      </c>
      <c r="T114" s="156">
        <f>+VLOOKUP($L114,Data_Validation!$A:$D,1,0)</f>
        <v>4401</v>
      </c>
      <c r="U114" s="156" t="str">
        <f>+VLOOKUP($L114,Data_Validation!$A:$D,3,0)</f>
        <v>Service</v>
      </c>
      <c r="V114" s="156" t="str">
        <f>+VLOOKUP($L114,Data_Validation!$A:$D,4,0)</f>
        <v>M/O Client</v>
      </c>
      <c r="W114" s="156" t="str">
        <f>+VLOOKUP($L114,Data_Validation!$A:$E,5,0)</f>
        <v>$</v>
      </c>
      <c r="X114" s="156" t="str">
        <f>+VLOOKUP($L114,Data_Validation!$A:$F,6,0)</f>
        <v>Oui</v>
      </c>
    </row>
    <row r="115" spans="1:24" ht="15" hidden="1" customHeight="1">
      <c r="A115" s="1163" t="s">
        <v>2008</v>
      </c>
      <c r="B115" s="1164" t="s">
        <v>2514</v>
      </c>
      <c r="C115" s="1165"/>
      <c r="D115" s="1165"/>
      <c r="E115" s="1165"/>
      <c r="F115" s="1163" t="s">
        <v>4</v>
      </c>
      <c r="G115" s="1163" t="s">
        <v>2009</v>
      </c>
      <c r="H115" s="1175"/>
      <c r="I115" s="1178">
        <v>0</v>
      </c>
      <c r="J115" s="1178">
        <v>-261</v>
      </c>
      <c r="K115" s="1178">
        <v>-261</v>
      </c>
      <c r="L115" s="153" t="str">
        <f t="shared" si="5"/>
        <v>4401@</v>
      </c>
      <c r="M115" s="154" t="str">
        <f t="shared" si="6"/>
        <v>M.O. MECANIQUE-VENTE CLIENTS</v>
      </c>
      <c r="N115" s="155">
        <f>+IF(OR($Q115=Parametres!$G$2,$Q115=Parametres!$G$3),I115,C115)</f>
        <v>0</v>
      </c>
      <c r="O115" s="1108">
        <f>+IF(OR($Q115=Parametres!$G$2,$Q115=Parametres!$G$3),J115,D115)</f>
        <v>-261</v>
      </c>
      <c r="P115" s="155">
        <f>+IF(OR($Q115=Parametres!$G$2,$Q115=Parametres!$G$3),K115,E115)</f>
        <v>-261</v>
      </c>
      <c r="Q115" s="154" t="str">
        <f t="shared" si="7"/>
        <v>10-Compte compteur</v>
      </c>
      <c r="R115" s="153" t="str">
        <f t="shared" si="8"/>
        <v>4401</v>
      </c>
      <c r="S115" s="154">
        <f t="shared" si="9"/>
        <v>0</v>
      </c>
      <c r="T115" s="156" t="str">
        <f>+VLOOKUP($L115,Data_Validation!$A:$D,1,0)</f>
        <v>4401@</v>
      </c>
      <c r="U115" s="156" t="str">
        <f>+VLOOKUP($L115,Data_Validation!$A:$D,3,0)</f>
        <v>Service</v>
      </c>
      <c r="V115" s="156" t="str">
        <f>+VLOOKUP($L115,Data_Validation!$A:$D,4,0)</f>
        <v>M/O Client</v>
      </c>
      <c r="W115" s="156" t="str">
        <f>+VLOOKUP($L115,Data_Validation!$A:$E,5,0)</f>
        <v>NB</v>
      </c>
      <c r="X115" s="156">
        <f>+VLOOKUP($L115,Data_Validation!$A:$F,6,0)</f>
        <v>0</v>
      </c>
    </row>
    <row r="116" spans="1:24" ht="15" hidden="1" customHeight="1">
      <c r="A116" s="1163" t="s">
        <v>2188</v>
      </c>
      <c r="B116" s="1164">
        <v>4402</v>
      </c>
      <c r="C116" s="1165">
        <v>0</v>
      </c>
      <c r="D116" s="1165">
        <v>-80.98</v>
      </c>
      <c r="E116" s="1165">
        <v>-80.98</v>
      </c>
      <c r="F116" s="1163" t="s">
        <v>285</v>
      </c>
      <c r="G116" s="1163" t="s">
        <v>2189</v>
      </c>
      <c r="H116" s="1168"/>
      <c r="I116" s="1174"/>
      <c r="J116" s="1174"/>
      <c r="K116" s="1174"/>
      <c r="L116" s="153">
        <f t="shared" si="5"/>
        <v>4402</v>
      </c>
      <c r="M116" s="154" t="str">
        <f t="shared" si="6"/>
        <v>VTE - M.O. ESTHETIQUE CLIENT</v>
      </c>
      <c r="N116" s="155">
        <f>+IF(OR($Q116=Parametres!$G$2,$Q116=Parametres!$G$3),I116,C116)</f>
        <v>0</v>
      </c>
      <c r="O116" s="1108">
        <f>+IF(OR($Q116=Parametres!$G$2,$Q116=Parametres!$G$3),J116,D116)</f>
        <v>-80.98</v>
      </c>
      <c r="P116" s="155">
        <f>+IF(OR($Q116=Parametres!$G$2,$Q116=Parametres!$G$3),K116,E116)</f>
        <v>-80.98</v>
      </c>
      <c r="Q116" s="154" t="str">
        <f t="shared" si="7"/>
        <v>5-Ventes</v>
      </c>
      <c r="R116" s="153" t="str">
        <f t="shared" si="8"/>
        <v>4402</v>
      </c>
      <c r="S116" s="154">
        <f t="shared" si="9"/>
        <v>0</v>
      </c>
      <c r="T116" s="156">
        <f>+VLOOKUP($L116,Data_Validation!$A:$D,1,0)</f>
        <v>4402</v>
      </c>
      <c r="U116" s="156" t="str">
        <f>+VLOOKUP($L116,Data_Validation!$A:$D,3,0)</f>
        <v>Service</v>
      </c>
      <c r="V116" s="156" t="str">
        <f>+VLOOKUP($L116,Data_Validation!$A:$D,4,0)</f>
        <v>M/O Esthétique</v>
      </c>
      <c r="W116" s="156" t="str">
        <f>+VLOOKUP($L116,Data_Validation!$A:$E,5,0)</f>
        <v>$</v>
      </c>
      <c r="X116" s="156" t="str">
        <f>+VLOOKUP($L116,Data_Validation!$A:$F,6,0)</f>
        <v>Oui</v>
      </c>
    </row>
    <row r="117" spans="1:24" ht="15.75" hidden="1" customHeight="1">
      <c r="A117" s="1163" t="s">
        <v>2038</v>
      </c>
      <c r="B117" s="1164">
        <v>4403</v>
      </c>
      <c r="C117" s="1165">
        <v>0</v>
      </c>
      <c r="D117" s="1165">
        <v>-49441.32</v>
      </c>
      <c r="E117" s="1165">
        <v>-49441.32</v>
      </c>
      <c r="F117" s="1163" t="s">
        <v>285</v>
      </c>
      <c r="G117" s="1163" t="s">
        <v>2039</v>
      </c>
      <c r="H117" s="1168"/>
      <c r="I117" s="1174"/>
      <c r="J117" s="1174"/>
      <c r="K117" s="1174"/>
      <c r="L117" s="153">
        <f t="shared" si="5"/>
        <v>4403</v>
      </c>
      <c r="M117" s="154" t="str">
        <f t="shared" si="6"/>
        <v>M.O. MECANIQUE-VENTE GAR. MANU</v>
      </c>
      <c r="N117" s="155">
        <f>+IF(OR($Q117=Parametres!$G$2,$Q117=Parametres!$G$3),I117,C117)</f>
        <v>0</v>
      </c>
      <c r="O117" s="1108">
        <f>+IF(OR($Q117=Parametres!$G$2,$Q117=Parametres!$G$3),J117,D117)</f>
        <v>-49441.32</v>
      </c>
      <c r="P117" s="155">
        <f>+IF(OR($Q117=Parametres!$G$2,$Q117=Parametres!$G$3),K117,E117)</f>
        <v>-49441.32</v>
      </c>
      <c r="Q117" s="154" t="str">
        <f t="shared" si="7"/>
        <v>5-Ventes</v>
      </c>
      <c r="R117" s="153" t="str">
        <f t="shared" si="8"/>
        <v>4403</v>
      </c>
      <c r="S117" s="154">
        <f t="shared" si="9"/>
        <v>0</v>
      </c>
      <c r="T117" s="156">
        <f>+VLOOKUP($L117,Data_Validation!$A:$D,1,0)</f>
        <v>4403</v>
      </c>
      <c r="U117" s="156" t="str">
        <f>+VLOOKUP($L117,Data_Validation!$A:$D,3,0)</f>
        <v>Service</v>
      </c>
      <c r="V117" s="156" t="str">
        <f>+VLOOKUP($L117,Data_Validation!$A:$D,4,0)</f>
        <v>M/O Garantie</v>
      </c>
      <c r="W117" s="156" t="str">
        <f>+VLOOKUP($L117,Data_Validation!$A:$E,5,0)</f>
        <v>$</v>
      </c>
      <c r="X117" s="156" t="str">
        <f>+VLOOKUP($L117,Data_Validation!$A:$F,6,0)</f>
        <v>Oui</v>
      </c>
    </row>
    <row r="118" spans="1:24" ht="15" hidden="1" customHeight="1">
      <c r="A118" s="1163" t="s">
        <v>2038</v>
      </c>
      <c r="B118" s="1164" t="s">
        <v>2517</v>
      </c>
      <c r="C118" s="1165"/>
      <c r="D118" s="1165"/>
      <c r="E118" s="1165"/>
      <c r="F118" s="1163" t="s">
        <v>4</v>
      </c>
      <c r="G118" s="1163" t="s">
        <v>2039</v>
      </c>
      <c r="H118" s="1168"/>
      <c r="I118" s="1170">
        <v>0</v>
      </c>
      <c r="J118" s="1170">
        <v>-276</v>
      </c>
      <c r="K118" s="1170">
        <v>-276</v>
      </c>
      <c r="L118" s="153" t="str">
        <f t="shared" si="5"/>
        <v>4403@</v>
      </c>
      <c r="M118" s="154" t="str">
        <f t="shared" si="6"/>
        <v>M.O. MECANIQUE-VENTE GAR. MANU</v>
      </c>
      <c r="N118" s="155">
        <f>+IF(OR($Q118=Parametres!$G$2,$Q118=Parametres!$G$3),I118,C118)</f>
        <v>0</v>
      </c>
      <c r="O118" s="1108">
        <f>+IF(OR($Q118=Parametres!$G$2,$Q118=Parametres!$G$3),J118,D118)</f>
        <v>-276</v>
      </c>
      <c r="P118" s="155">
        <f>+IF(OR($Q118=Parametres!$G$2,$Q118=Parametres!$G$3),K118,E118)</f>
        <v>-276</v>
      </c>
      <c r="Q118" s="154" t="str">
        <f t="shared" si="7"/>
        <v>10-Compte compteur</v>
      </c>
      <c r="R118" s="153" t="str">
        <f t="shared" si="8"/>
        <v>4403</v>
      </c>
      <c r="S118" s="154">
        <f t="shared" si="9"/>
        <v>0</v>
      </c>
      <c r="T118" s="156" t="str">
        <f>+VLOOKUP($L118,Data_Validation!$A:$D,1,0)</f>
        <v>4403@</v>
      </c>
      <c r="U118" s="156" t="str">
        <f>+VLOOKUP($L118,Data_Validation!$A:$D,3,0)</f>
        <v>Service</v>
      </c>
      <c r="V118" s="156" t="str">
        <f>+VLOOKUP($L118,Data_Validation!$A:$D,4,0)</f>
        <v>M/O Garantie</v>
      </c>
      <c r="W118" s="156" t="str">
        <f>+VLOOKUP($L118,Data_Validation!$A:$E,5,0)</f>
        <v>NB</v>
      </c>
      <c r="X118" s="156">
        <f>+VLOOKUP($L118,Data_Validation!$A:$F,6,0)</f>
        <v>0</v>
      </c>
    </row>
    <row r="119" spans="1:24" ht="15" hidden="1" customHeight="1">
      <c r="A119" s="1163" t="s">
        <v>2048</v>
      </c>
      <c r="B119" s="1164">
        <v>4405</v>
      </c>
      <c r="C119" s="1165">
        <v>0</v>
      </c>
      <c r="D119" s="1165">
        <v>-44087.37</v>
      </c>
      <c r="E119" s="1165">
        <v>-44087.37</v>
      </c>
      <c r="F119" s="1163" t="s">
        <v>285</v>
      </c>
      <c r="G119" s="1163" t="s">
        <v>2049</v>
      </c>
      <c r="H119" s="1175"/>
      <c r="I119" s="1178"/>
      <c r="J119" s="1178"/>
      <c r="K119" s="1178"/>
      <c r="L119" s="153">
        <f t="shared" si="5"/>
        <v>4405</v>
      </c>
      <c r="M119" s="154" t="str">
        <f t="shared" si="6"/>
        <v>M.O. MECANIQUE-VENTE INTERNE</v>
      </c>
      <c r="N119" s="155">
        <f>+IF(OR($Q119=Parametres!$G$2,$Q119=Parametres!$G$3),I119,C119)</f>
        <v>0</v>
      </c>
      <c r="O119" s="1108">
        <f>+IF(OR($Q119=Parametres!$G$2,$Q119=Parametres!$G$3),J119,D119)</f>
        <v>-44087.37</v>
      </c>
      <c r="P119" s="155">
        <f>+IF(OR($Q119=Parametres!$G$2,$Q119=Parametres!$G$3),K119,E119)</f>
        <v>-44087.37</v>
      </c>
      <c r="Q119" s="154" t="str">
        <f t="shared" si="7"/>
        <v>5-Ventes</v>
      </c>
      <c r="R119" s="153" t="str">
        <f t="shared" si="8"/>
        <v>4405</v>
      </c>
      <c r="S119" s="154">
        <f t="shared" si="9"/>
        <v>0</v>
      </c>
      <c r="T119" s="156">
        <f>+VLOOKUP($L119,Data_Validation!$A:$D,1,0)</f>
        <v>4405</v>
      </c>
      <c r="U119" s="156" t="str">
        <f>+VLOOKUP($L119,Data_Validation!$A:$D,3,0)</f>
        <v>Service</v>
      </c>
      <c r="V119" s="156" t="str">
        <f>+VLOOKUP($L119,Data_Validation!$A:$D,4,0)</f>
        <v>M/O Interne</v>
      </c>
      <c r="W119" s="156" t="str">
        <f>+VLOOKUP($L119,Data_Validation!$A:$E,5,0)</f>
        <v>$</v>
      </c>
      <c r="X119" s="156" t="str">
        <f>+VLOOKUP($L119,Data_Validation!$A:$F,6,0)</f>
        <v>Oui</v>
      </c>
    </row>
    <row r="120" spans="1:24" ht="15" hidden="1" customHeight="1">
      <c r="A120" s="1163" t="s">
        <v>2048</v>
      </c>
      <c r="B120" s="1164" t="s">
        <v>2518</v>
      </c>
      <c r="C120" s="1165"/>
      <c r="D120" s="1165"/>
      <c r="E120" s="1165"/>
      <c r="F120" s="1163" t="s">
        <v>4</v>
      </c>
      <c r="G120" s="1163" t="s">
        <v>2049</v>
      </c>
      <c r="H120" s="1171"/>
      <c r="I120" s="1173">
        <v>0</v>
      </c>
      <c r="J120" s="1173">
        <v>-155</v>
      </c>
      <c r="K120" s="1173">
        <v>-155</v>
      </c>
      <c r="L120" s="153" t="str">
        <f t="shared" si="5"/>
        <v>4405@</v>
      </c>
      <c r="M120" s="154" t="str">
        <f t="shared" si="6"/>
        <v>M.O. MECANIQUE-VENTE INTERNE</v>
      </c>
      <c r="N120" s="155">
        <f>+IF(OR($Q120=Parametres!$G$2,$Q120=Parametres!$G$3),I120,C120)</f>
        <v>0</v>
      </c>
      <c r="O120" s="1108">
        <f>+IF(OR($Q120=Parametres!$G$2,$Q120=Parametres!$G$3),J120,D120)</f>
        <v>-155</v>
      </c>
      <c r="P120" s="155">
        <f>+IF(OR($Q120=Parametres!$G$2,$Q120=Parametres!$G$3),K120,E120)</f>
        <v>-155</v>
      </c>
      <c r="Q120" s="154" t="str">
        <f t="shared" si="7"/>
        <v>10-Compte compteur</v>
      </c>
      <c r="R120" s="153" t="str">
        <f t="shared" si="8"/>
        <v>4405</v>
      </c>
      <c r="S120" s="154">
        <f t="shared" si="9"/>
        <v>0</v>
      </c>
      <c r="T120" s="156" t="str">
        <f>+VLOOKUP($L120,Data_Validation!$A:$D,1,0)</f>
        <v>4405@</v>
      </c>
      <c r="U120" s="156" t="str">
        <f>+VLOOKUP($L120,Data_Validation!$A:$D,3,0)</f>
        <v>Service</v>
      </c>
      <c r="V120" s="156" t="str">
        <f>+VLOOKUP($L120,Data_Validation!$A:$D,4,0)</f>
        <v>M/O Interne</v>
      </c>
      <c r="W120" s="156" t="str">
        <f>+VLOOKUP($L120,Data_Validation!$A:$E,5,0)</f>
        <v>NB</v>
      </c>
      <c r="X120" s="156">
        <f>+VLOOKUP($L120,Data_Validation!$A:$F,6,0)</f>
        <v>0</v>
      </c>
    </row>
    <row r="121" spans="1:24" ht="15" hidden="1" customHeight="1">
      <c r="A121" s="1163" t="s">
        <v>2068</v>
      </c>
      <c r="B121" s="1164">
        <v>4451</v>
      </c>
      <c r="C121" s="1165">
        <v>0</v>
      </c>
      <c r="D121" s="1165">
        <v>-13151.54</v>
      </c>
      <c r="E121" s="1165">
        <v>-13151.54</v>
      </c>
      <c r="F121" s="1163" t="s">
        <v>285</v>
      </c>
      <c r="G121" s="1163" t="s">
        <v>2070</v>
      </c>
      <c r="H121" s="1171"/>
      <c r="I121" s="1171"/>
      <c r="J121" s="1171"/>
      <c r="K121" s="1171"/>
      <c r="L121" s="153">
        <f t="shared" si="5"/>
        <v>4451</v>
      </c>
      <c r="M121" s="154" t="str">
        <f t="shared" si="6"/>
        <v>CARBURANT/HUILE/GRAISSE</v>
      </c>
      <c r="N121" s="155">
        <f>+IF(OR($Q121=Parametres!$G$2,$Q121=Parametres!$G$3),I121,C121)</f>
        <v>0</v>
      </c>
      <c r="O121" s="1106">
        <f>+IF(OR($Q121=Parametres!$G$2,$Q121=Parametres!$G$3),J121,D121)</f>
        <v>-13151.54</v>
      </c>
      <c r="P121" s="155">
        <f>+IF(OR($Q121=Parametres!$G$2,$Q121=Parametres!$G$3),K121,E121)</f>
        <v>-13151.54</v>
      </c>
      <c r="Q121" s="154" t="str">
        <f t="shared" si="7"/>
        <v>5-Ventes</v>
      </c>
      <c r="R121" s="153" t="str">
        <f t="shared" si="8"/>
        <v>4782</v>
      </c>
      <c r="S121" s="154">
        <f t="shared" si="9"/>
        <v>0</v>
      </c>
      <c r="T121" s="156">
        <f>+VLOOKUP($L121,Data_Validation!$A:$D,1,0)</f>
        <v>4451</v>
      </c>
      <c r="U121" s="156" t="str">
        <f>+VLOOKUP($L121,Data_Validation!$A:$D,3,0)</f>
        <v>Pièces</v>
      </c>
      <c r="V121" s="156" t="str">
        <f>+VLOOKUP($L121,Data_Validation!$A:$D,4,0)</f>
        <v>Huiles et Graisse</v>
      </c>
      <c r="W121" s="156" t="str">
        <f>+VLOOKUP($L121,Data_Validation!$A:$E,5,0)</f>
        <v>$</v>
      </c>
      <c r="X121" s="156" t="str">
        <f>+VLOOKUP($L121,Data_Validation!$A:$F,6,0)</f>
        <v>Oui</v>
      </c>
    </row>
    <row r="122" spans="1:24" ht="15" hidden="1" customHeight="1">
      <c r="A122" s="1163" t="s">
        <v>2068</v>
      </c>
      <c r="B122" s="1164" t="s">
        <v>2521</v>
      </c>
      <c r="C122" s="1165"/>
      <c r="D122" s="1165"/>
      <c r="E122" s="1165"/>
      <c r="F122" s="1163" t="s">
        <v>4</v>
      </c>
      <c r="G122" s="1163" t="s">
        <v>2070</v>
      </c>
      <c r="H122" s="1171"/>
      <c r="I122" s="1173">
        <v>0</v>
      </c>
      <c r="J122" s="1173">
        <v>-247</v>
      </c>
      <c r="K122" s="1173">
        <v>-247</v>
      </c>
      <c r="L122" s="153" t="str">
        <f t="shared" si="5"/>
        <v>4451@</v>
      </c>
      <c r="M122" s="154" t="str">
        <f t="shared" si="6"/>
        <v>CARBURANT/HUILE/GRAISSE</v>
      </c>
      <c r="N122" s="155">
        <f>+IF(OR($Q122=Parametres!$G$2,$Q122=Parametres!$G$3),I122,C122)</f>
        <v>0</v>
      </c>
      <c r="O122" s="1108">
        <f>+IF(OR($Q122=Parametres!$G$2,$Q122=Parametres!$G$3),J122,D122)</f>
        <v>-247</v>
      </c>
      <c r="P122" s="155">
        <f>+IF(OR($Q122=Parametres!$G$2,$Q122=Parametres!$G$3),K122,E122)</f>
        <v>-247</v>
      </c>
      <c r="Q122" s="154" t="str">
        <f t="shared" si="7"/>
        <v>10-Compte compteur</v>
      </c>
      <c r="R122" s="153" t="str">
        <f t="shared" si="8"/>
        <v>4782</v>
      </c>
      <c r="S122" s="154">
        <f t="shared" si="9"/>
        <v>0</v>
      </c>
      <c r="T122" s="156" t="str">
        <f>+VLOOKUP($L122,Data_Validation!$A:$D,1,0)</f>
        <v>4451@</v>
      </c>
      <c r="U122" s="156" t="str">
        <f>+VLOOKUP($L122,Data_Validation!$A:$D,3,0)</f>
        <v>Pièces</v>
      </c>
      <c r="V122" s="156" t="str">
        <f>+VLOOKUP($L122,Data_Validation!$A:$D,4,0)</f>
        <v>Huiles et Graisse</v>
      </c>
      <c r="W122" s="156" t="str">
        <f>+VLOOKUP($L122,Data_Validation!$A:$E,5,0)</f>
        <v>NB</v>
      </c>
      <c r="X122" s="156">
        <f>+VLOOKUP($L122,Data_Validation!$A:$F,6,0)</f>
        <v>0</v>
      </c>
    </row>
    <row r="123" spans="1:24" ht="15.75" hidden="1" customHeight="1">
      <c r="A123" s="1163" t="s">
        <v>2141</v>
      </c>
      <c r="B123" s="1164">
        <v>4491</v>
      </c>
      <c r="C123" s="1165">
        <v>0</v>
      </c>
      <c r="D123" s="1165">
        <v>-513.65</v>
      </c>
      <c r="E123" s="1165">
        <v>-513.65</v>
      </c>
      <c r="F123" s="1163" t="s">
        <v>285</v>
      </c>
      <c r="G123" s="1163" t="s">
        <v>2142</v>
      </c>
      <c r="H123" s="1171"/>
      <c r="I123" s="1171"/>
      <c r="J123" s="1171"/>
      <c r="K123" s="1171"/>
      <c r="L123" s="153">
        <f t="shared" si="5"/>
        <v>4491</v>
      </c>
      <c r="M123" s="154" t="str">
        <f t="shared" si="6"/>
        <v>REPARATION SOUS-LOC. - GENERAL</v>
      </c>
      <c r="N123" s="155">
        <f>+IF(OR($Q123=Parametres!$G$2,$Q123=Parametres!$G$3),I123,C123)</f>
        <v>0</v>
      </c>
      <c r="O123" s="1106">
        <f>+IF(OR($Q123=Parametres!$G$2,$Q123=Parametres!$G$3),J123,D123)</f>
        <v>-513.65</v>
      </c>
      <c r="P123" s="155">
        <f>+IF(OR($Q123=Parametres!$G$2,$Q123=Parametres!$G$3),K123,E123)</f>
        <v>-513.65</v>
      </c>
      <c r="Q123" s="154" t="str">
        <f t="shared" si="7"/>
        <v>5-Ventes</v>
      </c>
      <c r="R123" s="153" t="str">
        <f t="shared" si="8"/>
        <v>4491</v>
      </c>
      <c r="S123" s="154">
        <f t="shared" si="9"/>
        <v>0</v>
      </c>
      <c r="T123" s="156">
        <f>+VLOOKUP($L123,Data_Validation!$A:$D,1,0)</f>
        <v>4491</v>
      </c>
      <c r="U123" s="156" t="str">
        <f>+VLOOKUP($L123,Data_Validation!$A:$D,3,0)</f>
        <v>Service</v>
      </c>
      <c r="V123" s="156" t="str">
        <f>+VLOOKUP($L123,Data_Validation!$A:$D,4,0)</f>
        <v>Sous-traitement</v>
      </c>
      <c r="W123" s="156" t="str">
        <f>+VLOOKUP($L123,Data_Validation!$A:$E,5,0)</f>
        <v>$</v>
      </c>
      <c r="X123" s="156" t="str">
        <f>+VLOOKUP($L123,Data_Validation!$A:$F,6,0)</f>
        <v>Oui</v>
      </c>
    </row>
    <row r="124" spans="1:24" ht="15" hidden="1" customHeight="1">
      <c r="A124" s="1163" t="s">
        <v>2141</v>
      </c>
      <c r="B124" s="1164" t="s">
        <v>2522</v>
      </c>
      <c r="C124" s="1165"/>
      <c r="D124" s="1165"/>
      <c r="E124" s="1165"/>
      <c r="F124" s="1163" t="s">
        <v>4</v>
      </c>
      <c r="G124" s="1163" t="s">
        <v>2142</v>
      </c>
      <c r="H124" s="1171"/>
      <c r="I124" s="1173">
        <v>0</v>
      </c>
      <c r="J124" s="1173">
        <v>-5</v>
      </c>
      <c r="K124" s="1173">
        <v>-5</v>
      </c>
      <c r="L124" s="153" t="str">
        <f t="shared" si="5"/>
        <v>4491@</v>
      </c>
      <c r="M124" s="154" t="str">
        <f t="shared" si="6"/>
        <v>REPARATION SOUS-LOC. - GENERAL</v>
      </c>
      <c r="N124" s="155">
        <f>+IF(OR($Q124=Parametres!$G$2,$Q124=Parametres!$G$3),I124,C124)</f>
        <v>0</v>
      </c>
      <c r="O124" s="1108">
        <f>+IF(OR($Q124=Parametres!$G$2,$Q124=Parametres!$G$3),J124,D124)</f>
        <v>-5</v>
      </c>
      <c r="P124" s="155">
        <f>+IF(OR($Q124=Parametres!$G$2,$Q124=Parametres!$G$3),K124,E124)</f>
        <v>-5</v>
      </c>
      <c r="Q124" s="154" t="str">
        <f t="shared" si="7"/>
        <v>10-Compte compteur</v>
      </c>
      <c r="R124" s="153" t="str">
        <f t="shared" si="8"/>
        <v>4491</v>
      </c>
      <c r="S124" s="154">
        <f t="shared" si="9"/>
        <v>0</v>
      </c>
      <c r="T124" s="156" t="str">
        <f>+VLOOKUP($L124,Data_Validation!$A:$D,1,0)</f>
        <v>4491@</v>
      </c>
      <c r="U124" s="156" t="str">
        <f>+VLOOKUP($L124,Data_Validation!$A:$D,3,0)</f>
        <v>Service</v>
      </c>
      <c r="V124" s="156" t="str">
        <f>+VLOOKUP($L124,Data_Validation!$A:$D,4,0)</f>
        <v>Sous-traitement</v>
      </c>
      <c r="W124" s="156" t="str">
        <f>+VLOOKUP($L124,Data_Validation!$A:$E,5,0)</f>
        <v>NB</v>
      </c>
      <c r="X124" s="156">
        <f>+VLOOKUP($L124,Data_Validation!$A:$F,6,0)</f>
        <v>0</v>
      </c>
    </row>
    <row r="125" spans="1:24" ht="15" hidden="1" customHeight="1">
      <c r="A125" s="1163" t="s">
        <v>2164</v>
      </c>
      <c r="B125" s="1164">
        <v>4493</v>
      </c>
      <c r="C125" s="1165">
        <v>0</v>
      </c>
      <c r="D125" s="1165">
        <v>-3332.54</v>
      </c>
      <c r="E125" s="1165">
        <v>-3332.54</v>
      </c>
      <c r="F125" s="1163" t="s">
        <v>285</v>
      </c>
      <c r="G125" s="1163" t="s">
        <v>2165</v>
      </c>
      <c r="H125" s="1171"/>
      <c r="I125" s="1171"/>
      <c r="J125" s="1171"/>
      <c r="K125" s="1171"/>
      <c r="L125" s="153">
        <f t="shared" si="5"/>
        <v>4493</v>
      </c>
      <c r="M125" s="154" t="str">
        <f t="shared" si="6"/>
        <v>VTE - SOUS-TRAITANCE GARANTIE</v>
      </c>
      <c r="N125" s="155">
        <f>+IF(OR($Q125=Parametres!$G$2,$Q125=Parametres!$G$3),I125,C125)</f>
        <v>0</v>
      </c>
      <c r="O125" s="1108">
        <f>+IF(OR($Q125=Parametres!$G$2,$Q125=Parametres!$G$3),J125,D125)</f>
        <v>-3332.54</v>
      </c>
      <c r="P125" s="155">
        <f>+IF(OR($Q125=Parametres!$G$2,$Q125=Parametres!$G$3),K125,E125)</f>
        <v>-3332.54</v>
      </c>
      <c r="Q125" s="154" t="str">
        <f t="shared" si="7"/>
        <v>5-Ventes</v>
      </c>
      <c r="R125" s="153" t="str">
        <f t="shared" si="8"/>
        <v>4493</v>
      </c>
      <c r="S125" s="154">
        <f t="shared" si="9"/>
        <v>0</v>
      </c>
      <c r="T125" s="156">
        <f>+VLOOKUP($L125,Data_Validation!$A:$D,1,0)</f>
        <v>4493</v>
      </c>
      <c r="U125" s="156" t="str">
        <f>+VLOOKUP($L125,Data_Validation!$A:$D,3,0)</f>
        <v>Service</v>
      </c>
      <c r="V125" s="156" t="str">
        <f>+VLOOKUP($L125,Data_Validation!$A:$D,4,0)</f>
        <v>Sous-traitement</v>
      </c>
      <c r="W125" s="156" t="str">
        <f>+VLOOKUP($L125,Data_Validation!$A:$E,5,0)</f>
        <v>$</v>
      </c>
      <c r="X125" s="156" t="str">
        <f>+VLOOKUP($L125,Data_Validation!$A:$F,6,0)</f>
        <v>Oui</v>
      </c>
    </row>
    <row r="126" spans="1:24" ht="15" hidden="1" customHeight="1">
      <c r="A126" s="1163" t="s">
        <v>2523</v>
      </c>
      <c r="B126" s="1164" t="s">
        <v>2524</v>
      </c>
      <c r="C126" s="1165"/>
      <c r="D126" s="1165"/>
      <c r="E126" s="1165"/>
      <c r="F126" s="1163" t="s">
        <v>4</v>
      </c>
      <c r="G126" s="1163" t="s">
        <v>2165</v>
      </c>
      <c r="H126" s="1171"/>
      <c r="I126" s="1173">
        <v>0</v>
      </c>
      <c r="J126" s="1173">
        <v>-5</v>
      </c>
      <c r="K126" s="1173">
        <v>-5</v>
      </c>
      <c r="L126" s="153" t="str">
        <f t="shared" si="5"/>
        <v>4493@</v>
      </c>
      <c r="M126" s="154" t="str">
        <f t="shared" si="6"/>
        <v># DE VTE - SOUS-TRAITANCE GARANTIE</v>
      </c>
      <c r="N126" s="155">
        <f>+IF(OR($Q126=Parametres!$G$2,$Q126=Parametres!$G$3),I126,C126)</f>
        <v>0</v>
      </c>
      <c r="O126" s="1108">
        <f>+IF(OR($Q126=Parametres!$G$2,$Q126=Parametres!$G$3),J126,D126)</f>
        <v>-5</v>
      </c>
      <c r="P126" s="155">
        <f>+IF(OR($Q126=Parametres!$G$2,$Q126=Parametres!$G$3),K126,E126)</f>
        <v>-5</v>
      </c>
      <c r="Q126" s="154" t="str">
        <f t="shared" si="7"/>
        <v>10-Compte compteur</v>
      </c>
      <c r="R126" s="153" t="str">
        <f t="shared" si="8"/>
        <v>4493</v>
      </c>
      <c r="S126" s="154">
        <f t="shared" si="9"/>
        <v>0</v>
      </c>
      <c r="T126" s="156" t="str">
        <f>+VLOOKUP($L126,Data_Validation!$A:$D,1,0)</f>
        <v>4493@</v>
      </c>
      <c r="U126" s="156" t="str">
        <f>+VLOOKUP($L126,Data_Validation!$A:$D,3,0)</f>
        <v>Service</v>
      </c>
      <c r="V126" s="156" t="str">
        <f>+VLOOKUP($L126,Data_Validation!$A:$D,4,0)</f>
        <v>Sous-traitement</v>
      </c>
      <c r="W126" s="156" t="str">
        <f>+VLOOKUP($L126,Data_Validation!$A:$E,5,0)</f>
        <v>NB</v>
      </c>
      <c r="X126" s="156">
        <f>+VLOOKUP($L126,Data_Validation!$A:$F,6,0)</f>
        <v>0</v>
      </c>
    </row>
    <row r="127" spans="1:24" ht="15" hidden="1" customHeight="1">
      <c r="A127" s="1163" t="s">
        <v>2083</v>
      </c>
      <c r="B127" s="1164">
        <v>4495</v>
      </c>
      <c r="C127" s="1165">
        <v>0</v>
      </c>
      <c r="D127" s="1165">
        <v>-12822.25</v>
      </c>
      <c r="E127" s="1165">
        <v>-12822.25</v>
      </c>
      <c r="F127" s="1163" t="s">
        <v>285</v>
      </c>
      <c r="G127" s="1163" t="s">
        <v>2084</v>
      </c>
      <c r="H127" s="1168"/>
      <c r="I127" s="1170"/>
      <c r="J127" s="1170"/>
      <c r="K127" s="1170"/>
      <c r="L127" s="153">
        <f t="shared" si="5"/>
        <v>4495</v>
      </c>
      <c r="M127" s="154" t="str">
        <f t="shared" si="6"/>
        <v>VTE - S-TRAITANCE MEC.INTERNE VW</v>
      </c>
      <c r="N127" s="155">
        <f>+IF(OR($Q127=Parametres!$G$2,$Q127=Parametres!$G$3),I127,C127)</f>
        <v>0</v>
      </c>
      <c r="O127" s="1108">
        <f>+IF(OR($Q127=Parametres!$G$2,$Q127=Parametres!$G$3),J127,D127)</f>
        <v>-12822.25</v>
      </c>
      <c r="P127" s="155">
        <f>+IF(OR($Q127=Parametres!$G$2,$Q127=Parametres!$G$3),K127,E127)</f>
        <v>-12822.25</v>
      </c>
      <c r="Q127" s="154" t="str">
        <f t="shared" si="7"/>
        <v>5-Ventes</v>
      </c>
      <c r="R127" s="153" t="str">
        <f t="shared" si="8"/>
        <v>4495</v>
      </c>
      <c r="S127" s="154">
        <f t="shared" si="9"/>
        <v>0</v>
      </c>
      <c r="T127" s="156">
        <f>+VLOOKUP($L127,Data_Validation!$A:$D,1,0)</f>
        <v>4495</v>
      </c>
      <c r="U127" s="156" t="str">
        <f>+VLOOKUP($L127,Data_Validation!$A:$D,3,0)</f>
        <v>Service</v>
      </c>
      <c r="V127" s="156" t="str">
        <f>+VLOOKUP($L127,Data_Validation!$A:$D,4,0)</f>
        <v>Sous-traitement</v>
      </c>
      <c r="W127" s="156" t="str">
        <f>+VLOOKUP($L127,Data_Validation!$A:$E,5,0)</f>
        <v>$</v>
      </c>
      <c r="X127" s="156" t="str">
        <f>+VLOOKUP($L127,Data_Validation!$A:$F,6,0)</f>
        <v>Oui</v>
      </c>
    </row>
    <row r="128" spans="1:24" ht="15" hidden="1" customHeight="1">
      <c r="A128" s="1163" t="s">
        <v>2525</v>
      </c>
      <c r="B128" s="1164" t="s">
        <v>2526</v>
      </c>
      <c r="C128" s="1165"/>
      <c r="D128" s="1165"/>
      <c r="E128" s="1165"/>
      <c r="F128" s="1163" t="s">
        <v>4</v>
      </c>
      <c r="G128" s="1163" t="s">
        <v>2084</v>
      </c>
      <c r="H128" s="1175"/>
      <c r="I128" s="1178">
        <v>0</v>
      </c>
      <c r="J128" s="1178">
        <v>-58</v>
      </c>
      <c r="K128" s="1178">
        <v>-58</v>
      </c>
      <c r="L128" s="153" t="str">
        <f t="shared" si="5"/>
        <v>4495@</v>
      </c>
      <c r="M128" s="154" t="str">
        <f t="shared" si="6"/>
        <v># DE VTE - S-TRAITANCE MEC.INTERNE VW</v>
      </c>
      <c r="N128" s="155">
        <f>+IF(OR($Q128=Parametres!$G$2,$Q128=Parametres!$G$3),I128,C128)</f>
        <v>0</v>
      </c>
      <c r="O128" s="1108">
        <f>+IF(OR($Q128=Parametres!$G$2,$Q128=Parametres!$G$3),J128,D128)</f>
        <v>-58</v>
      </c>
      <c r="P128" s="155">
        <f>+IF(OR($Q128=Parametres!$G$2,$Q128=Parametres!$G$3),K128,E128)</f>
        <v>-58</v>
      </c>
      <c r="Q128" s="154" t="str">
        <f t="shared" si="7"/>
        <v>10-Compte compteur</v>
      </c>
      <c r="R128" s="153" t="str">
        <f t="shared" si="8"/>
        <v>4495</v>
      </c>
      <c r="S128" s="154">
        <f t="shared" si="9"/>
        <v>0</v>
      </c>
      <c r="T128" s="156" t="str">
        <f>+VLOOKUP($L128,Data_Validation!$A:$D,1,0)</f>
        <v>4495@</v>
      </c>
      <c r="U128" s="156" t="str">
        <f>+VLOOKUP($L128,Data_Validation!$A:$D,3,0)</f>
        <v>Service</v>
      </c>
      <c r="V128" s="156" t="str">
        <f>+VLOOKUP($L128,Data_Validation!$A:$D,4,0)</f>
        <v>Sous-traitement</v>
      </c>
      <c r="W128" s="156" t="str">
        <f>+VLOOKUP($L128,Data_Validation!$A:$E,5,0)</f>
        <v>NB</v>
      </c>
      <c r="X128" s="156">
        <f>+VLOOKUP($L128,Data_Validation!$A:$F,6,0)</f>
        <v>0</v>
      </c>
    </row>
    <row r="129" spans="1:24" ht="15" hidden="1" customHeight="1">
      <c r="A129" s="1163" t="s">
        <v>2066</v>
      </c>
      <c r="B129" s="1164">
        <v>4591</v>
      </c>
      <c r="C129" s="1165">
        <v>0</v>
      </c>
      <c r="D129" s="1165">
        <v>-32172.81</v>
      </c>
      <c r="E129" s="1165">
        <v>-32172.81</v>
      </c>
      <c r="F129" s="1163" t="s">
        <v>285</v>
      </c>
      <c r="G129" s="1163" t="s">
        <v>2067</v>
      </c>
      <c r="H129" s="1168"/>
      <c r="I129" s="1170"/>
      <c r="J129" s="1170"/>
      <c r="K129" s="1170"/>
      <c r="L129" s="153">
        <f t="shared" si="5"/>
        <v>4591</v>
      </c>
      <c r="M129" s="154" t="str">
        <f t="shared" si="6"/>
        <v>VTE - S-TRAIT. CARR.</v>
      </c>
      <c r="N129" s="155">
        <f>+IF(OR($Q129=Parametres!$G$2,$Q129=Parametres!$G$3),I129,C129)</f>
        <v>0</v>
      </c>
      <c r="O129" s="1108">
        <f>+IF(OR($Q129=Parametres!$G$2,$Q129=Parametres!$G$3),J129,D129)</f>
        <v>-32172.81</v>
      </c>
      <c r="P129" s="155">
        <f>+IF(OR($Q129=Parametres!$G$2,$Q129=Parametres!$G$3),K129,E129)</f>
        <v>-32172.81</v>
      </c>
      <c r="Q129" s="154" t="str">
        <f t="shared" si="7"/>
        <v>5-Ventes</v>
      </c>
      <c r="R129" s="153" t="str">
        <f t="shared" si="8"/>
        <v>4591</v>
      </c>
      <c r="S129" s="154">
        <f t="shared" si="9"/>
        <v>0</v>
      </c>
      <c r="T129" s="156">
        <f>+VLOOKUP($L129,Data_Validation!$A:$D,1,0)</f>
        <v>4591</v>
      </c>
      <c r="U129" s="156" t="str">
        <f>+VLOOKUP($L129,Data_Validation!$A:$D,3,0)</f>
        <v>Carrosserie</v>
      </c>
      <c r="V129" s="156" t="str">
        <f>+VLOOKUP($L129,Data_Validation!$A:$D,4,0)</f>
        <v>M/O Sous-traitement</v>
      </c>
      <c r="W129" s="156" t="str">
        <f>+VLOOKUP($L129,Data_Validation!$A:$E,5,0)</f>
        <v>$</v>
      </c>
      <c r="X129" s="156" t="str">
        <f>+VLOOKUP($L129,Data_Validation!$A:$F,6,0)</f>
        <v>Oui</v>
      </c>
    </row>
    <row r="130" spans="1:24" ht="15" hidden="1" customHeight="1">
      <c r="A130" s="1163" t="s">
        <v>2527</v>
      </c>
      <c r="B130" s="1164" t="s">
        <v>2528</v>
      </c>
      <c r="C130" s="1165"/>
      <c r="D130" s="1165"/>
      <c r="E130" s="1165"/>
      <c r="F130" s="1163" t="s">
        <v>4</v>
      </c>
      <c r="G130" s="1163" t="s">
        <v>2067</v>
      </c>
      <c r="H130" s="1171"/>
      <c r="I130" s="1171">
        <v>0</v>
      </c>
      <c r="J130" s="1171">
        <v>-16</v>
      </c>
      <c r="K130" s="1171">
        <v>-16</v>
      </c>
      <c r="L130" s="153" t="str">
        <f t="shared" ref="L130:L193" si="10">+B130</f>
        <v>4591@</v>
      </c>
      <c r="M130" s="154" t="str">
        <f t="shared" ref="M130:M193" si="11">+A130</f>
        <v>REPARATION SOUS-LOC.-PEINT/DEB</v>
      </c>
      <c r="N130" s="155">
        <f>+IF(OR($Q130=Parametres!$G$2,$Q130=Parametres!$G$3),I130,C130)</f>
        <v>0</v>
      </c>
      <c r="O130" s="1108">
        <f>+IF(OR($Q130=Parametres!$G$2,$Q130=Parametres!$G$3),J130,D130)</f>
        <v>-16</v>
      </c>
      <c r="P130" s="155">
        <f>+IF(OR($Q130=Parametres!$G$2,$Q130=Parametres!$G$3),K130,E130)</f>
        <v>-16</v>
      </c>
      <c r="Q130" s="154" t="str">
        <f t="shared" ref="Q130:Q193" si="12">+F130</f>
        <v>10-Compte compteur</v>
      </c>
      <c r="R130" s="153" t="str">
        <f t="shared" ref="R130:R193" si="13">+G130</f>
        <v>4591</v>
      </c>
      <c r="S130" s="154">
        <f t="shared" ref="S130:S193" si="14">+H130</f>
        <v>0</v>
      </c>
      <c r="T130" s="156" t="str">
        <f>+VLOOKUP($L130,Data_Validation!$A:$D,1,0)</f>
        <v>4591@</v>
      </c>
      <c r="U130" s="156" t="str">
        <f>+VLOOKUP($L130,Data_Validation!$A:$D,3,0)</f>
        <v>Carrosserie</v>
      </c>
      <c r="V130" s="156" t="str">
        <f>+VLOOKUP($L130,Data_Validation!$A:$D,4,0)</f>
        <v>M/O Sous-traitement</v>
      </c>
      <c r="W130" s="156" t="str">
        <f>+VLOOKUP($L130,Data_Validation!$A:$E,5,0)</f>
        <v>NB</v>
      </c>
      <c r="X130" s="156">
        <f>+VLOOKUP($L130,Data_Validation!$A:$F,6,0)</f>
        <v>0</v>
      </c>
    </row>
    <row r="131" spans="1:24" ht="15.75" hidden="1" customHeight="1">
      <c r="A131" s="1163" t="s">
        <v>2064</v>
      </c>
      <c r="B131" s="1164">
        <v>4593</v>
      </c>
      <c r="C131" s="1165">
        <v>0</v>
      </c>
      <c r="D131" s="1165">
        <v>-52709.04</v>
      </c>
      <c r="E131" s="1165">
        <v>-52709.04</v>
      </c>
      <c r="F131" s="1163" t="s">
        <v>285</v>
      </c>
      <c r="G131" s="1163" t="s">
        <v>2065</v>
      </c>
      <c r="H131" s="1171"/>
      <c r="I131" s="1171"/>
      <c r="J131" s="1171"/>
      <c r="K131" s="1171"/>
      <c r="L131" s="153">
        <f t="shared" si="10"/>
        <v>4593</v>
      </c>
      <c r="M131" s="154" t="str">
        <f t="shared" si="11"/>
        <v>VTE - SOUS-TRAITANCE GARANTIE CARR.</v>
      </c>
      <c r="N131" s="155">
        <f>+IF(OR($Q131=Parametres!$G$2,$Q131=Parametres!$G$3),I131,C131)</f>
        <v>0</v>
      </c>
      <c r="O131" s="1106">
        <f>+IF(OR($Q131=Parametres!$G$2,$Q131=Parametres!$G$3),J131,D131)</f>
        <v>-52709.04</v>
      </c>
      <c r="P131" s="155">
        <f>+IF(OR($Q131=Parametres!$G$2,$Q131=Parametres!$G$3),K131,E131)</f>
        <v>-52709.04</v>
      </c>
      <c r="Q131" s="154" t="str">
        <f t="shared" si="12"/>
        <v>5-Ventes</v>
      </c>
      <c r="R131" s="153" t="str">
        <f t="shared" si="13"/>
        <v>4593</v>
      </c>
      <c r="S131" s="154">
        <f t="shared" si="14"/>
        <v>0</v>
      </c>
      <c r="T131" s="156">
        <f>+VLOOKUP($L131,Data_Validation!$A:$D,1,0)</f>
        <v>4593</v>
      </c>
      <c r="U131" s="156" t="str">
        <f>+VLOOKUP($L131,Data_Validation!$A:$D,3,0)</f>
        <v>Carrosserie</v>
      </c>
      <c r="V131" s="156" t="str">
        <f>+VLOOKUP($L131,Data_Validation!$A:$D,4,0)</f>
        <v>M/O Sous-traitement</v>
      </c>
      <c r="W131" s="156" t="str">
        <f>+VLOOKUP($L131,Data_Validation!$A:$E,5,0)</f>
        <v>$</v>
      </c>
      <c r="X131" s="156" t="str">
        <f>+VLOOKUP($L131,Data_Validation!$A:$F,6,0)</f>
        <v>Oui</v>
      </c>
    </row>
    <row r="132" spans="1:24" ht="15" hidden="1" customHeight="1">
      <c r="A132" s="1163" t="s">
        <v>2529</v>
      </c>
      <c r="B132" s="1164" t="s">
        <v>2530</v>
      </c>
      <c r="C132" s="1165"/>
      <c r="D132" s="1165"/>
      <c r="E132" s="1165"/>
      <c r="F132" s="1163" t="s">
        <v>4</v>
      </c>
      <c r="G132" s="1163" t="s">
        <v>2065</v>
      </c>
      <c r="H132" s="1171"/>
      <c r="I132" s="1171">
        <v>0</v>
      </c>
      <c r="J132" s="1171">
        <v>-27</v>
      </c>
      <c r="K132" s="1171">
        <v>-27</v>
      </c>
      <c r="L132" s="153" t="str">
        <f t="shared" si="10"/>
        <v>4593@</v>
      </c>
      <c r="M132" s="154" t="str">
        <f t="shared" si="11"/>
        <v># DE VTE - S-TRAITANCE GAR.CARR.</v>
      </c>
      <c r="N132" s="155">
        <f>+IF(OR($Q132=Parametres!$G$2,$Q132=Parametres!$G$3),I132,C132)</f>
        <v>0</v>
      </c>
      <c r="O132" s="1108">
        <f>+IF(OR($Q132=Parametres!$G$2,$Q132=Parametres!$G$3),J132,D132)</f>
        <v>-27</v>
      </c>
      <c r="P132" s="155">
        <f>+IF(OR($Q132=Parametres!$G$2,$Q132=Parametres!$G$3),K132,E132)</f>
        <v>-27</v>
      </c>
      <c r="Q132" s="154" t="str">
        <f t="shared" si="12"/>
        <v>10-Compte compteur</v>
      </c>
      <c r="R132" s="153" t="str">
        <f t="shared" si="13"/>
        <v>4593</v>
      </c>
      <c r="S132" s="154">
        <f t="shared" si="14"/>
        <v>0</v>
      </c>
      <c r="T132" s="156" t="str">
        <f>+VLOOKUP($L132,Data_Validation!$A:$D,1,0)</f>
        <v>4593@</v>
      </c>
      <c r="U132" s="156" t="str">
        <f>+VLOOKUP($L132,Data_Validation!$A:$D,3,0)</f>
        <v>Carrosserie</v>
      </c>
      <c r="V132" s="156" t="str">
        <f>+VLOOKUP($L132,Data_Validation!$A:$D,4,0)</f>
        <v>M/O Sous-traitement</v>
      </c>
      <c r="W132" s="156" t="str">
        <f>+VLOOKUP($L132,Data_Validation!$A:$E,5,0)</f>
        <v>NB</v>
      </c>
      <c r="X132" s="156">
        <f>+VLOOKUP($L132,Data_Validation!$A:$F,6,0)</f>
        <v>0</v>
      </c>
    </row>
    <row r="133" spans="1:24" ht="15" hidden="1" customHeight="1">
      <c r="A133" s="1163" t="s">
        <v>2097</v>
      </c>
      <c r="B133" s="1164">
        <v>4595</v>
      </c>
      <c r="C133" s="1165">
        <v>0</v>
      </c>
      <c r="D133" s="1165">
        <v>-3649.29</v>
      </c>
      <c r="E133" s="1165">
        <v>-3649.29</v>
      </c>
      <c r="F133" s="1163" t="s">
        <v>285</v>
      </c>
      <c r="G133" s="1163" t="s">
        <v>2098</v>
      </c>
      <c r="H133" s="1171"/>
      <c r="I133" s="1173"/>
      <c r="J133" s="1173"/>
      <c r="K133" s="1173"/>
      <c r="L133" s="153">
        <f t="shared" si="10"/>
        <v>4595</v>
      </c>
      <c r="M133" s="154" t="str">
        <f t="shared" si="11"/>
        <v>VTE - SOUS-TRAITANCE INTERNE CARR.</v>
      </c>
      <c r="N133" s="155">
        <f>+IF(OR($Q133=Parametres!$G$2,$Q133=Parametres!$G$3),I133,C133)</f>
        <v>0</v>
      </c>
      <c r="O133" s="1108">
        <f>+IF(OR($Q133=Parametres!$G$2,$Q133=Parametres!$G$3),J133,D133)</f>
        <v>-3649.29</v>
      </c>
      <c r="P133" s="155">
        <f>+IF(OR($Q133=Parametres!$G$2,$Q133=Parametres!$G$3),K133,E133)</f>
        <v>-3649.29</v>
      </c>
      <c r="Q133" s="154" t="str">
        <f t="shared" si="12"/>
        <v>5-Ventes</v>
      </c>
      <c r="R133" s="153" t="str">
        <f t="shared" si="13"/>
        <v>4595</v>
      </c>
      <c r="S133" s="154">
        <f t="shared" si="14"/>
        <v>0</v>
      </c>
      <c r="T133" s="156">
        <f>+VLOOKUP($L133,Data_Validation!$A:$D,1,0)</f>
        <v>4595</v>
      </c>
      <c r="U133" s="156" t="str">
        <f>+VLOOKUP($L133,Data_Validation!$A:$D,3,0)</f>
        <v>Carrosserie</v>
      </c>
      <c r="V133" s="156" t="str">
        <f>+VLOOKUP($L133,Data_Validation!$A:$D,4,0)</f>
        <v>M/O Sous-traitement</v>
      </c>
      <c r="W133" s="156" t="str">
        <f>+VLOOKUP($L133,Data_Validation!$A:$E,5,0)</f>
        <v>$</v>
      </c>
      <c r="X133" s="156" t="str">
        <f>+VLOOKUP($L133,Data_Validation!$A:$F,6,0)</f>
        <v>Oui</v>
      </c>
    </row>
    <row r="134" spans="1:24" ht="15" hidden="1" customHeight="1">
      <c r="A134" s="1163" t="s">
        <v>2531</v>
      </c>
      <c r="B134" s="1164" t="s">
        <v>2532</v>
      </c>
      <c r="C134" s="1165"/>
      <c r="D134" s="1165"/>
      <c r="E134" s="1165"/>
      <c r="F134" s="1163" t="s">
        <v>4</v>
      </c>
      <c r="G134" s="1163" t="s">
        <v>2098</v>
      </c>
      <c r="H134" s="1168"/>
      <c r="I134" s="1174">
        <v>0</v>
      </c>
      <c r="J134" s="1174">
        <v>-6</v>
      </c>
      <c r="K134" s="1174">
        <v>-6</v>
      </c>
      <c r="L134" s="153" t="str">
        <f t="shared" si="10"/>
        <v>4595@</v>
      </c>
      <c r="M134" s="154" t="str">
        <f t="shared" si="11"/>
        <v># DE VTE - S-TRAIT.INTERNE CARR.</v>
      </c>
      <c r="N134" s="155">
        <f>+IF(OR($Q134=Parametres!$G$2,$Q134=Parametres!$G$3),I134,C134)</f>
        <v>0</v>
      </c>
      <c r="O134" s="1108">
        <f>+IF(OR($Q134=Parametres!$G$2,$Q134=Parametres!$G$3),J134,D134)</f>
        <v>-6</v>
      </c>
      <c r="P134" s="155">
        <f>+IF(OR($Q134=Parametres!$G$2,$Q134=Parametres!$G$3),K134,E134)</f>
        <v>-6</v>
      </c>
      <c r="Q134" s="154" t="str">
        <f t="shared" si="12"/>
        <v>10-Compte compteur</v>
      </c>
      <c r="R134" s="153" t="str">
        <f t="shared" si="13"/>
        <v>4595</v>
      </c>
      <c r="S134" s="154">
        <f t="shared" si="14"/>
        <v>0</v>
      </c>
      <c r="T134" s="156" t="str">
        <f>+VLOOKUP($L134,Data_Validation!$A:$D,1,0)</f>
        <v>4595@</v>
      </c>
      <c r="U134" s="156" t="str">
        <f>+VLOOKUP($L134,Data_Validation!$A:$D,3,0)</f>
        <v>Carrosserie</v>
      </c>
      <c r="V134" s="156" t="str">
        <f>+VLOOKUP($L134,Data_Validation!$A:$D,4,0)</f>
        <v>M/O Sous-traitement</v>
      </c>
      <c r="W134" s="156" t="str">
        <f>+VLOOKUP($L134,Data_Validation!$A:$E,5,0)</f>
        <v>NB</v>
      </c>
      <c r="X134" s="156">
        <f>+VLOOKUP($L134,Data_Validation!$A:$F,6,0)</f>
        <v>0</v>
      </c>
    </row>
    <row r="135" spans="1:24" ht="15.75" hidden="1" customHeight="1">
      <c r="A135" s="1163" t="s">
        <v>2020</v>
      </c>
      <c r="B135" s="1164">
        <v>4701</v>
      </c>
      <c r="C135" s="1165">
        <v>0</v>
      </c>
      <c r="D135" s="1165">
        <v>-53359.41</v>
      </c>
      <c r="E135" s="1165">
        <v>-53359.41</v>
      </c>
      <c r="F135" s="1163" t="s">
        <v>285</v>
      </c>
      <c r="G135" s="1163" t="s">
        <v>2021</v>
      </c>
      <c r="H135" s="1175"/>
      <c r="I135" s="1178"/>
      <c r="J135" s="1178"/>
      <c r="K135" s="1178"/>
      <c r="L135" s="153">
        <f t="shared" si="10"/>
        <v>4701</v>
      </c>
      <c r="M135" s="154" t="str">
        <f t="shared" si="11"/>
        <v>VTE - PIECE/ACC B.R. CLIENT VW</v>
      </c>
      <c r="N135" s="155">
        <f>+IF(OR($Q135=Parametres!$G$2,$Q135=Parametres!$G$3),I135,C135)</f>
        <v>0</v>
      </c>
      <c r="O135" s="1108">
        <f>+IF(OR($Q135=Parametres!$G$2,$Q135=Parametres!$G$3),J135,D135)</f>
        <v>-53359.41</v>
      </c>
      <c r="P135" s="155">
        <f>+IF(OR($Q135=Parametres!$G$2,$Q135=Parametres!$G$3),K135,E135)</f>
        <v>-53359.41</v>
      </c>
      <c r="Q135" s="154" t="str">
        <f t="shared" si="12"/>
        <v>5-Ventes</v>
      </c>
      <c r="R135" s="153" t="str">
        <f t="shared" si="13"/>
        <v>4701</v>
      </c>
      <c r="S135" s="154">
        <f t="shared" si="14"/>
        <v>0</v>
      </c>
      <c r="T135" s="156">
        <f>+VLOOKUP($L135,Data_Validation!$A:$D,1,0)</f>
        <v>4701</v>
      </c>
      <c r="U135" s="156" t="str">
        <f>+VLOOKUP($L135,Data_Validation!$A:$D,3,0)</f>
        <v>Pièces</v>
      </c>
      <c r="V135" s="156" t="str">
        <f>+VLOOKUP($L135,Data_Validation!$A:$D,4,0)</f>
        <v>Pièces Ro Clients</v>
      </c>
      <c r="W135" s="156" t="str">
        <f>+VLOOKUP($L135,Data_Validation!$A:$E,5,0)</f>
        <v>$</v>
      </c>
      <c r="X135" s="156" t="str">
        <f>+VLOOKUP($L135,Data_Validation!$A:$F,6,0)</f>
        <v>Oui</v>
      </c>
    </row>
    <row r="136" spans="1:24" ht="15" hidden="1" customHeight="1">
      <c r="A136" s="1163" t="s">
        <v>2533</v>
      </c>
      <c r="B136" s="1164" t="s">
        <v>2534</v>
      </c>
      <c r="C136" s="1165"/>
      <c r="D136" s="1165"/>
      <c r="E136" s="1165"/>
      <c r="F136" s="1163" t="s">
        <v>4</v>
      </c>
      <c r="G136" s="1163" t="s">
        <v>2021</v>
      </c>
      <c r="H136" s="1168"/>
      <c r="I136" s="1170">
        <v>0</v>
      </c>
      <c r="J136" s="1170">
        <v>-247</v>
      </c>
      <c r="K136" s="1170">
        <v>-247</v>
      </c>
      <c r="L136" s="153" t="str">
        <f t="shared" si="10"/>
        <v>4701@</v>
      </c>
      <c r="M136" s="154" t="str">
        <f t="shared" si="11"/>
        <v>PIECES-BON REPARATION- CLIENTS</v>
      </c>
      <c r="N136" s="155">
        <f>+IF(OR($Q136=Parametres!$G$2,$Q136=Parametres!$G$3),I136,C136)</f>
        <v>0</v>
      </c>
      <c r="O136" s="1108">
        <f>+IF(OR($Q136=Parametres!$G$2,$Q136=Parametres!$G$3),J136,D136)</f>
        <v>-247</v>
      </c>
      <c r="P136" s="155">
        <f>+IF(OR($Q136=Parametres!$G$2,$Q136=Parametres!$G$3),K136,E136)</f>
        <v>-247</v>
      </c>
      <c r="Q136" s="154" t="str">
        <f t="shared" si="12"/>
        <v>10-Compte compteur</v>
      </c>
      <c r="R136" s="153" t="str">
        <f t="shared" si="13"/>
        <v>4701</v>
      </c>
      <c r="S136" s="154">
        <f t="shared" si="14"/>
        <v>0</v>
      </c>
      <c r="T136" s="156" t="str">
        <f>+VLOOKUP($L136,Data_Validation!$A:$D,1,0)</f>
        <v>4701@</v>
      </c>
      <c r="U136" s="156" t="str">
        <f>+VLOOKUP($L136,Data_Validation!$A:$D,3,0)</f>
        <v>Pièces</v>
      </c>
      <c r="V136" s="156" t="str">
        <f>+VLOOKUP($L136,Data_Validation!$A:$D,4,0)</f>
        <v>Pièces Ro Clients</v>
      </c>
      <c r="W136" s="156" t="str">
        <f>+VLOOKUP($L136,Data_Validation!$A:$E,5,0)</f>
        <v>NB</v>
      </c>
      <c r="X136" s="156">
        <f>+VLOOKUP($L136,Data_Validation!$A:$F,6,0)</f>
        <v>0</v>
      </c>
    </row>
    <row r="137" spans="1:24" ht="15" hidden="1" customHeight="1">
      <c r="A137" s="1163" t="s">
        <v>2147</v>
      </c>
      <c r="B137" s="1164">
        <v>4702</v>
      </c>
      <c r="C137" s="1165">
        <v>0</v>
      </c>
      <c r="D137" s="1165">
        <v>-283.60000000000002</v>
      </c>
      <c r="E137" s="1165">
        <v>-283.60000000000002</v>
      </c>
      <c r="F137" s="1163" t="s">
        <v>285</v>
      </c>
      <c r="G137" s="1163" t="s">
        <v>2148</v>
      </c>
      <c r="H137" s="1168"/>
      <c r="I137" s="1174"/>
      <c r="J137" s="1174"/>
      <c r="K137" s="1174"/>
      <c r="L137" s="153">
        <f t="shared" si="10"/>
        <v>4702</v>
      </c>
      <c r="M137" s="154" t="str">
        <f t="shared" si="11"/>
        <v>VTE - SHOP SUPPLY VW</v>
      </c>
      <c r="N137" s="155">
        <f>+IF(OR($Q137=Parametres!$G$2,$Q137=Parametres!$G$3),I137,C137)</f>
        <v>0</v>
      </c>
      <c r="O137" s="1108">
        <f>+IF(OR($Q137=Parametres!$G$2,$Q137=Parametres!$G$3),J137,D137)</f>
        <v>-283.60000000000002</v>
      </c>
      <c r="P137" s="155">
        <f>+IF(OR($Q137=Parametres!$G$2,$Q137=Parametres!$G$3),K137,E137)</f>
        <v>-283.60000000000002</v>
      </c>
      <c r="Q137" s="154" t="str">
        <f t="shared" si="12"/>
        <v>5-Ventes</v>
      </c>
      <c r="R137" s="153" t="str">
        <f t="shared" si="13"/>
        <v>4702</v>
      </c>
      <c r="S137" s="154">
        <f t="shared" si="14"/>
        <v>0</v>
      </c>
      <c r="T137" s="156">
        <f>+VLOOKUP($L137,Data_Validation!$A:$D,1,0)</f>
        <v>4702</v>
      </c>
      <c r="U137" s="156" t="str">
        <f>+VLOOKUP($L137,Data_Validation!$A:$D,3,0)</f>
        <v>Service</v>
      </c>
      <c r="V137" s="156" t="str">
        <f>+VLOOKUP($L137,Data_Validation!$A:$D,4,0)</f>
        <v>M/O Client</v>
      </c>
      <c r="W137" s="156" t="str">
        <f>+VLOOKUP($L137,Data_Validation!$A:$E,5,0)</f>
        <v>$</v>
      </c>
      <c r="X137" s="156" t="str">
        <f>+VLOOKUP($L137,Data_Validation!$A:$F,6,0)</f>
        <v>Oui</v>
      </c>
    </row>
    <row r="138" spans="1:24" ht="15" hidden="1" customHeight="1">
      <c r="A138" s="1163" t="s">
        <v>2040</v>
      </c>
      <c r="B138" s="1164">
        <v>4703</v>
      </c>
      <c r="C138" s="1165">
        <v>0</v>
      </c>
      <c r="D138" s="1165">
        <v>-92178.97</v>
      </c>
      <c r="E138" s="1165">
        <v>-92178.97</v>
      </c>
      <c r="F138" s="1163" t="s">
        <v>285</v>
      </c>
      <c r="G138" s="1163" t="s">
        <v>2041</v>
      </c>
      <c r="H138" s="1168"/>
      <c r="I138" s="1174"/>
      <c r="J138" s="1174"/>
      <c r="K138" s="1174"/>
      <c r="L138" s="153">
        <f t="shared" si="10"/>
        <v>4703</v>
      </c>
      <c r="M138" s="154" t="str">
        <f t="shared" si="11"/>
        <v>VTE - PIECE/ACC B.R. GARANTIE VW</v>
      </c>
      <c r="N138" s="155">
        <f>+IF(OR($Q138=Parametres!$G$2,$Q138=Parametres!$G$3),I138,C138)</f>
        <v>0</v>
      </c>
      <c r="O138" s="1108">
        <f>+IF(OR($Q138=Parametres!$G$2,$Q138=Parametres!$G$3),J138,D138)</f>
        <v>-92178.97</v>
      </c>
      <c r="P138" s="155">
        <f>+IF(OR($Q138=Parametres!$G$2,$Q138=Parametres!$G$3),K138,E138)</f>
        <v>-92178.97</v>
      </c>
      <c r="Q138" s="154" t="str">
        <f t="shared" si="12"/>
        <v>5-Ventes</v>
      </c>
      <c r="R138" s="153" t="str">
        <f t="shared" si="13"/>
        <v>4703</v>
      </c>
      <c r="S138" s="154">
        <f t="shared" si="14"/>
        <v>0</v>
      </c>
      <c r="T138" s="156">
        <f>+VLOOKUP($L138,Data_Validation!$A:$D,1,0)</f>
        <v>4703</v>
      </c>
      <c r="U138" s="156" t="str">
        <f>+VLOOKUP($L138,Data_Validation!$A:$D,3,0)</f>
        <v>Pièces</v>
      </c>
      <c r="V138" s="156" t="str">
        <f>+VLOOKUP($L138,Data_Validation!$A:$D,4,0)</f>
        <v>P/A Garantie</v>
      </c>
      <c r="W138" s="156" t="str">
        <f>+VLOOKUP($L138,Data_Validation!$A:$E,5,0)</f>
        <v>$</v>
      </c>
      <c r="X138" s="156" t="str">
        <f>+VLOOKUP($L138,Data_Validation!$A:$F,6,0)</f>
        <v>Oui</v>
      </c>
    </row>
    <row r="139" spans="1:24" ht="15.75" hidden="1" customHeight="1">
      <c r="A139" s="1163" t="s">
        <v>2535</v>
      </c>
      <c r="B139" s="1164" t="s">
        <v>2536</v>
      </c>
      <c r="C139" s="1165"/>
      <c r="D139" s="1165"/>
      <c r="E139" s="1165"/>
      <c r="F139" s="1163" t="s">
        <v>4</v>
      </c>
      <c r="G139" s="1163" t="s">
        <v>2041</v>
      </c>
      <c r="H139" s="1168"/>
      <c r="I139" s="1174">
        <v>0</v>
      </c>
      <c r="J139" s="1174">
        <v>-201</v>
      </c>
      <c r="K139" s="1174">
        <v>-201</v>
      </c>
      <c r="L139" s="153" t="str">
        <f t="shared" si="10"/>
        <v>4703@</v>
      </c>
      <c r="M139" s="154" t="str">
        <f t="shared" si="11"/>
        <v>PIECES-BON REPARATION-GAR. MAN</v>
      </c>
      <c r="N139" s="155">
        <f>+IF(OR($Q139=Parametres!$G$2,$Q139=Parametres!$G$3),I139,C139)</f>
        <v>0</v>
      </c>
      <c r="O139" s="1108">
        <f>+IF(OR($Q139=Parametres!$G$2,$Q139=Parametres!$G$3),J139,D139)</f>
        <v>-201</v>
      </c>
      <c r="P139" s="155">
        <f>+IF(OR($Q139=Parametres!$G$2,$Q139=Parametres!$G$3),K139,E139)</f>
        <v>-201</v>
      </c>
      <c r="Q139" s="154" t="str">
        <f t="shared" si="12"/>
        <v>10-Compte compteur</v>
      </c>
      <c r="R139" s="153" t="str">
        <f t="shared" si="13"/>
        <v>4703</v>
      </c>
      <c r="S139" s="154">
        <f t="shared" si="14"/>
        <v>0</v>
      </c>
      <c r="T139" s="156" t="str">
        <f>+VLOOKUP($L139,Data_Validation!$A:$D,1,0)</f>
        <v>4703@</v>
      </c>
      <c r="U139" s="156" t="str">
        <f>+VLOOKUP($L139,Data_Validation!$A:$D,3,0)</f>
        <v>Pièces</v>
      </c>
      <c r="V139" s="156" t="str">
        <f>+VLOOKUP($L139,Data_Validation!$A:$D,4,0)</f>
        <v>P/A Garantie</v>
      </c>
      <c r="W139" s="156" t="str">
        <f>+VLOOKUP($L139,Data_Validation!$A:$E,5,0)</f>
        <v>NB</v>
      </c>
      <c r="X139" s="156">
        <f>+VLOOKUP($L139,Data_Validation!$A:$F,6,0)</f>
        <v>0</v>
      </c>
    </row>
    <row r="140" spans="1:24" ht="15" hidden="1" customHeight="1">
      <c r="A140" s="1163" t="s">
        <v>2044</v>
      </c>
      <c r="B140" s="1164">
        <v>4705</v>
      </c>
      <c r="C140" s="1165">
        <v>0</v>
      </c>
      <c r="D140" s="1165">
        <v>-39257.660000000003</v>
      </c>
      <c r="E140" s="1165">
        <v>-39257.660000000003</v>
      </c>
      <c r="F140" s="1163" t="s">
        <v>285</v>
      </c>
      <c r="G140" s="1163" t="s">
        <v>2045</v>
      </c>
      <c r="H140" s="1175"/>
      <c r="I140" s="1178"/>
      <c r="J140" s="1178"/>
      <c r="K140" s="1178"/>
      <c r="L140" s="153">
        <f t="shared" si="10"/>
        <v>4705</v>
      </c>
      <c r="M140" s="154" t="str">
        <f t="shared" si="11"/>
        <v>VTE - PIECE/ACC B.R. INTERNE VW</v>
      </c>
      <c r="N140" s="155">
        <f>+IF(OR($Q140=Parametres!$G$2,$Q140=Parametres!$G$3),I140,C140)</f>
        <v>0</v>
      </c>
      <c r="O140" s="1108">
        <f>+IF(OR($Q140=Parametres!$G$2,$Q140=Parametres!$G$3),J140,D140)</f>
        <v>-39257.660000000003</v>
      </c>
      <c r="P140" s="155">
        <f>+IF(OR($Q140=Parametres!$G$2,$Q140=Parametres!$G$3),K140,E140)</f>
        <v>-39257.660000000003</v>
      </c>
      <c r="Q140" s="154" t="str">
        <f t="shared" si="12"/>
        <v>5-Ventes</v>
      </c>
      <c r="R140" s="153" t="str">
        <f t="shared" si="13"/>
        <v>4705</v>
      </c>
      <c r="S140" s="154">
        <f t="shared" si="14"/>
        <v>0</v>
      </c>
      <c r="T140" s="156">
        <f>+VLOOKUP($L140,Data_Validation!$A:$D,1,0)</f>
        <v>4705</v>
      </c>
      <c r="U140" s="156" t="str">
        <f>+VLOOKUP($L140,Data_Validation!$A:$D,3,0)</f>
        <v>Pièces</v>
      </c>
      <c r="V140" s="156" t="str">
        <f>+VLOOKUP($L140,Data_Validation!$A:$D,4,0)</f>
        <v>Ventes Internes</v>
      </c>
      <c r="W140" s="156" t="str">
        <f>+VLOOKUP($L140,Data_Validation!$A:$E,5,0)</f>
        <v>$</v>
      </c>
      <c r="X140" s="156" t="str">
        <f>+VLOOKUP($L140,Data_Validation!$A:$F,6,0)</f>
        <v>Oui</v>
      </c>
    </row>
    <row r="141" spans="1:24" ht="15" hidden="1" customHeight="1">
      <c r="A141" s="1163" t="s">
        <v>2537</v>
      </c>
      <c r="B141" s="1164" t="s">
        <v>2538</v>
      </c>
      <c r="C141" s="1165"/>
      <c r="D141" s="1165"/>
      <c r="E141" s="1165"/>
      <c r="F141" s="1163" t="s">
        <v>4</v>
      </c>
      <c r="G141" s="1163" t="s">
        <v>2045</v>
      </c>
      <c r="H141" s="1168"/>
      <c r="I141" s="1174">
        <v>0</v>
      </c>
      <c r="J141" s="1174">
        <v>-161</v>
      </c>
      <c r="K141" s="1174">
        <v>-161</v>
      </c>
      <c r="L141" s="153" t="str">
        <f t="shared" si="10"/>
        <v>4705@</v>
      </c>
      <c r="M141" s="154" t="str">
        <f t="shared" si="11"/>
        <v>PIECES-BON REPARATION - INTERN</v>
      </c>
      <c r="N141" s="155">
        <f>+IF(OR($Q141=Parametres!$G$2,$Q141=Parametres!$G$3),I141,C141)</f>
        <v>0</v>
      </c>
      <c r="O141" s="1108">
        <f>+IF(OR($Q141=Parametres!$G$2,$Q141=Parametres!$G$3),J141,D141)</f>
        <v>-161</v>
      </c>
      <c r="P141" s="155">
        <f>+IF(OR($Q141=Parametres!$G$2,$Q141=Parametres!$G$3),K141,E141)</f>
        <v>-161</v>
      </c>
      <c r="Q141" s="154" t="str">
        <f t="shared" si="12"/>
        <v>10-Compte compteur</v>
      </c>
      <c r="R141" s="153" t="str">
        <f t="shared" si="13"/>
        <v>4705</v>
      </c>
      <c r="S141" s="154">
        <f t="shared" si="14"/>
        <v>0</v>
      </c>
      <c r="T141" s="156" t="str">
        <f>+VLOOKUP($L141,Data_Validation!$A:$D,1,0)</f>
        <v>4705@</v>
      </c>
      <c r="U141" s="156" t="str">
        <f>+VLOOKUP($L141,Data_Validation!$A:$D,3,0)</f>
        <v>Pièces</v>
      </c>
      <c r="V141" s="156" t="str">
        <f>+VLOOKUP($L141,Data_Validation!$A:$D,4,0)</f>
        <v>Ventes Internes</v>
      </c>
      <c r="W141" s="156" t="str">
        <f>+VLOOKUP($L141,Data_Validation!$A:$E,5,0)</f>
        <v>NB</v>
      </c>
      <c r="X141" s="156">
        <f>+VLOOKUP($L141,Data_Validation!$A:$F,6,0)</f>
        <v>0</v>
      </c>
    </row>
    <row r="142" spans="1:24" ht="15" hidden="1" customHeight="1">
      <c r="A142" s="1163" t="s">
        <v>2147</v>
      </c>
      <c r="B142" s="1164">
        <v>4706</v>
      </c>
      <c r="C142" s="1165">
        <v>0</v>
      </c>
      <c r="D142" s="1165">
        <v>-505.35</v>
      </c>
      <c r="E142" s="1165">
        <v>-505.35</v>
      </c>
      <c r="F142" s="1163" t="s">
        <v>285</v>
      </c>
      <c r="G142" s="1163" t="s">
        <v>2166</v>
      </c>
      <c r="H142" s="1168"/>
      <c r="I142" s="1174"/>
      <c r="J142" s="1174"/>
      <c r="K142" s="1174"/>
      <c r="L142" s="153">
        <f t="shared" si="10"/>
        <v>4706</v>
      </c>
      <c r="M142" s="154" t="str">
        <f t="shared" si="11"/>
        <v>VTE - SHOP SUPPLY VW</v>
      </c>
      <c r="N142" s="155">
        <f>+IF(OR($Q142=Parametres!$G$2,$Q142=Parametres!$G$3),I142,C142)</f>
        <v>0</v>
      </c>
      <c r="O142" s="1108">
        <f>+IF(OR($Q142=Parametres!$G$2,$Q142=Parametres!$G$3),J142,D142)</f>
        <v>-505.35</v>
      </c>
      <c r="P142" s="155">
        <f>+IF(OR($Q142=Parametres!$G$2,$Q142=Parametres!$G$3),K142,E142)</f>
        <v>-505.35</v>
      </c>
      <c r="Q142" s="154" t="str">
        <f t="shared" si="12"/>
        <v>5-Ventes</v>
      </c>
      <c r="R142" s="153" t="str">
        <f t="shared" si="13"/>
        <v>4706</v>
      </c>
      <c r="S142" s="154">
        <f t="shared" si="14"/>
        <v>0</v>
      </c>
      <c r="T142" s="156">
        <f>+VLOOKUP($L142,Data_Validation!$A:$D,1,0)</f>
        <v>4706</v>
      </c>
      <c r="U142" s="156" t="str">
        <f>+VLOOKUP($L142,Data_Validation!$A:$D,3,0)</f>
        <v>Service</v>
      </c>
      <c r="V142" s="156" t="str">
        <f>+VLOOKUP($L142,Data_Validation!$A:$D,4,0)</f>
        <v>M/O Interne</v>
      </c>
      <c r="W142" s="156" t="str">
        <f>+VLOOKUP($L142,Data_Validation!$A:$E,5,0)</f>
        <v>$</v>
      </c>
      <c r="X142" s="156" t="str">
        <f>+VLOOKUP($L142,Data_Validation!$A:$F,6,0)</f>
        <v>Oui</v>
      </c>
    </row>
    <row r="143" spans="1:24" ht="15.75" hidden="1" customHeight="1">
      <c r="A143" s="1163" t="s">
        <v>2111</v>
      </c>
      <c r="B143" s="1164">
        <v>4711</v>
      </c>
      <c r="C143" s="1165">
        <v>0</v>
      </c>
      <c r="D143" s="1165">
        <v>-2757.76</v>
      </c>
      <c r="E143" s="1165">
        <v>-2757.76</v>
      </c>
      <c r="F143" s="1163" t="s">
        <v>285</v>
      </c>
      <c r="G143" s="1163" t="s">
        <v>335</v>
      </c>
      <c r="H143" s="1168"/>
      <c r="I143" s="1170"/>
      <c r="J143" s="1170"/>
      <c r="K143" s="1170"/>
      <c r="L143" s="153">
        <f t="shared" si="10"/>
        <v>4711</v>
      </c>
      <c r="M143" s="154" t="str">
        <f t="shared" si="11"/>
        <v>VTE - AUTRE PIECE/ACC/CARR B.R. CLIENT</v>
      </c>
      <c r="N143" s="155">
        <f>+IF(OR($Q143=Parametres!$G$2,$Q143=Parametres!$G$3),I143,C143)</f>
        <v>0</v>
      </c>
      <c r="O143" s="1108">
        <f>+IF(OR($Q143=Parametres!$G$2,$Q143=Parametres!$G$3),J143,D143)</f>
        <v>-2757.76</v>
      </c>
      <c r="P143" s="155">
        <f>+IF(OR($Q143=Parametres!$G$2,$Q143=Parametres!$G$3),K143,E143)</f>
        <v>-2757.76</v>
      </c>
      <c r="Q143" s="154" t="str">
        <f t="shared" si="12"/>
        <v>5-Ventes</v>
      </c>
      <c r="R143" s="153" t="str">
        <f t="shared" si="13"/>
        <v>84711</v>
      </c>
      <c r="S143" s="154">
        <f t="shared" si="14"/>
        <v>0</v>
      </c>
      <c r="T143" s="156">
        <f>+VLOOKUP($L143,Data_Validation!$A:$D,1,0)</f>
        <v>4711</v>
      </c>
      <c r="U143" s="156" t="str">
        <f>+VLOOKUP($L143,Data_Validation!$A:$D,3,0)</f>
        <v>Pièces</v>
      </c>
      <c r="V143" s="156" t="str">
        <f>+VLOOKUP($L143,Data_Validation!$A:$D,4,0)</f>
        <v>Pièces Ro Clients</v>
      </c>
      <c r="W143" s="156" t="str">
        <f>+VLOOKUP($L143,Data_Validation!$A:$E,5,0)</f>
        <v>$</v>
      </c>
      <c r="X143" s="156" t="str">
        <f>+VLOOKUP($L143,Data_Validation!$A:$F,6,0)</f>
        <v>Oui</v>
      </c>
    </row>
    <row r="144" spans="1:24" ht="15" hidden="1" customHeight="1">
      <c r="A144" s="1163" t="s">
        <v>2539</v>
      </c>
      <c r="B144" s="1164" t="s">
        <v>2540</v>
      </c>
      <c r="C144" s="1165"/>
      <c r="D144" s="1165"/>
      <c r="E144" s="1165"/>
      <c r="F144" s="1163" t="s">
        <v>4</v>
      </c>
      <c r="G144" s="1163" t="s">
        <v>335</v>
      </c>
      <c r="H144" s="1168"/>
      <c r="I144" s="1170">
        <v>0</v>
      </c>
      <c r="J144" s="1170">
        <v>-123</v>
      </c>
      <c r="K144" s="1170">
        <v>-123</v>
      </c>
      <c r="L144" s="153" t="str">
        <f t="shared" si="10"/>
        <v>4711@</v>
      </c>
      <c r="M144" s="154" t="str">
        <f t="shared" si="11"/>
        <v># DE VTE - P&amp;A B.T. CLIENT AUDI</v>
      </c>
      <c r="N144" s="155">
        <f>+IF(OR($Q144=Parametres!$G$2,$Q144=Parametres!$G$3),I144,C144)</f>
        <v>0</v>
      </c>
      <c r="O144" s="1108">
        <f>+IF(OR($Q144=Parametres!$G$2,$Q144=Parametres!$G$3),J144,D144)</f>
        <v>-123</v>
      </c>
      <c r="P144" s="155">
        <f>+IF(OR($Q144=Parametres!$G$2,$Q144=Parametres!$G$3),K144,E144)</f>
        <v>-123</v>
      </c>
      <c r="Q144" s="154" t="str">
        <f t="shared" si="12"/>
        <v>10-Compte compteur</v>
      </c>
      <c r="R144" s="153" t="str">
        <f t="shared" si="13"/>
        <v>84711</v>
      </c>
      <c r="S144" s="154">
        <f t="shared" si="14"/>
        <v>0</v>
      </c>
      <c r="T144" s="156" t="str">
        <f>+VLOOKUP($L144,Data_Validation!$A:$D,1,0)</f>
        <v>4711@</v>
      </c>
      <c r="U144" s="156" t="str">
        <f>+VLOOKUP($L144,Data_Validation!$A:$D,3,0)</f>
        <v>Pièces</v>
      </c>
      <c r="V144" s="156" t="str">
        <f>+VLOOKUP($L144,Data_Validation!$A:$D,4,0)</f>
        <v>Pièces Ro Clients</v>
      </c>
      <c r="W144" s="156" t="str">
        <f>+VLOOKUP($L144,Data_Validation!$A:$E,5,0)</f>
        <v>NB</v>
      </c>
      <c r="X144" s="156">
        <f>+VLOOKUP($L144,Data_Validation!$A:$F,6,0)</f>
        <v>0</v>
      </c>
    </row>
    <row r="145" spans="1:24" ht="15" hidden="1" customHeight="1">
      <c r="A145" s="1163" t="s">
        <v>2104</v>
      </c>
      <c r="B145" s="1164">
        <v>4731</v>
      </c>
      <c r="C145" s="1165">
        <v>0</v>
      </c>
      <c r="D145" s="1165">
        <v>-7344.15</v>
      </c>
      <c r="E145" s="1165">
        <v>-7344.15</v>
      </c>
      <c r="F145" s="1163" t="s">
        <v>285</v>
      </c>
      <c r="G145" s="1163" t="s">
        <v>2105</v>
      </c>
      <c r="H145" s="1177"/>
      <c r="I145" s="1179"/>
      <c r="J145" s="1179"/>
      <c r="K145" s="1179"/>
      <c r="L145" s="153">
        <f t="shared" si="10"/>
        <v>4731</v>
      </c>
      <c r="M145" s="154" t="str">
        <f t="shared" si="11"/>
        <v>VTE - PIECES-BON REPAR.-PEINT/DEBOS</v>
      </c>
      <c r="N145" s="155">
        <f>+IF(OR($Q145=Parametres!$G$2,$Q145=Parametres!$G$3),I145,C145)</f>
        <v>0</v>
      </c>
      <c r="O145" s="1108">
        <f>+IF(OR($Q145=Parametres!$G$2,$Q145=Parametres!$G$3),J145,D145)</f>
        <v>-7344.15</v>
      </c>
      <c r="P145" s="155">
        <f>+IF(OR($Q145=Parametres!$G$2,$Q145=Parametres!$G$3),K145,E145)</f>
        <v>-7344.15</v>
      </c>
      <c r="Q145" s="154" t="str">
        <f t="shared" si="12"/>
        <v>5-Ventes</v>
      </c>
      <c r="R145" s="153" t="str">
        <f t="shared" si="13"/>
        <v>4731</v>
      </c>
      <c r="S145" s="154">
        <f t="shared" si="14"/>
        <v>0</v>
      </c>
      <c r="T145" s="156">
        <f>+VLOOKUP($L145,Data_Validation!$A:$D,1,0)</f>
        <v>4731</v>
      </c>
      <c r="U145" s="156" t="str">
        <f>+VLOOKUP($L145,Data_Validation!$A:$D,3,0)</f>
        <v>Pièces</v>
      </c>
      <c r="V145" s="156" t="str">
        <f>+VLOOKUP($L145,Data_Validation!$A:$D,4,0)</f>
        <v>Pièces Ro Carrosserie</v>
      </c>
      <c r="W145" s="156" t="str">
        <f>+VLOOKUP($L145,Data_Validation!$A:$E,5,0)</f>
        <v>$</v>
      </c>
      <c r="X145" s="156" t="str">
        <f>+VLOOKUP($L145,Data_Validation!$A:$F,6,0)</f>
        <v>Oui</v>
      </c>
    </row>
    <row r="146" spans="1:24" ht="15" hidden="1" customHeight="1">
      <c r="A146" s="1163" t="s">
        <v>2543</v>
      </c>
      <c r="B146" s="1164" t="s">
        <v>2544</v>
      </c>
      <c r="C146" s="1165"/>
      <c r="D146" s="1165"/>
      <c r="E146" s="1165"/>
      <c r="F146" s="1163" t="s">
        <v>4</v>
      </c>
      <c r="G146" s="1163" t="s">
        <v>2105</v>
      </c>
      <c r="H146" s="1168"/>
      <c r="I146" s="1174">
        <v>0</v>
      </c>
      <c r="J146" s="1174">
        <v>-7</v>
      </c>
      <c r="K146" s="1174">
        <v>-7</v>
      </c>
      <c r="L146" s="153" t="str">
        <f t="shared" si="10"/>
        <v>4731@</v>
      </c>
      <c r="M146" s="154" t="str">
        <f t="shared" si="11"/>
        <v>PIECES-BON REPAR. PEINT/DEBOS</v>
      </c>
      <c r="N146" s="155">
        <f>+IF(OR($Q146=Parametres!$G$2,$Q146=Parametres!$G$3),I146,C146)</f>
        <v>0</v>
      </c>
      <c r="O146" s="1108">
        <f>+IF(OR($Q146=Parametres!$G$2,$Q146=Parametres!$G$3),J146,D146)</f>
        <v>-7</v>
      </c>
      <c r="P146" s="155">
        <f>+IF(OR($Q146=Parametres!$G$2,$Q146=Parametres!$G$3),K146,E146)</f>
        <v>-7</v>
      </c>
      <c r="Q146" s="154" t="str">
        <f t="shared" si="12"/>
        <v>10-Compte compteur</v>
      </c>
      <c r="R146" s="153" t="str">
        <f t="shared" si="13"/>
        <v>4731</v>
      </c>
      <c r="S146" s="154">
        <f t="shared" si="14"/>
        <v>0</v>
      </c>
      <c r="T146" s="156" t="str">
        <f>+VLOOKUP($L146,Data_Validation!$A:$D,1,0)</f>
        <v>4731@</v>
      </c>
      <c r="U146" s="156" t="str">
        <f>+VLOOKUP($L146,Data_Validation!$A:$D,3,0)</f>
        <v>Pièces</v>
      </c>
      <c r="V146" s="156" t="str">
        <f>+VLOOKUP($L146,Data_Validation!$A:$D,4,0)</f>
        <v>Pièces Ro Carrosserie</v>
      </c>
      <c r="W146" s="156" t="str">
        <f>+VLOOKUP($L146,Data_Validation!$A:$E,5,0)</f>
        <v>NB</v>
      </c>
      <c r="X146" s="156">
        <f>+VLOOKUP($L146,Data_Validation!$A:$F,6,0)</f>
        <v>0</v>
      </c>
    </row>
    <row r="147" spans="1:24" ht="15" hidden="1" customHeight="1">
      <c r="A147" s="1163" t="s">
        <v>2087</v>
      </c>
      <c r="B147" s="1164">
        <v>4733</v>
      </c>
      <c r="C147" s="1165">
        <v>0</v>
      </c>
      <c r="D147" s="1165">
        <v>-39528.410000000003</v>
      </c>
      <c r="E147" s="1165">
        <v>-39528.410000000003</v>
      </c>
      <c r="F147" s="1163" t="s">
        <v>285</v>
      </c>
      <c r="G147" s="1163" t="s">
        <v>2088</v>
      </c>
      <c r="H147" s="1168"/>
      <c r="I147" s="1170"/>
      <c r="J147" s="1170"/>
      <c r="K147" s="1170"/>
      <c r="L147" s="153">
        <f t="shared" si="10"/>
        <v>4733</v>
      </c>
      <c r="M147" s="154" t="str">
        <f t="shared" si="11"/>
        <v>VTE - P&amp;A B.T. GARANTIE CAR.</v>
      </c>
      <c r="N147" s="155">
        <f>+IF(OR($Q147=Parametres!$G$2,$Q147=Parametres!$G$3),I147,C147)</f>
        <v>0</v>
      </c>
      <c r="O147" s="1108">
        <f>+IF(OR($Q147=Parametres!$G$2,$Q147=Parametres!$G$3),J147,D147)</f>
        <v>-39528.410000000003</v>
      </c>
      <c r="P147" s="155">
        <f>+IF(OR($Q147=Parametres!$G$2,$Q147=Parametres!$G$3),K147,E147)</f>
        <v>-39528.410000000003</v>
      </c>
      <c r="Q147" s="154" t="str">
        <f t="shared" si="12"/>
        <v>5-Ventes</v>
      </c>
      <c r="R147" s="153" t="str">
        <f t="shared" si="13"/>
        <v>4733</v>
      </c>
      <c r="S147" s="154">
        <f t="shared" si="14"/>
        <v>0</v>
      </c>
      <c r="T147" s="156">
        <f>+VLOOKUP($L147,Data_Validation!$A:$D,1,0)</f>
        <v>4733</v>
      </c>
      <c r="U147" s="156" t="str">
        <f>+VLOOKUP($L147,Data_Validation!$A:$D,3,0)</f>
        <v>Pièces</v>
      </c>
      <c r="V147" s="156" t="str">
        <f>+VLOOKUP($L147,Data_Validation!$A:$D,4,0)</f>
        <v>Pièces Ro Carrosserie</v>
      </c>
      <c r="W147" s="156" t="str">
        <f>+VLOOKUP($L147,Data_Validation!$A:$E,5,0)</f>
        <v>$</v>
      </c>
      <c r="X147" s="156" t="str">
        <f>+VLOOKUP($L147,Data_Validation!$A:$F,6,0)</f>
        <v>Oui</v>
      </c>
    </row>
    <row r="148" spans="1:24" ht="15" hidden="1" customHeight="1">
      <c r="A148" s="1163" t="s">
        <v>2545</v>
      </c>
      <c r="B148" s="1164" t="s">
        <v>2546</v>
      </c>
      <c r="C148" s="1165"/>
      <c r="D148" s="1165"/>
      <c r="E148" s="1165"/>
      <c r="F148" s="1163" t="s">
        <v>4</v>
      </c>
      <c r="G148" s="1163" t="s">
        <v>2088</v>
      </c>
      <c r="H148" s="1168"/>
      <c r="I148" s="1174">
        <v>0</v>
      </c>
      <c r="J148" s="1174">
        <v>-15</v>
      </c>
      <c r="K148" s="1174">
        <v>-15</v>
      </c>
      <c r="L148" s="153" t="str">
        <f t="shared" si="10"/>
        <v>4733@</v>
      </c>
      <c r="M148" s="154" t="str">
        <f t="shared" si="11"/>
        <v># DE VTE - P&amp;A B.T. GARANTIE CARR.</v>
      </c>
      <c r="N148" s="155">
        <f>+IF(OR($Q148=Parametres!$G$2,$Q148=Parametres!$G$3),I148,C148)</f>
        <v>0</v>
      </c>
      <c r="O148" s="1108">
        <f>+IF(OR($Q148=Parametres!$G$2,$Q148=Parametres!$G$3),J148,D148)</f>
        <v>-15</v>
      </c>
      <c r="P148" s="155">
        <f>+IF(OR($Q148=Parametres!$G$2,$Q148=Parametres!$G$3),K148,E148)</f>
        <v>-15</v>
      </c>
      <c r="Q148" s="154" t="str">
        <f t="shared" si="12"/>
        <v>10-Compte compteur</v>
      </c>
      <c r="R148" s="153" t="str">
        <f t="shared" si="13"/>
        <v>4733</v>
      </c>
      <c r="S148" s="154">
        <f t="shared" si="14"/>
        <v>0</v>
      </c>
      <c r="T148" s="156" t="str">
        <f>+VLOOKUP($L148,Data_Validation!$A:$D,1,0)</f>
        <v>4733@</v>
      </c>
      <c r="U148" s="156" t="str">
        <f>+VLOOKUP($L148,Data_Validation!$A:$D,3,0)</f>
        <v>Pièces</v>
      </c>
      <c r="V148" s="156" t="str">
        <f>+VLOOKUP($L148,Data_Validation!$A:$D,4,0)</f>
        <v>Pièces Ro Carrosserie</v>
      </c>
      <c r="W148" s="156" t="str">
        <f>+VLOOKUP($L148,Data_Validation!$A:$E,5,0)</f>
        <v>NB</v>
      </c>
      <c r="X148" s="156">
        <f>+VLOOKUP($L148,Data_Validation!$A:$F,6,0)</f>
        <v>0</v>
      </c>
    </row>
    <row r="149" spans="1:24" ht="15" hidden="1" customHeight="1">
      <c r="A149" s="1163" t="s">
        <v>2162</v>
      </c>
      <c r="B149" s="1164">
        <v>4735</v>
      </c>
      <c r="C149" s="1165">
        <v>0</v>
      </c>
      <c r="D149" s="1165">
        <v>-1561</v>
      </c>
      <c r="E149" s="1165">
        <v>-1561</v>
      </c>
      <c r="F149" s="1163" t="s">
        <v>285</v>
      </c>
      <c r="G149" s="1163" t="s">
        <v>2163</v>
      </c>
      <c r="H149" s="1168"/>
      <c r="I149" s="1170"/>
      <c r="J149" s="1170"/>
      <c r="K149" s="1170"/>
      <c r="L149" s="153">
        <f t="shared" si="10"/>
        <v>4735</v>
      </c>
      <c r="M149" s="154" t="str">
        <f t="shared" si="11"/>
        <v>VTE - P&amp;A B.T. INTERNE CARROS.</v>
      </c>
      <c r="N149" s="155">
        <f>+IF(OR($Q149=Parametres!$G$2,$Q149=Parametres!$G$3),I149,C149)</f>
        <v>0</v>
      </c>
      <c r="O149" s="1108">
        <f>+IF(OR($Q149=Parametres!$G$2,$Q149=Parametres!$G$3),J149,D149)</f>
        <v>-1561</v>
      </c>
      <c r="P149" s="155">
        <f>+IF(OR($Q149=Parametres!$G$2,$Q149=Parametres!$G$3),K149,E149)</f>
        <v>-1561</v>
      </c>
      <c r="Q149" s="154" t="str">
        <f t="shared" si="12"/>
        <v>5-Ventes</v>
      </c>
      <c r="R149" s="153" t="str">
        <f t="shared" si="13"/>
        <v>4735</v>
      </c>
      <c r="S149" s="154">
        <f t="shared" si="14"/>
        <v>0</v>
      </c>
      <c r="T149" s="156">
        <f>+VLOOKUP($L149,Data_Validation!$A:$D,1,0)</f>
        <v>4735</v>
      </c>
      <c r="U149" s="156" t="str">
        <f>+VLOOKUP($L149,Data_Validation!$A:$D,3,0)</f>
        <v>Pièces</v>
      </c>
      <c r="V149" s="156" t="str">
        <f>+VLOOKUP($L149,Data_Validation!$A:$D,4,0)</f>
        <v>Pièces Ro Carrosserie</v>
      </c>
      <c r="W149" s="156" t="str">
        <f>+VLOOKUP($L149,Data_Validation!$A:$E,5,0)</f>
        <v>$</v>
      </c>
      <c r="X149" s="156" t="str">
        <f>+VLOOKUP($L149,Data_Validation!$A:$F,6,0)</f>
        <v>Oui</v>
      </c>
    </row>
    <row r="150" spans="1:24" ht="15" hidden="1" customHeight="1">
      <c r="A150" s="1163" t="s">
        <v>2547</v>
      </c>
      <c r="B150" s="1164" t="s">
        <v>2548</v>
      </c>
      <c r="C150" s="1165"/>
      <c r="D150" s="1165"/>
      <c r="E150" s="1165"/>
      <c r="F150" s="1163" t="s">
        <v>4</v>
      </c>
      <c r="G150" s="1163" t="s">
        <v>2163</v>
      </c>
      <c r="H150" s="1168"/>
      <c r="I150" s="1174">
        <v>0</v>
      </c>
      <c r="J150" s="1174">
        <v>-1</v>
      </c>
      <c r="K150" s="1174">
        <v>-1</v>
      </c>
      <c r="L150" s="153" t="str">
        <f t="shared" si="10"/>
        <v>4735@</v>
      </c>
      <c r="M150" s="154" t="str">
        <f t="shared" si="11"/>
        <v># DE VTE - P&amp;A B.T. INTERNE CARROS.</v>
      </c>
      <c r="N150" s="155">
        <f>+IF(OR($Q150=Parametres!$G$2,$Q150=Parametres!$G$3),I150,C150)</f>
        <v>0</v>
      </c>
      <c r="O150" s="1108">
        <f>+IF(OR($Q150=Parametres!$G$2,$Q150=Parametres!$G$3),J150,D150)</f>
        <v>-1</v>
      </c>
      <c r="P150" s="155">
        <f>+IF(OR($Q150=Parametres!$G$2,$Q150=Parametres!$G$3),K150,E150)</f>
        <v>-1</v>
      </c>
      <c r="Q150" s="154" t="str">
        <f t="shared" si="12"/>
        <v>10-Compte compteur</v>
      </c>
      <c r="R150" s="153" t="str">
        <f t="shared" si="13"/>
        <v>4735</v>
      </c>
      <c r="S150" s="154">
        <f t="shared" si="14"/>
        <v>0</v>
      </c>
      <c r="T150" s="156" t="str">
        <f>+VLOOKUP($L150,Data_Validation!$A:$D,1,0)</f>
        <v>4735@</v>
      </c>
      <c r="U150" s="156" t="str">
        <f>+VLOOKUP($L150,Data_Validation!$A:$D,3,0)</f>
        <v>Pièces</v>
      </c>
      <c r="V150" s="156" t="str">
        <f>+VLOOKUP($L150,Data_Validation!$A:$D,4,0)</f>
        <v>Pièces Ro Carrosserie</v>
      </c>
      <c r="W150" s="156" t="str">
        <f>+VLOOKUP($L150,Data_Validation!$A:$E,5,0)</f>
        <v>NB</v>
      </c>
      <c r="X150" s="156">
        <f>+VLOOKUP($L150,Data_Validation!$A:$F,6,0)</f>
        <v>0</v>
      </c>
    </row>
    <row r="151" spans="1:24" ht="15.75" hidden="1" customHeight="1">
      <c r="A151" s="1163" t="s">
        <v>2079</v>
      </c>
      <c r="B151" s="1164">
        <v>4761</v>
      </c>
      <c r="C151" s="1165">
        <v>0</v>
      </c>
      <c r="D151" s="1165">
        <v>-14260.07</v>
      </c>
      <c r="E151" s="1165">
        <v>-14260.07</v>
      </c>
      <c r="F151" s="1163" t="s">
        <v>285</v>
      </c>
      <c r="G151" s="1163" t="s">
        <v>2080</v>
      </c>
      <c r="H151" s="1168"/>
      <c r="I151" s="1174"/>
      <c r="J151" s="1174"/>
      <c r="K151" s="1174"/>
      <c r="L151" s="153">
        <f t="shared" si="10"/>
        <v>4761</v>
      </c>
      <c r="M151" s="154" t="str">
        <f t="shared" si="11"/>
        <v>VTE - P&amp;A VW COMPTOIR - DETAIL</v>
      </c>
      <c r="N151" s="155">
        <f>+IF(OR($Q151=Parametres!$G$2,$Q151=Parametres!$G$3),I151,C151)</f>
        <v>0</v>
      </c>
      <c r="O151" s="1108">
        <f>+IF(OR($Q151=Parametres!$G$2,$Q151=Parametres!$G$3),J151,D151)</f>
        <v>-14260.07</v>
      </c>
      <c r="P151" s="155">
        <f>+IF(OR($Q151=Parametres!$G$2,$Q151=Parametres!$G$3),K151,E151)</f>
        <v>-14260.07</v>
      </c>
      <c r="Q151" s="154" t="str">
        <f t="shared" si="12"/>
        <v>5-Ventes</v>
      </c>
      <c r="R151" s="153" t="str">
        <f t="shared" si="13"/>
        <v>4761</v>
      </c>
      <c r="S151" s="154">
        <f t="shared" si="14"/>
        <v>0</v>
      </c>
      <c r="T151" s="156">
        <f>+VLOOKUP($L151,Data_Validation!$A:$D,1,0)</f>
        <v>4761</v>
      </c>
      <c r="U151" s="156" t="str">
        <f>+VLOOKUP($L151,Data_Validation!$A:$D,3,0)</f>
        <v>Pièces</v>
      </c>
      <c r="V151" s="156" t="str">
        <f>+VLOOKUP($L151,Data_Validation!$A:$D,4,0)</f>
        <v>Ventes Détails</v>
      </c>
      <c r="W151" s="156" t="str">
        <f>+VLOOKUP($L151,Data_Validation!$A:$E,5,0)</f>
        <v>$</v>
      </c>
      <c r="X151" s="156" t="str">
        <f>+VLOOKUP($L151,Data_Validation!$A:$F,6,0)</f>
        <v>Oui</v>
      </c>
    </row>
    <row r="152" spans="1:24" ht="15" hidden="1" customHeight="1">
      <c r="A152" s="1163" t="s">
        <v>2549</v>
      </c>
      <c r="B152" s="1164" t="s">
        <v>2550</v>
      </c>
      <c r="C152" s="1165"/>
      <c r="D152" s="1165"/>
      <c r="E152" s="1165"/>
      <c r="F152" s="1163" t="s">
        <v>4</v>
      </c>
      <c r="G152" s="1163" t="s">
        <v>2080</v>
      </c>
      <c r="H152" s="1177"/>
      <c r="I152" s="1177">
        <v>0</v>
      </c>
      <c r="J152" s="1177">
        <v>-190</v>
      </c>
      <c r="K152" s="1177">
        <v>-190</v>
      </c>
      <c r="L152" s="153" t="str">
        <f t="shared" si="10"/>
        <v>4761@</v>
      </c>
      <c r="M152" s="154" t="str">
        <f t="shared" si="11"/>
        <v>PIECES-COMPTOIR-DETAIL</v>
      </c>
      <c r="N152" s="155">
        <f>+IF(OR($Q152=Parametres!$G$2,$Q152=Parametres!$G$3),I152,C152)</f>
        <v>0</v>
      </c>
      <c r="O152" s="1108">
        <f>+IF(OR($Q152=Parametres!$G$2,$Q152=Parametres!$G$3),J152,D152)</f>
        <v>-190</v>
      </c>
      <c r="P152" s="155">
        <f>+IF(OR($Q152=Parametres!$G$2,$Q152=Parametres!$G$3),K152,E152)</f>
        <v>-190</v>
      </c>
      <c r="Q152" s="154" t="str">
        <f t="shared" si="12"/>
        <v>10-Compte compteur</v>
      </c>
      <c r="R152" s="153" t="str">
        <f t="shared" si="13"/>
        <v>4761</v>
      </c>
      <c r="S152" s="154">
        <f t="shared" si="14"/>
        <v>0</v>
      </c>
      <c r="T152" s="156" t="str">
        <f>+VLOOKUP($L152,Data_Validation!$A:$D,1,0)</f>
        <v>4761@</v>
      </c>
      <c r="U152" s="156" t="str">
        <f>+VLOOKUP($L152,Data_Validation!$A:$D,3,0)</f>
        <v>Pièces</v>
      </c>
      <c r="V152" s="156" t="str">
        <f>+VLOOKUP($L152,Data_Validation!$A:$D,4,0)</f>
        <v>Ventes Détails</v>
      </c>
      <c r="W152" s="156" t="str">
        <f>+VLOOKUP($L152,Data_Validation!$A:$E,5,0)</f>
        <v>NB</v>
      </c>
      <c r="X152" s="156">
        <f>+VLOOKUP($L152,Data_Validation!$A:$F,6,0)</f>
        <v>0</v>
      </c>
    </row>
    <row r="153" spans="1:24" ht="15" hidden="1" customHeight="1">
      <c r="A153" s="1163" t="s">
        <v>2042</v>
      </c>
      <c r="B153" s="1164">
        <v>4763</v>
      </c>
      <c r="C153" s="1165">
        <v>0</v>
      </c>
      <c r="D153" s="1165">
        <v>-75601.990000000005</v>
      </c>
      <c r="E153" s="1165">
        <v>-75601.990000000005</v>
      </c>
      <c r="F153" s="1163" t="s">
        <v>285</v>
      </c>
      <c r="G153" s="1163" t="s">
        <v>2043</v>
      </c>
      <c r="H153" s="1177"/>
      <c r="I153" s="1179"/>
      <c r="J153" s="1179"/>
      <c r="K153" s="1179"/>
      <c r="L153" s="153">
        <f t="shared" si="10"/>
        <v>4763</v>
      </c>
      <c r="M153" s="154" t="str">
        <f t="shared" si="11"/>
        <v>VTE - P&amp;A VW COMPTOIR GROS - ECHANGE</v>
      </c>
      <c r="N153" s="155">
        <f>+IF(OR($Q153=Parametres!$G$2,$Q153=Parametres!$G$3),I153,C153)</f>
        <v>0</v>
      </c>
      <c r="O153" s="1108">
        <f>+IF(OR($Q153=Parametres!$G$2,$Q153=Parametres!$G$3),J153,D153)</f>
        <v>-75601.990000000005</v>
      </c>
      <c r="P153" s="155">
        <f>+IF(OR($Q153=Parametres!$G$2,$Q153=Parametres!$G$3),K153,E153)</f>
        <v>-75601.990000000005</v>
      </c>
      <c r="Q153" s="154" t="str">
        <f t="shared" si="12"/>
        <v>5-Ventes</v>
      </c>
      <c r="R153" s="153" t="str">
        <f t="shared" si="13"/>
        <v>4763</v>
      </c>
      <c r="S153" s="154">
        <f t="shared" si="14"/>
        <v>0</v>
      </c>
      <c r="T153" s="156">
        <f>+VLOOKUP($L153,Data_Validation!$A:$D,1,0)</f>
        <v>4763</v>
      </c>
      <c r="U153" s="156" t="str">
        <f>+VLOOKUP($L153,Data_Validation!$A:$D,3,0)</f>
        <v>Pièces</v>
      </c>
      <c r="V153" s="156" t="str">
        <f>+VLOOKUP($L153,Data_Validation!$A:$D,4,0)</f>
        <v>Ventes de Gros</v>
      </c>
      <c r="W153" s="156" t="str">
        <f>+VLOOKUP($L153,Data_Validation!$A:$E,5,0)</f>
        <v>$</v>
      </c>
      <c r="X153" s="156" t="str">
        <f>+VLOOKUP($L153,Data_Validation!$A:$F,6,0)</f>
        <v>Oui</v>
      </c>
    </row>
    <row r="154" spans="1:24" ht="15" hidden="1" customHeight="1">
      <c r="A154" s="1163" t="s">
        <v>2551</v>
      </c>
      <c r="B154" s="1164" t="s">
        <v>2552</v>
      </c>
      <c r="C154" s="1165"/>
      <c r="D154" s="1165"/>
      <c r="E154" s="1165"/>
      <c r="F154" s="1163" t="s">
        <v>4</v>
      </c>
      <c r="G154" s="1163" t="s">
        <v>2043</v>
      </c>
      <c r="H154" s="1177"/>
      <c r="I154" s="1177">
        <v>0</v>
      </c>
      <c r="J154" s="1177">
        <v>-252</v>
      </c>
      <c r="K154" s="1177">
        <v>-252</v>
      </c>
      <c r="L154" s="153" t="str">
        <f t="shared" si="10"/>
        <v>4763@</v>
      </c>
      <c r="M154" s="154" t="str">
        <f t="shared" si="11"/>
        <v>PIECES-COMPTOIR-COMM. GROS</v>
      </c>
      <c r="N154" s="155">
        <f>+IF(OR($Q154=Parametres!$G$2,$Q154=Parametres!$G$3),I154,C154)</f>
        <v>0</v>
      </c>
      <c r="O154" s="1108">
        <f>+IF(OR($Q154=Parametres!$G$2,$Q154=Parametres!$G$3),J154,D154)</f>
        <v>-252</v>
      </c>
      <c r="P154" s="155">
        <f>+IF(OR($Q154=Parametres!$G$2,$Q154=Parametres!$G$3),K154,E154)</f>
        <v>-252</v>
      </c>
      <c r="Q154" s="154" t="str">
        <f t="shared" si="12"/>
        <v>10-Compte compteur</v>
      </c>
      <c r="R154" s="153" t="str">
        <f t="shared" si="13"/>
        <v>4763</v>
      </c>
      <c r="S154" s="154">
        <f t="shared" si="14"/>
        <v>0</v>
      </c>
      <c r="T154" s="156" t="str">
        <f>+VLOOKUP($L154,Data_Validation!$A:$D,1,0)</f>
        <v>4763@</v>
      </c>
      <c r="U154" s="156" t="str">
        <f>+VLOOKUP($L154,Data_Validation!$A:$D,3,0)</f>
        <v>Pièces</v>
      </c>
      <c r="V154" s="156" t="str">
        <f>+VLOOKUP($L154,Data_Validation!$A:$D,4,0)</f>
        <v>Ventes de Gros</v>
      </c>
      <c r="W154" s="156" t="str">
        <f>+VLOOKUP($L154,Data_Validation!$A:$E,5,0)</f>
        <v>NB</v>
      </c>
      <c r="X154" s="156">
        <f>+VLOOKUP($L154,Data_Validation!$A:$F,6,0)</f>
        <v>0</v>
      </c>
    </row>
    <row r="155" spans="1:24" ht="15.75" hidden="1" customHeight="1">
      <c r="A155" s="1163" t="s">
        <v>2031</v>
      </c>
      <c r="B155" s="1164">
        <v>4781</v>
      </c>
      <c r="C155" s="1165">
        <v>0</v>
      </c>
      <c r="D155" s="1165">
        <v>-33573.71</v>
      </c>
      <c r="E155" s="1165">
        <v>-33573.71</v>
      </c>
      <c r="F155" s="1163" t="s">
        <v>285</v>
      </c>
      <c r="G155" s="1163" t="s">
        <v>2032</v>
      </c>
      <c r="H155" s="1177"/>
      <c r="I155" s="1179"/>
      <c r="J155" s="1179"/>
      <c r="K155" s="1179"/>
      <c r="L155" s="153">
        <f t="shared" si="10"/>
        <v>4781</v>
      </c>
      <c r="M155" s="154" t="str">
        <f t="shared" si="11"/>
        <v>VENTES PNEUS</v>
      </c>
      <c r="N155" s="155">
        <f>+IF(OR($Q155=Parametres!$G$2,$Q155=Parametres!$G$3),I155,C155)</f>
        <v>0</v>
      </c>
      <c r="O155" s="1108">
        <f>+IF(OR($Q155=Parametres!$G$2,$Q155=Parametres!$G$3),J155,D155)</f>
        <v>-33573.71</v>
      </c>
      <c r="P155" s="155">
        <f>+IF(OR($Q155=Parametres!$G$2,$Q155=Parametres!$G$3),K155,E155)</f>
        <v>-33573.71</v>
      </c>
      <c r="Q155" s="154" t="str">
        <f t="shared" si="12"/>
        <v>5-Ventes</v>
      </c>
      <c r="R155" s="153" t="str">
        <f t="shared" si="13"/>
        <v>4781</v>
      </c>
      <c r="S155" s="154">
        <f t="shared" si="14"/>
        <v>0</v>
      </c>
      <c r="T155" s="156">
        <f>+VLOOKUP($L155,Data_Validation!$A:$D,1,0)</f>
        <v>4781</v>
      </c>
      <c r="U155" s="156" t="str">
        <f>+VLOOKUP($L155,Data_Validation!$A:$D,3,0)</f>
        <v>Pièces</v>
      </c>
      <c r="V155" s="156" t="str">
        <f>+VLOOKUP($L155,Data_Validation!$A:$D,4,0)</f>
        <v>Ventes Pneus</v>
      </c>
      <c r="W155" s="156" t="str">
        <f>+VLOOKUP($L155,Data_Validation!$A:$E,5,0)</f>
        <v>$</v>
      </c>
      <c r="X155" s="156" t="str">
        <f>+VLOOKUP($L155,Data_Validation!$A:$F,6,0)</f>
        <v>Oui</v>
      </c>
    </row>
    <row r="156" spans="1:24" ht="15" hidden="1" customHeight="1">
      <c r="A156" s="1163" t="s">
        <v>2031</v>
      </c>
      <c r="B156" s="1164" t="s">
        <v>2553</v>
      </c>
      <c r="C156" s="1165"/>
      <c r="D156" s="1165"/>
      <c r="E156" s="1165"/>
      <c r="F156" s="1163" t="s">
        <v>4</v>
      </c>
      <c r="G156" s="1163" t="s">
        <v>2032</v>
      </c>
      <c r="H156" s="1177"/>
      <c r="I156" s="1177">
        <v>0</v>
      </c>
      <c r="J156" s="1177">
        <v>-35</v>
      </c>
      <c r="K156" s="1177">
        <v>-35</v>
      </c>
      <c r="L156" s="153" t="str">
        <f t="shared" si="10"/>
        <v>4781@</v>
      </c>
      <c r="M156" s="154" t="str">
        <f t="shared" si="11"/>
        <v>VENTES PNEUS</v>
      </c>
      <c r="N156" s="155">
        <f>+IF(OR($Q156=Parametres!$G$2,$Q156=Parametres!$G$3),I156,C156)</f>
        <v>0</v>
      </c>
      <c r="O156" s="1108">
        <f>+IF(OR($Q156=Parametres!$G$2,$Q156=Parametres!$G$3),J156,D156)</f>
        <v>-35</v>
      </c>
      <c r="P156" s="155">
        <f>+IF(OR($Q156=Parametres!$G$2,$Q156=Parametres!$G$3),K156,E156)</f>
        <v>-35</v>
      </c>
      <c r="Q156" s="154" t="str">
        <f t="shared" si="12"/>
        <v>10-Compte compteur</v>
      </c>
      <c r="R156" s="153" t="str">
        <f t="shared" si="13"/>
        <v>4781</v>
      </c>
      <c r="S156" s="154">
        <f t="shared" si="14"/>
        <v>0</v>
      </c>
      <c r="T156" s="156" t="str">
        <f>+VLOOKUP($L156,Data_Validation!$A:$D,1,0)</f>
        <v>4781@</v>
      </c>
      <c r="U156" s="156" t="str">
        <f>+VLOOKUP($L156,Data_Validation!$A:$D,3,0)</f>
        <v>Pièces</v>
      </c>
      <c r="V156" s="156" t="str">
        <f>+VLOOKUP($L156,Data_Validation!$A:$D,4,0)</f>
        <v>Ventes Pneus</v>
      </c>
      <c r="W156" s="156" t="str">
        <f>+VLOOKUP($L156,Data_Validation!$A:$E,5,0)</f>
        <v>NB</v>
      </c>
      <c r="X156" s="156">
        <f>+VLOOKUP($L156,Data_Validation!$A:$F,6,0)</f>
        <v>0</v>
      </c>
    </row>
    <row r="157" spans="1:24" ht="15" hidden="1" customHeight="1">
      <c r="A157" s="1163" t="s">
        <v>2117</v>
      </c>
      <c r="B157" s="1164">
        <v>4785</v>
      </c>
      <c r="C157" s="1165">
        <v>0</v>
      </c>
      <c r="D157" s="1165">
        <v>2080.6</v>
      </c>
      <c r="E157" s="1165">
        <v>2080.6</v>
      </c>
      <c r="F157" s="1163" t="s">
        <v>285</v>
      </c>
      <c r="G157" s="1163" t="s">
        <v>2032</v>
      </c>
      <c r="H157" s="1168"/>
      <c r="I157" s="1174"/>
      <c r="J157" s="1174"/>
      <c r="K157" s="1174"/>
      <c r="L157" s="153">
        <f t="shared" si="10"/>
        <v>4785</v>
      </c>
      <c r="M157" s="154" t="str">
        <f t="shared" si="11"/>
        <v>VTE - VW PNEUS</v>
      </c>
      <c r="N157" s="155">
        <f>+IF(OR($Q157=Parametres!$G$2,$Q157=Parametres!$G$3),I157,C157)</f>
        <v>0</v>
      </c>
      <c r="O157" s="1108">
        <f>+IF(OR($Q157=Parametres!$G$2,$Q157=Parametres!$G$3),J157,D157)</f>
        <v>2080.6</v>
      </c>
      <c r="P157" s="155">
        <f>+IF(OR($Q157=Parametres!$G$2,$Q157=Parametres!$G$3),K157,E157)</f>
        <v>2080.6</v>
      </c>
      <c r="Q157" s="154" t="str">
        <f t="shared" si="12"/>
        <v>5-Ventes</v>
      </c>
      <c r="R157" s="153" t="str">
        <f t="shared" si="13"/>
        <v>4781</v>
      </c>
      <c r="S157" s="154">
        <f t="shared" si="14"/>
        <v>0</v>
      </c>
      <c r="T157" s="156">
        <f>+VLOOKUP($L157,Data_Validation!$A:$D,1,0)</f>
        <v>4785</v>
      </c>
      <c r="U157" s="156" t="str">
        <f>+VLOOKUP($L157,Data_Validation!$A:$D,3,0)</f>
        <v>Pièces</v>
      </c>
      <c r="V157" s="156" t="str">
        <f>+VLOOKUP($L157,Data_Validation!$A:$D,4,0)</f>
        <v>Ventes Pneus</v>
      </c>
      <c r="W157" s="156" t="str">
        <f>+VLOOKUP($L157,Data_Validation!$A:$E,5,0)</f>
        <v>$</v>
      </c>
      <c r="X157" s="156" t="str">
        <f>+VLOOKUP($L157,Data_Validation!$A:$F,6,0)</f>
        <v>Oui</v>
      </c>
    </row>
    <row r="158" spans="1:24" ht="15" hidden="1" customHeight="1">
      <c r="A158" s="1163" t="s">
        <v>2835</v>
      </c>
      <c r="B158" s="1164">
        <v>5100</v>
      </c>
      <c r="C158" s="1165">
        <v>0</v>
      </c>
      <c r="D158" s="1165">
        <v>259523.63</v>
      </c>
      <c r="E158" s="1165">
        <v>259523.63</v>
      </c>
      <c r="F158" s="1163" t="s">
        <v>424</v>
      </c>
      <c r="G158" s="1163" t="s">
        <v>2023</v>
      </c>
      <c r="H158" s="1168"/>
      <c r="I158" s="1170"/>
      <c r="J158" s="1170"/>
      <c r="K158" s="1170"/>
      <c r="L158" s="153">
        <f t="shared" si="10"/>
        <v>5100</v>
      </c>
      <c r="M158" s="154" t="str">
        <f t="shared" si="11"/>
        <v>C/V - RACHAT DE BAIL</v>
      </c>
      <c r="N158" s="155">
        <f>+IF(OR($Q158=Parametres!$G$2,$Q158=Parametres!$G$3),I158,C158)</f>
        <v>0</v>
      </c>
      <c r="O158" s="1108">
        <f>+IF(OR($Q158=Parametres!$G$2,$Q158=Parametres!$G$3),J158,D158)</f>
        <v>259523.63</v>
      </c>
      <c r="P158" s="155">
        <f>+IF(OR($Q158=Parametres!$G$2,$Q158=Parametres!$G$3),K158,E158)</f>
        <v>259523.63</v>
      </c>
      <c r="Q158" s="154" t="str">
        <f t="shared" si="12"/>
        <v>6-Coût des ventes</v>
      </c>
      <c r="R158" s="153" t="str">
        <f t="shared" si="13"/>
        <v>4100</v>
      </c>
      <c r="S158" s="154">
        <f t="shared" si="14"/>
        <v>0</v>
      </c>
      <c r="T158" s="156">
        <f>+VLOOKUP($L158,Data_Validation!$A:$D,1,0)</f>
        <v>5100</v>
      </c>
      <c r="U158" s="156" t="str">
        <f>+VLOOKUP($L158,Data_Validation!$A:$D,3,0)</f>
        <v>Véhicules neufs</v>
      </c>
      <c r="V158" s="156" t="str">
        <f>+VLOOKUP($L158,Data_Validation!$A:$D,4,0)</f>
        <v>Rachat bail</v>
      </c>
      <c r="W158" s="156" t="str">
        <f>+VLOOKUP($L158,Data_Validation!$A:$E,5,0)</f>
        <v>$</v>
      </c>
      <c r="X158" s="156">
        <f>+VLOOKUP($L158,Data_Validation!$A:$F,6,0)</f>
        <v>0</v>
      </c>
    </row>
    <row r="159" spans="1:24" ht="15.75" hidden="1" customHeight="1">
      <c r="A159" s="1163" t="s">
        <v>2445</v>
      </c>
      <c r="B159" s="1164">
        <v>5109</v>
      </c>
      <c r="C159" s="1165">
        <v>0</v>
      </c>
      <c r="D159" s="1165">
        <v>84437.19</v>
      </c>
      <c r="E159" s="1165">
        <v>84437.19</v>
      </c>
      <c r="F159" s="1163" t="s">
        <v>424</v>
      </c>
      <c r="G159" s="1163" t="s">
        <v>2431</v>
      </c>
      <c r="H159" s="1168"/>
      <c r="I159" s="1170"/>
      <c r="J159" s="1170"/>
      <c r="K159" s="1170"/>
      <c r="L159" s="153">
        <f t="shared" si="10"/>
        <v>5109</v>
      </c>
      <c r="M159" s="154" t="str">
        <f t="shared" si="11"/>
        <v>C/V - GOLF R</v>
      </c>
      <c r="N159" s="155">
        <f>+IF(OR($Q159=Parametres!$G$2,$Q159=Parametres!$G$3),I159,C159)</f>
        <v>0</v>
      </c>
      <c r="O159" s="1108">
        <f>+IF(OR($Q159=Parametres!$G$2,$Q159=Parametres!$G$3),J159,D159)</f>
        <v>84437.19</v>
      </c>
      <c r="P159" s="155">
        <f>+IF(OR($Q159=Parametres!$G$2,$Q159=Parametres!$G$3),K159,E159)</f>
        <v>84437.19</v>
      </c>
      <c r="Q159" s="154" t="str">
        <f t="shared" si="12"/>
        <v>6-Coût des ventes</v>
      </c>
      <c r="R159" s="153" t="str">
        <f t="shared" si="13"/>
        <v>4109</v>
      </c>
      <c r="S159" s="154">
        <f t="shared" si="14"/>
        <v>0</v>
      </c>
      <c r="T159" s="156">
        <f>+VLOOKUP($L159,Data_Validation!$A:$D,1,0)</f>
        <v>5109</v>
      </c>
      <c r="U159" s="156" t="str">
        <f>+VLOOKUP($L159,Data_Validation!$A:$D,3,0)</f>
        <v>Véhicules neufs</v>
      </c>
      <c r="V159" s="156" t="str">
        <f>+VLOOKUP($L159,Data_Validation!$A:$D,4,0)</f>
        <v>Autos détail</v>
      </c>
      <c r="W159" s="156" t="str">
        <f>+VLOOKUP($L159,Data_Validation!$A:$E,5,0)</f>
        <v>$</v>
      </c>
      <c r="X159" s="156">
        <f>+VLOOKUP($L159,Data_Validation!$A:$F,6,0)</f>
        <v>0</v>
      </c>
    </row>
    <row r="160" spans="1:24" ht="15" hidden="1" customHeight="1">
      <c r="A160" s="1163" t="s">
        <v>2913</v>
      </c>
      <c r="B160" s="1164">
        <v>5118</v>
      </c>
      <c r="C160" s="1165">
        <v>0</v>
      </c>
      <c r="D160" s="1165">
        <v>418703.48</v>
      </c>
      <c r="E160" s="1165">
        <v>418703.48</v>
      </c>
      <c r="F160" s="1163" t="s">
        <v>424</v>
      </c>
      <c r="G160" s="1163" t="s">
        <v>1526</v>
      </c>
      <c r="H160" s="1168"/>
      <c r="I160" s="1170"/>
      <c r="J160" s="1170"/>
      <c r="K160" s="1170"/>
      <c r="L160" s="153">
        <f t="shared" si="10"/>
        <v>5118</v>
      </c>
      <c r="M160" s="154" t="str">
        <f t="shared" si="11"/>
        <v>C/V - TAOS</v>
      </c>
      <c r="N160" s="155">
        <f>+IF(OR($Q160=Parametres!$G$2,$Q160=Parametres!$G$3),I160,C160)</f>
        <v>0</v>
      </c>
      <c r="O160" s="1108">
        <f>+IF(OR($Q160=Parametres!$G$2,$Q160=Parametres!$G$3),J160,D160)</f>
        <v>418703.48</v>
      </c>
      <c r="P160" s="155">
        <f>+IF(OR($Q160=Parametres!$G$2,$Q160=Parametres!$G$3),K160,E160)</f>
        <v>418703.48</v>
      </c>
      <c r="Q160" s="154" t="str">
        <f t="shared" si="12"/>
        <v>6-Coût des ventes</v>
      </c>
      <c r="R160" s="153" t="str">
        <f t="shared" si="13"/>
        <v>511</v>
      </c>
      <c r="S160" s="154">
        <f t="shared" si="14"/>
        <v>0</v>
      </c>
      <c r="T160" s="156">
        <f>+VLOOKUP($L160,Data_Validation!$A:$D,1,0)</f>
        <v>5118</v>
      </c>
      <c r="U160" s="156" t="str">
        <f>+VLOOKUP($L160,Data_Validation!$A:$D,3,0)</f>
        <v>Véhicules neufs</v>
      </c>
      <c r="V160" s="156" t="str">
        <f>+VLOOKUP($L160,Data_Validation!$A:$D,4,0)</f>
        <v>Camions détail</v>
      </c>
      <c r="W160" s="156" t="str">
        <f>+VLOOKUP($L160,Data_Validation!$A:$E,5,0)</f>
        <v>$</v>
      </c>
      <c r="X160" s="156">
        <f>+VLOOKUP($L160,Data_Validation!$A:$F,6,0)</f>
        <v>0</v>
      </c>
    </row>
    <row r="161" spans="1:24" ht="15" hidden="1" customHeight="1">
      <c r="A161" s="1163" t="s">
        <v>2845</v>
      </c>
      <c r="B161" s="1164">
        <v>5119</v>
      </c>
      <c r="C161" s="1165">
        <v>0</v>
      </c>
      <c r="D161" s="1165">
        <v>268064.21000000002</v>
      </c>
      <c r="E161" s="1165">
        <v>268064.21000000002</v>
      </c>
      <c r="F161" s="1163" t="s">
        <v>424</v>
      </c>
      <c r="G161" s="1163" t="s">
        <v>2000</v>
      </c>
      <c r="H161" s="1168"/>
      <c r="I161" s="1170"/>
      <c r="J161" s="1170"/>
      <c r="K161" s="1170"/>
      <c r="L161" s="153">
        <f t="shared" si="10"/>
        <v>5119</v>
      </c>
      <c r="M161" s="154" t="str">
        <f t="shared" si="11"/>
        <v>C/V - ATLAS</v>
      </c>
      <c r="N161" s="155">
        <f>+IF(OR($Q161=Parametres!$G$2,$Q161=Parametres!$G$3),I161,C161)</f>
        <v>0</v>
      </c>
      <c r="O161" s="1108">
        <f>+IF(OR($Q161=Parametres!$G$2,$Q161=Parametres!$G$3),J161,D161)</f>
        <v>268064.21000000002</v>
      </c>
      <c r="P161" s="155">
        <f>+IF(OR($Q161=Parametres!$G$2,$Q161=Parametres!$G$3),K161,E161)</f>
        <v>268064.21000000002</v>
      </c>
      <c r="Q161" s="154" t="str">
        <f t="shared" si="12"/>
        <v>6-Coût des ventes</v>
      </c>
      <c r="R161" s="153" t="str">
        <f t="shared" si="13"/>
        <v>4119</v>
      </c>
      <c r="S161" s="154">
        <f t="shared" si="14"/>
        <v>0</v>
      </c>
      <c r="T161" s="156">
        <f>+VLOOKUP($L161,Data_Validation!$A:$D,1,0)</f>
        <v>5119</v>
      </c>
      <c r="U161" s="156" t="str">
        <f>+VLOOKUP($L161,Data_Validation!$A:$D,3,0)</f>
        <v>Véhicules neufs</v>
      </c>
      <c r="V161" s="156" t="str">
        <f>+VLOOKUP($L161,Data_Validation!$A:$D,4,0)</f>
        <v>Camions détail</v>
      </c>
      <c r="W161" s="156" t="str">
        <f>+VLOOKUP($L161,Data_Validation!$A:$E,5,0)</f>
        <v>$</v>
      </c>
      <c r="X161" s="156">
        <f>+VLOOKUP($L161,Data_Validation!$A:$F,6,0)</f>
        <v>0</v>
      </c>
    </row>
    <row r="162" spans="1:24" ht="15" hidden="1" customHeight="1">
      <c r="A162" s="1163" t="s">
        <v>2831</v>
      </c>
      <c r="B162" s="1164">
        <v>5127</v>
      </c>
      <c r="C162" s="1165">
        <v>0</v>
      </c>
      <c r="D162" s="1165">
        <v>41906.85</v>
      </c>
      <c r="E162" s="1165">
        <v>41906.85</v>
      </c>
      <c r="F162" s="1163" t="s">
        <v>424</v>
      </c>
      <c r="G162" s="1163" t="s">
        <v>2028</v>
      </c>
      <c r="H162" s="1177"/>
      <c r="I162" s="1179"/>
      <c r="J162" s="1179"/>
      <c r="K162" s="1179"/>
      <c r="L162" s="153">
        <f t="shared" si="10"/>
        <v>5127</v>
      </c>
      <c r="M162" s="154" t="str">
        <f t="shared" si="11"/>
        <v>C/V - GOLF GTI</v>
      </c>
      <c r="N162" s="155">
        <f>+IF(OR($Q162=Parametres!$G$2,$Q162=Parametres!$G$3),I162,C162)</f>
        <v>0</v>
      </c>
      <c r="O162" s="1108">
        <f>+IF(OR($Q162=Parametres!$G$2,$Q162=Parametres!$G$3),J162,D162)</f>
        <v>41906.85</v>
      </c>
      <c r="P162" s="155">
        <f>+IF(OR($Q162=Parametres!$G$2,$Q162=Parametres!$G$3),K162,E162)</f>
        <v>41906.85</v>
      </c>
      <c r="Q162" s="154" t="str">
        <f t="shared" si="12"/>
        <v>6-Coût des ventes</v>
      </c>
      <c r="R162" s="153" t="str">
        <f t="shared" si="13"/>
        <v>4127</v>
      </c>
      <c r="S162" s="154">
        <f t="shared" si="14"/>
        <v>0</v>
      </c>
      <c r="T162" s="156">
        <f>+VLOOKUP($L162,Data_Validation!$A:$D,1,0)</f>
        <v>5127</v>
      </c>
      <c r="U162" s="156" t="str">
        <f>+VLOOKUP($L162,Data_Validation!$A:$D,3,0)</f>
        <v>Véhicules neufs</v>
      </c>
      <c r="V162" s="156" t="str">
        <f>+VLOOKUP($L162,Data_Validation!$A:$D,4,0)</f>
        <v>Autos détail</v>
      </c>
      <c r="W162" s="156" t="str">
        <f>+VLOOKUP($L162,Data_Validation!$A:$E,5,0)</f>
        <v>$</v>
      </c>
      <c r="X162" s="156">
        <f>+VLOOKUP($L162,Data_Validation!$A:$F,6,0)</f>
        <v>0</v>
      </c>
    </row>
    <row r="163" spans="1:24" ht="15.75" hidden="1" customHeight="1">
      <c r="A163" s="1163" t="s">
        <v>2850</v>
      </c>
      <c r="B163" s="1164">
        <v>5131</v>
      </c>
      <c r="C163" s="1165">
        <v>0</v>
      </c>
      <c r="D163" s="1165">
        <v>727929.31</v>
      </c>
      <c r="E163" s="1165">
        <v>727929.31</v>
      </c>
      <c r="F163" s="1163" t="s">
        <v>424</v>
      </c>
      <c r="G163" s="1163" t="s">
        <v>1996</v>
      </c>
      <c r="H163" s="1171"/>
      <c r="I163" s="1171"/>
      <c r="J163" s="1171"/>
      <c r="K163" s="1171"/>
      <c r="L163" s="153">
        <f t="shared" si="10"/>
        <v>5131</v>
      </c>
      <c r="M163" s="154" t="str">
        <f t="shared" si="11"/>
        <v>C/V - TIGUAN LWB</v>
      </c>
      <c r="N163" s="155">
        <f>+IF(OR($Q163=Parametres!$G$2,$Q163=Parametres!$G$3),I163,C163)</f>
        <v>0</v>
      </c>
      <c r="O163" s="1108">
        <f>+IF(OR($Q163=Parametres!$G$2,$Q163=Parametres!$G$3),J163,D163)</f>
        <v>727929.31</v>
      </c>
      <c r="P163" s="155">
        <f>+IF(OR($Q163=Parametres!$G$2,$Q163=Parametres!$G$3),K163,E163)</f>
        <v>727929.31</v>
      </c>
      <c r="Q163" s="154" t="str">
        <f t="shared" si="12"/>
        <v>6-Coût des ventes</v>
      </c>
      <c r="R163" s="153" t="str">
        <f t="shared" si="13"/>
        <v>4131</v>
      </c>
      <c r="S163" s="154">
        <f t="shared" si="14"/>
        <v>0</v>
      </c>
      <c r="T163" s="156">
        <f>+VLOOKUP($L163,Data_Validation!$A:$D,1,0)</f>
        <v>5131</v>
      </c>
      <c r="U163" s="156" t="str">
        <f>+VLOOKUP($L163,Data_Validation!$A:$D,3,0)</f>
        <v>Véhicules neufs</v>
      </c>
      <c r="V163" s="156" t="str">
        <f>+VLOOKUP($L163,Data_Validation!$A:$D,4,0)</f>
        <v>Camions détail</v>
      </c>
      <c r="W163" s="156" t="str">
        <f>+VLOOKUP($L163,Data_Validation!$A:$E,5,0)</f>
        <v>$</v>
      </c>
      <c r="X163" s="156">
        <f>+VLOOKUP($L163,Data_Validation!$A:$F,6,0)</f>
        <v>0</v>
      </c>
    </row>
    <row r="164" spans="1:24" ht="15" hidden="1" customHeight="1">
      <c r="A164" s="1163" t="s">
        <v>2451</v>
      </c>
      <c r="B164" s="1164">
        <v>5139</v>
      </c>
      <c r="C164" s="1165">
        <v>0</v>
      </c>
      <c r="D164" s="1165">
        <v>294660.83</v>
      </c>
      <c r="E164" s="1165">
        <v>294660.83</v>
      </c>
      <c r="F164" s="1163" t="s">
        <v>424</v>
      </c>
      <c r="G164" s="1163" t="s">
        <v>2002</v>
      </c>
      <c r="H164" s="1175"/>
      <c r="I164" s="1175"/>
      <c r="J164" s="1175"/>
      <c r="K164" s="1175"/>
      <c r="L164" s="153">
        <f t="shared" si="10"/>
        <v>5139</v>
      </c>
      <c r="M164" s="154" t="str">
        <f t="shared" si="11"/>
        <v>C/V - VW FLOTTE/VENTE ENTR/EMPLOYE/VEH DEMONS</v>
      </c>
      <c r="N164" s="155">
        <f>+IF(OR($Q164=Parametres!$G$2,$Q164=Parametres!$G$3),I164,C164)</f>
        <v>0</v>
      </c>
      <c r="O164" s="1108">
        <f>+IF(OR($Q164=Parametres!$G$2,$Q164=Parametres!$G$3),J164,D164)</f>
        <v>294660.83</v>
      </c>
      <c r="P164" s="155">
        <f>+IF(OR($Q164=Parametres!$G$2,$Q164=Parametres!$G$3),K164,E164)</f>
        <v>294660.83</v>
      </c>
      <c r="Q164" s="154" t="str">
        <f t="shared" si="12"/>
        <v>6-Coût des ventes</v>
      </c>
      <c r="R164" s="153" t="str">
        <f t="shared" si="13"/>
        <v>4139</v>
      </c>
      <c r="S164" s="154">
        <f t="shared" si="14"/>
        <v>0</v>
      </c>
      <c r="T164" s="156">
        <f>+VLOOKUP($L164,Data_Validation!$A:$D,1,0)</f>
        <v>5139</v>
      </c>
      <c r="U164" s="156" t="str">
        <f>+VLOOKUP($L164,Data_Validation!$A:$D,3,0)</f>
        <v>Véhicules neufs</v>
      </c>
      <c r="V164" s="156" t="str">
        <f>+VLOOKUP($L164,Data_Validation!$A:$D,4,0)</f>
        <v>Ex-Démos et courtoisies</v>
      </c>
      <c r="W164" s="156" t="str">
        <f>+VLOOKUP($L164,Data_Validation!$A:$E,5,0)</f>
        <v>$</v>
      </c>
      <c r="X164" s="156">
        <f>+VLOOKUP($L164,Data_Validation!$A:$F,6,0)</f>
        <v>0</v>
      </c>
    </row>
    <row r="165" spans="1:24" ht="15" hidden="1" customHeight="1">
      <c r="A165" s="1163" t="s">
        <v>2847</v>
      </c>
      <c r="B165" s="1164">
        <v>5201</v>
      </c>
      <c r="C165" s="1165">
        <v>0</v>
      </c>
      <c r="D165" s="1165">
        <v>325452</v>
      </c>
      <c r="E165" s="1165">
        <v>325452</v>
      </c>
      <c r="F165" s="1163" t="s">
        <v>424</v>
      </c>
      <c r="G165" s="1163" t="s">
        <v>1998</v>
      </c>
      <c r="H165" s="1175"/>
      <c r="I165" s="1175"/>
      <c r="J165" s="1175"/>
      <c r="K165" s="1175"/>
      <c r="L165" s="153">
        <f t="shared" si="10"/>
        <v>5201</v>
      </c>
      <c r="M165" s="154" t="str">
        <f t="shared" si="11"/>
        <v>C/V - VEH.USAGE VW DETAIL CERTIFIE</v>
      </c>
      <c r="N165" s="155">
        <f>+IF(OR($Q165=Parametres!$G$2,$Q165=Parametres!$G$3),I165,C165)</f>
        <v>0</v>
      </c>
      <c r="O165" s="1108">
        <f>+IF(OR($Q165=Parametres!$G$2,$Q165=Parametres!$G$3),J165,D165)</f>
        <v>325452</v>
      </c>
      <c r="P165" s="155">
        <f>+IF(OR($Q165=Parametres!$G$2,$Q165=Parametres!$G$3),K165,E165)</f>
        <v>325452</v>
      </c>
      <c r="Q165" s="154" t="str">
        <f t="shared" si="12"/>
        <v>6-Coût des ventes</v>
      </c>
      <c r="R165" s="153" t="str">
        <f t="shared" si="13"/>
        <v>4201</v>
      </c>
      <c r="S165" s="154">
        <f t="shared" si="14"/>
        <v>0</v>
      </c>
      <c r="T165" s="156">
        <f>+VLOOKUP($L165,Data_Validation!$A:$D,1,0)</f>
        <v>5201</v>
      </c>
      <c r="U165" s="156" t="str">
        <f>+VLOOKUP($L165,Data_Validation!$A:$D,3,0)</f>
        <v>Véhicules usagés</v>
      </c>
      <c r="V165" s="156" t="str">
        <f>+VLOOKUP($L165,Data_Validation!$A:$D,4,0)</f>
        <v>Certifié</v>
      </c>
      <c r="W165" s="156" t="str">
        <f>+VLOOKUP($L165,Data_Validation!$A:$E,5,0)</f>
        <v>$</v>
      </c>
      <c r="X165" s="156">
        <f>+VLOOKUP($L165,Data_Validation!$A:$F,6,0)</f>
        <v>0</v>
      </c>
    </row>
    <row r="166" spans="1:24" ht="15" hidden="1" customHeight="1">
      <c r="A166" s="1163" t="s">
        <v>2825</v>
      </c>
      <c r="B166" s="1164">
        <v>5203</v>
      </c>
      <c r="C166" s="1165">
        <v>0</v>
      </c>
      <c r="D166" s="1165">
        <v>39633.99</v>
      </c>
      <c r="E166" s="1165">
        <v>39633.99</v>
      </c>
      <c r="F166" s="1163" t="s">
        <v>424</v>
      </c>
      <c r="G166" s="1163" t="s">
        <v>1998</v>
      </c>
      <c r="H166" s="1168"/>
      <c r="I166" s="1170"/>
      <c r="J166" s="1170"/>
      <c r="K166" s="1170"/>
      <c r="L166" s="153">
        <f t="shared" si="10"/>
        <v>5203</v>
      </c>
      <c r="M166" s="154" t="str">
        <f t="shared" si="11"/>
        <v>C/V - RECOND USAGE VW CERT.</v>
      </c>
      <c r="N166" s="155">
        <f>+IF(OR($Q166=Parametres!$G$2,$Q166=Parametres!$G$3),I166,C166)</f>
        <v>0</v>
      </c>
      <c r="O166" s="1108">
        <f>+IF(OR($Q166=Parametres!$G$2,$Q166=Parametres!$G$3),J166,D166)</f>
        <v>39633.99</v>
      </c>
      <c r="P166" s="155">
        <f>+IF(OR($Q166=Parametres!$G$2,$Q166=Parametres!$G$3),K166,E166)</f>
        <v>39633.99</v>
      </c>
      <c r="Q166" s="154" t="str">
        <f t="shared" si="12"/>
        <v>6-Coût des ventes</v>
      </c>
      <c r="R166" s="153" t="str">
        <f t="shared" si="13"/>
        <v>4201</v>
      </c>
      <c r="S166" s="154">
        <f t="shared" si="14"/>
        <v>0</v>
      </c>
      <c r="T166" s="156">
        <f>+VLOOKUP($L166,Data_Validation!$A:$D,1,0)</f>
        <v>5203</v>
      </c>
      <c r="U166" s="156" t="str">
        <f>+VLOOKUP($L166,Data_Validation!$A:$D,3,0)</f>
        <v>Véhicules usagés</v>
      </c>
      <c r="V166" s="156" t="str">
        <f>+VLOOKUP($L166,Data_Validation!$A:$D,4,0)</f>
        <v>Certifié</v>
      </c>
      <c r="W166" s="156" t="str">
        <f>+VLOOKUP($L166,Data_Validation!$A:$E,5,0)</f>
        <v>$</v>
      </c>
      <c r="X166" s="156">
        <f>+VLOOKUP($L166,Data_Validation!$A:$F,6,0)</f>
        <v>0</v>
      </c>
    </row>
    <row r="167" spans="1:24" ht="15" hidden="1" customHeight="1">
      <c r="A167" s="1163" t="s">
        <v>2003</v>
      </c>
      <c r="B167" s="1164">
        <v>5291</v>
      </c>
      <c r="C167" s="1165">
        <v>0</v>
      </c>
      <c r="D167" s="1165">
        <v>212661.65</v>
      </c>
      <c r="E167" s="1165">
        <v>212661.65</v>
      </c>
      <c r="F167" s="1163" t="s">
        <v>424</v>
      </c>
      <c r="G167" s="1163" t="s">
        <v>2005</v>
      </c>
      <c r="H167" s="1168"/>
      <c r="I167" s="1170"/>
      <c r="J167" s="1170"/>
      <c r="K167" s="1170"/>
      <c r="L167" s="153">
        <f t="shared" si="10"/>
        <v>5291</v>
      </c>
      <c r="M167" s="154" t="str">
        <f t="shared" si="11"/>
        <v>VEH. D'OCC. AU GROS</v>
      </c>
      <c r="N167" s="155">
        <f>+IF(OR($Q167=Parametres!$G$2,$Q167=Parametres!$G$3),I167,C167)</f>
        <v>0</v>
      </c>
      <c r="O167" s="1108">
        <f>+IF(OR($Q167=Parametres!$G$2,$Q167=Parametres!$G$3),J167,D167)</f>
        <v>212661.65</v>
      </c>
      <c r="P167" s="155">
        <f>+IF(OR($Q167=Parametres!$G$2,$Q167=Parametres!$G$3),K167,E167)</f>
        <v>212661.65</v>
      </c>
      <c r="Q167" s="154" t="str">
        <f t="shared" si="12"/>
        <v>6-Coût des ventes</v>
      </c>
      <c r="R167" s="153" t="str">
        <f t="shared" si="13"/>
        <v>4281</v>
      </c>
      <c r="S167" s="154">
        <f t="shared" si="14"/>
        <v>0</v>
      </c>
      <c r="T167" s="156">
        <f>+VLOOKUP($L167,Data_Validation!$A:$D,1,0)</f>
        <v>5291</v>
      </c>
      <c r="U167" s="156" t="str">
        <f>+VLOOKUP($L167,Data_Validation!$A:$D,3,0)</f>
        <v>Véhicules usagés</v>
      </c>
      <c r="V167" s="156" t="str">
        <f>+VLOOKUP($L167,Data_Validation!$A:$D,4,0)</f>
        <v>Ventes au Gros</v>
      </c>
      <c r="W167" s="156" t="str">
        <f>+VLOOKUP($L167,Data_Validation!$A:$E,5,0)</f>
        <v>$</v>
      </c>
      <c r="X167" s="156">
        <f>+VLOOKUP($L167,Data_Validation!$A:$F,6,0)</f>
        <v>0</v>
      </c>
    </row>
    <row r="168" spans="1:24" ht="15.75" hidden="1" customHeight="1">
      <c r="A168" s="1163" t="s">
        <v>2823</v>
      </c>
      <c r="B168" s="1164">
        <v>5401</v>
      </c>
      <c r="C168" s="1165">
        <v>0</v>
      </c>
      <c r="D168" s="1165">
        <v>16184.73</v>
      </c>
      <c r="E168" s="1165">
        <v>16184.73</v>
      </c>
      <c r="F168" s="1163" t="s">
        <v>424</v>
      </c>
      <c r="G168" s="1163" t="s">
        <v>2009</v>
      </c>
      <c r="H168" s="1168"/>
      <c r="I168" s="1170"/>
      <c r="J168" s="1170"/>
      <c r="K168" s="1170"/>
      <c r="L168" s="153">
        <f t="shared" si="10"/>
        <v>5401</v>
      </c>
      <c r="M168" s="154" t="str">
        <f t="shared" si="11"/>
        <v>COUT M.O. MECANIQUE CLIENTS</v>
      </c>
      <c r="N168" s="155">
        <f>+IF(OR($Q168=Parametres!$G$2,$Q168=Parametres!$G$3),I168,C168)</f>
        <v>0</v>
      </c>
      <c r="O168" s="1108">
        <f>+IF(OR($Q168=Parametres!$G$2,$Q168=Parametres!$G$3),J168,D168)</f>
        <v>16184.73</v>
      </c>
      <c r="P168" s="155">
        <f>+IF(OR($Q168=Parametres!$G$2,$Q168=Parametres!$G$3),K168,E168)</f>
        <v>16184.73</v>
      </c>
      <c r="Q168" s="154" t="str">
        <f t="shared" si="12"/>
        <v>6-Coût des ventes</v>
      </c>
      <c r="R168" s="153" t="str">
        <f t="shared" si="13"/>
        <v>4401</v>
      </c>
      <c r="S168" s="154">
        <f t="shared" si="14"/>
        <v>0</v>
      </c>
      <c r="T168" s="156">
        <f>+VLOOKUP($L168,Data_Validation!$A:$D,1,0)</f>
        <v>5401</v>
      </c>
      <c r="U168" s="156" t="str">
        <f>+VLOOKUP($L168,Data_Validation!$A:$D,3,0)</f>
        <v>Service</v>
      </c>
      <c r="V168" s="156" t="str">
        <f>+VLOOKUP($L168,Data_Validation!$A:$D,4,0)</f>
        <v>M/O Client</v>
      </c>
      <c r="W168" s="156" t="str">
        <f>+VLOOKUP($L168,Data_Validation!$A:$E,5,0)</f>
        <v>$</v>
      </c>
      <c r="X168" s="156">
        <f>+VLOOKUP($L168,Data_Validation!$A:$F,6,0)</f>
        <v>0</v>
      </c>
    </row>
    <row r="169" spans="1:24" ht="15" hidden="1" customHeight="1">
      <c r="A169" s="1163" t="s">
        <v>2561</v>
      </c>
      <c r="B169" s="1164">
        <v>5402</v>
      </c>
      <c r="C169" s="1165">
        <v>0</v>
      </c>
      <c r="D169" s="1165">
        <v>12.5</v>
      </c>
      <c r="E169" s="1165">
        <v>12.5</v>
      </c>
      <c r="F169" s="1163" t="s">
        <v>424</v>
      </c>
      <c r="G169" s="1163" t="s">
        <v>2189</v>
      </c>
      <c r="H169" s="1177"/>
      <c r="I169" s="1177"/>
      <c r="J169" s="1177"/>
      <c r="K169" s="1177"/>
      <c r="L169" s="153">
        <f t="shared" si="10"/>
        <v>5402</v>
      </c>
      <c r="M169" s="154" t="str">
        <f t="shared" si="11"/>
        <v>C/V - M.O. ESTHETIQUE CLIENT</v>
      </c>
      <c r="N169" s="155">
        <f>+IF(OR($Q169=Parametres!$G$2,$Q169=Parametres!$G$3),I169,C169)</f>
        <v>0</v>
      </c>
      <c r="O169" s="1108">
        <f>+IF(OR($Q169=Parametres!$G$2,$Q169=Parametres!$G$3),J169,D169)</f>
        <v>12.5</v>
      </c>
      <c r="P169" s="155">
        <f>+IF(OR($Q169=Parametres!$G$2,$Q169=Parametres!$G$3),K169,E169)</f>
        <v>12.5</v>
      </c>
      <c r="Q169" s="154" t="str">
        <f t="shared" si="12"/>
        <v>6-Coût des ventes</v>
      </c>
      <c r="R169" s="153" t="str">
        <f t="shared" si="13"/>
        <v>4402</v>
      </c>
      <c r="S169" s="154">
        <f t="shared" si="14"/>
        <v>0</v>
      </c>
      <c r="T169" s="156">
        <f>+VLOOKUP($L169,Data_Validation!$A:$D,1,0)</f>
        <v>5402</v>
      </c>
      <c r="U169" s="156" t="str">
        <f>+VLOOKUP($L169,Data_Validation!$A:$D,3,0)</f>
        <v>Service</v>
      </c>
      <c r="V169" s="156" t="str">
        <f>+VLOOKUP($L169,Data_Validation!$A:$D,4,0)</f>
        <v>M/O Esthétique</v>
      </c>
      <c r="W169" s="156" t="str">
        <f>+VLOOKUP($L169,Data_Validation!$A:$E,5,0)</f>
        <v>$</v>
      </c>
      <c r="X169" s="156">
        <f>+VLOOKUP($L169,Data_Validation!$A:$F,6,0)</f>
        <v>0</v>
      </c>
    </row>
    <row r="170" spans="1:24" ht="15" hidden="1" customHeight="1">
      <c r="A170" s="1163" t="s">
        <v>2786</v>
      </c>
      <c r="B170" s="1164">
        <v>5403</v>
      </c>
      <c r="C170" s="1165">
        <v>0</v>
      </c>
      <c r="D170" s="1165">
        <v>15371.94</v>
      </c>
      <c r="E170" s="1165">
        <v>15371.94</v>
      </c>
      <c r="F170" s="1163" t="s">
        <v>424</v>
      </c>
      <c r="G170" s="1163" t="s">
        <v>2039</v>
      </c>
      <c r="H170" s="1177"/>
      <c r="I170" s="1177"/>
      <c r="J170" s="1177"/>
      <c r="K170" s="1177"/>
      <c r="L170" s="153">
        <f t="shared" si="10"/>
        <v>5403</v>
      </c>
      <c r="M170" s="154" t="str">
        <f t="shared" si="11"/>
        <v>COUT MEC VENTE GARANTIE MANUF</v>
      </c>
      <c r="N170" s="155">
        <f>+IF(OR($Q170=Parametres!$G$2,$Q170=Parametres!$G$3),I170,C170)</f>
        <v>0</v>
      </c>
      <c r="O170" s="1108">
        <f>+IF(OR($Q170=Parametres!$G$2,$Q170=Parametres!$G$3),J170,D170)</f>
        <v>15371.94</v>
      </c>
      <c r="P170" s="155">
        <f>+IF(OR($Q170=Parametres!$G$2,$Q170=Parametres!$G$3),K170,E170)</f>
        <v>15371.94</v>
      </c>
      <c r="Q170" s="154" t="str">
        <f t="shared" si="12"/>
        <v>6-Coût des ventes</v>
      </c>
      <c r="R170" s="153" t="str">
        <f t="shared" si="13"/>
        <v>4403</v>
      </c>
      <c r="S170" s="154">
        <f t="shared" si="14"/>
        <v>0</v>
      </c>
      <c r="T170" s="156">
        <f>+VLOOKUP($L170,Data_Validation!$A:$D,1,0)</f>
        <v>5403</v>
      </c>
      <c r="U170" s="156" t="str">
        <f>+VLOOKUP($L170,Data_Validation!$A:$D,3,0)</f>
        <v>Service</v>
      </c>
      <c r="V170" s="156" t="str">
        <f>+VLOOKUP($L170,Data_Validation!$A:$D,4,0)</f>
        <v>M/O Garantie</v>
      </c>
      <c r="W170" s="156" t="str">
        <f>+VLOOKUP($L170,Data_Validation!$A:$E,5,0)</f>
        <v>$</v>
      </c>
      <c r="X170" s="156">
        <f>+VLOOKUP($L170,Data_Validation!$A:$F,6,0)</f>
        <v>0</v>
      </c>
    </row>
    <row r="171" spans="1:24" ht="15" hidden="1" customHeight="1">
      <c r="A171" s="1163" t="s">
        <v>2772</v>
      </c>
      <c r="B171" s="1164">
        <v>5405</v>
      </c>
      <c r="C171" s="1165">
        <v>0</v>
      </c>
      <c r="D171" s="1165">
        <v>13176.1</v>
      </c>
      <c r="E171" s="1165">
        <v>13176.1</v>
      </c>
      <c r="F171" s="1163" t="s">
        <v>424</v>
      </c>
      <c r="G171" s="1163" t="s">
        <v>2049</v>
      </c>
      <c r="H171" s="1171"/>
      <c r="I171" s="1171"/>
      <c r="J171" s="1171"/>
      <c r="K171" s="1171"/>
      <c r="L171" s="153">
        <f t="shared" si="10"/>
        <v>5405</v>
      </c>
      <c r="M171" s="154" t="str">
        <f t="shared" si="11"/>
        <v>C D V VENTES M OINTERNE</v>
      </c>
      <c r="N171" s="155">
        <f>+IF(OR($Q171=Parametres!$G$2,$Q171=Parametres!$G$3),I171,C171)</f>
        <v>0</v>
      </c>
      <c r="O171" s="1108">
        <f>+IF(OR($Q171=Parametres!$G$2,$Q171=Parametres!$G$3),J171,D171)</f>
        <v>13176.1</v>
      </c>
      <c r="P171" s="155">
        <f>+IF(OR($Q171=Parametres!$G$2,$Q171=Parametres!$G$3),K171,E171)</f>
        <v>13176.1</v>
      </c>
      <c r="Q171" s="154" t="str">
        <f t="shared" si="12"/>
        <v>6-Coût des ventes</v>
      </c>
      <c r="R171" s="153" t="str">
        <f t="shared" si="13"/>
        <v>4405</v>
      </c>
      <c r="S171" s="154">
        <f t="shared" si="14"/>
        <v>0</v>
      </c>
      <c r="T171" s="156">
        <f>+VLOOKUP($L171,Data_Validation!$A:$D,1,0)</f>
        <v>5405</v>
      </c>
      <c r="U171" s="156" t="str">
        <f>+VLOOKUP($L171,Data_Validation!$A:$D,3,0)</f>
        <v>Service</v>
      </c>
      <c r="V171" s="156" t="str">
        <f>+VLOOKUP($L171,Data_Validation!$A:$D,4,0)</f>
        <v>M/O Interne</v>
      </c>
      <c r="W171" s="156" t="str">
        <f>+VLOOKUP($L171,Data_Validation!$A:$E,5,0)</f>
        <v>$</v>
      </c>
      <c r="X171" s="156">
        <f>+VLOOKUP($L171,Data_Validation!$A:$F,6,0)</f>
        <v>0</v>
      </c>
    </row>
    <row r="172" spans="1:24" ht="15.75" hidden="1" customHeight="1">
      <c r="A172" s="1163" t="s">
        <v>2720</v>
      </c>
      <c r="B172" s="1164">
        <v>5416</v>
      </c>
      <c r="C172" s="1165">
        <v>0</v>
      </c>
      <c r="D172" s="1165">
        <v>1913.67</v>
      </c>
      <c r="E172" s="1165">
        <v>1913.67</v>
      </c>
      <c r="F172" s="1163" t="s">
        <v>424</v>
      </c>
      <c r="G172" s="1163" t="s">
        <v>2722</v>
      </c>
      <c r="H172" s="1171"/>
      <c r="I172" s="1171"/>
      <c r="J172" s="1171"/>
      <c r="K172" s="1171"/>
      <c r="L172" s="153">
        <f t="shared" si="10"/>
        <v>5416</v>
      </c>
      <c r="M172" s="154" t="str">
        <f t="shared" si="11"/>
        <v>C/V - TEMPS MORT M.O. SERVICE</v>
      </c>
      <c r="N172" s="155">
        <f>+IF(OR($Q172=Parametres!$G$2,$Q172=Parametres!$G$3),I172,C172)</f>
        <v>0</v>
      </c>
      <c r="O172" s="1108">
        <f>+IF(OR($Q172=Parametres!$G$2,$Q172=Parametres!$G$3),J172,D172)</f>
        <v>1913.67</v>
      </c>
      <c r="P172" s="155">
        <f>+IF(OR($Q172=Parametres!$G$2,$Q172=Parametres!$G$3),K172,E172)</f>
        <v>1913.67</v>
      </c>
      <c r="Q172" s="154" t="str">
        <f t="shared" si="12"/>
        <v>6-Coût des ventes</v>
      </c>
      <c r="R172" s="153" t="str">
        <f t="shared" si="13"/>
        <v>4416</v>
      </c>
      <c r="S172" s="154">
        <f t="shared" si="14"/>
        <v>0</v>
      </c>
      <c r="T172" s="156">
        <f>+VLOOKUP($L172,Data_Validation!$A:$D,1,0)</f>
        <v>5416</v>
      </c>
      <c r="U172" s="156" t="str">
        <f>+VLOOKUP($L172,Data_Validation!$A:$D,3,0)</f>
        <v>Service</v>
      </c>
      <c r="V172" s="156" t="str">
        <f>+VLOOKUP($L172,Data_Validation!$A:$D,4,0)</f>
        <v>Ajustement M/O</v>
      </c>
      <c r="W172" s="156" t="str">
        <f>+VLOOKUP($L172,Data_Validation!$A:$E,5,0)</f>
        <v>$</v>
      </c>
      <c r="X172" s="156">
        <f>+VLOOKUP($L172,Data_Validation!$A:$F,6,0)</f>
        <v>0</v>
      </c>
    </row>
    <row r="173" spans="1:24" ht="15" hidden="1" customHeight="1">
      <c r="A173" s="1163" t="s">
        <v>2068</v>
      </c>
      <c r="B173" s="1164">
        <v>5451</v>
      </c>
      <c r="C173" s="1165">
        <v>0</v>
      </c>
      <c r="D173" s="1165">
        <v>9663.26</v>
      </c>
      <c r="E173" s="1165">
        <v>9663.26</v>
      </c>
      <c r="F173" s="1163" t="s">
        <v>424</v>
      </c>
      <c r="G173" s="1163" t="s">
        <v>2070</v>
      </c>
      <c r="H173" s="1177"/>
      <c r="I173" s="1177"/>
      <c r="J173" s="1177"/>
      <c r="K173" s="1177"/>
      <c r="L173" s="153">
        <f t="shared" si="10"/>
        <v>5451</v>
      </c>
      <c r="M173" s="154" t="str">
        <f t="shared" si="11"/>
        <v>CARBURANT/HUILE/GRAISSE</v>
      </c>
      <c r="N173" s="155">
        <f>+IF(OR($Q173=Parametres!$G$2,$Q173=Parametres!$G$3),I173,C173)</f>
        <v>0</v>
      </c>
      <c r="O173" s="1108">
        <f>+IF(OR($Q173=Parametres!$G$2,$Q173=Parametres!$G$3),J173,D173)</f>
        <v>9663.26</v>
      </c>
      <c r="P173" s="155">
        <f>+IF(OR($Q173=Parametres!$G$2,$Q173=Parametres!$G$3),K173,E173)</f>
        <v>9663.26</v>
      </c>
      <c r="Q173" s="154" t="str">
        <f t="shared" si="12"/>
        <v>6-Coût des ventes</v>
      </c>
      <c r="R173" s="153" t="str">
        <f t="shared" si="13"/>
        <v>4782</v>
      </c>
      <c r="S173" s="154">
        <f t="shared" si="14"/>
        <v>0</v>
      </c>
      <c r="T173" s="156">
        <f>+VLOOKUP($L173,Data_Validation!$A:$D,1,0)</f>
        <v>5451</v>
      </c>
      <c r="U173" s="156" t="str">
        <f>+VLOOKUP($L173,Data_Validation!$A:$D,3,0)</f>
        <v>Pièces</v>
      </c>
      <c r="V173" s="156" t="str">
        <f>+VLOOKUP($L173,Data_Validation!$A:$D,4,0)</f>
        <v>Huiles et Graisse</v>
      </c>
      <c r="W173" s="156" t="str">
        <f>+VLOOKUP($L173,Data_Validation!$A:$E,5,0)</f>
        <v>$</v>
      </c>
      <c r="X173" s="156">
        <f>+VLOOKUP($L173,Data_Validation!$A:$F,6,0)</f>
        <v>0</v>
      </c>
    </row>
    <row r="174" spans="1:24" ht="15" hidden="1" customHeight="1">
      <c r="A174" s="1163" t="s">
        <v>2141</v>
      </c>
      <c r="B174" s="1164">
        <v>5491</v>
      </c>
      <c r="C174" s="1165">
        <v>0</v>
      </c>
      <c r="D174" s="1165">
        <v>403.65</v>
      </c>
      <c r="E174" s="1165">
        <v>403.65</v>
      </c>
      <c r="F174" s="1163" t="s">
        <v>424</v>
      </c>
      <c r="G174" s="1163" t="s">
        <v>2142</v>
      </c>
      <c r="H174" s="1177"/>
      <c r="I174" s="1177"/>
      <c r="J174" s="1177"/>
      <c r="K174" s="1177"/>
      <c r="L174" s="153">
        <f t="shared" si="10"/>
        <v>5491</v>
      </c>
      <c r="M174" s="154" t="str">
        <f t="shared" si="11"/>
        <v>REPARATION SOUS-LOC. - GENERAL</v>
      </c>
      <c r="N174" s="155">
        <f>+IF(OR($Q174=Parametres!$G$2,$Q174=Parametres!$G$3),I174,C174)</f>
        <v>0</v>
      </c>
      <c r="O174" s="1108">
        <f>+IF(OR($Q174=Parametres!$G$2,$Q174=Parametres!$G$3),J174,D174)</f>
        <v>403.65</v>
      </c>
      <c r="P174" s="155">
        <f>+IF(OR($Q174=Parametres!$G$2,$Q174=Parametres!$G$3),K174,E174)</f>
        <v>403.65</v>
      </c>
      <c r="Q174" s="154" t="str">
        <f t="shared" si="12"/>
        <v>6-Coût des ventes</v>
      </c>
      <c r="R174" s="153" t="str">
        <f t="shared" si="13"/>
        <v>4491</v>
      </c>
      <c r="S174" s="154">
        <f t="shared" si="14"/>
        <v>0</v>
      </c>
      <c r="T174" s="156">
        <f>+VLOOKUP($L174,Data_Validation!$A:$D,1,0)</f>
        <v>5491</v>
      </c>
      <c r="U174" s="156" t="str">
        <f>+VLOOKUP($L174,Data_Validation!$A:$D,3,0)</f>
        <v>Service</v>
      </c>
      <c r="V174" s="156" t="str">
        <f>+VLOOKUP($L174,Data_Validation!$A:$D,4,0)</f>
        <v>Sous-traitement</v>
      </c>
      <c r="W174" s="156" t="str">
        <f>+VLOOKUP($L174,Data_Validation!$A:$E,5,0)</f>
        <v>$</v>
      </c>
      <c r="X174" s="156">
        <f>+VLOOKUP($L174,Data_Validation!$A:$F,6,0)</f>
        <v>0</v>
      </c>
    </row>
    <row r="175" spans="1:24" ht="15" hidden="1" customHeight="1">
      <c r="A175" s="1163" t="s">
        <v>2682</v>
      </c>
      <c r="B175" s="1164">
        <v>5493</v>
      </c>
      <c r="C175" s="1165">
        <v>0</v>
      </c>
      <c r="D175" s="1165">
        <v>3368.84</v>
      </c>
      <c r="E175" s="1165">
        <v>3368.84</v>
      </c>
      <c r="F175" s="1163" t="s">
        <v>424</v>
      </c>
      <c r="G175" s="1163" t="s">
        <v>2165</v>
      </c>
      <c r="H175" s="1168"/>
      <c r="I175" s="1170"/>
      <c r="J175" s="1170"/>
      <c r="K175" s="1170"/>
      <c r="L175" s="153">
        <f t="shared" si="10"/>
        <v>5493</v>
      </c>
      <c r="M175" s="154" t="str">
        <f t="shared" si="11"/>
        <v>C/V - SOUS-TRAITANCE GARANTIE</v>
      </c>
      <c r="N175" s="155">
        <f>+IF(OR($Q175=Parametres!$G$2,$Q175=Parametres!$G$3),I175,C175)</f>
        <v>0</v>
      </c>
      <c r="O175" s="1108">
        <f>+IF(OR($Q175=Parametres!$G$2,$Q175=Parametres!$G$3),J175,D175)</f>
        <v>3368.84</v>
      </c>
      <c r="P175" s="155">
        <f>+IF(OR($Q175=Parametres!$G$2,$Q175=Parametres!$G$3),K175,E175)</f>
        <v>3368.84</v>
      </c>
      <c r="Q175" s="154" t="str">
        <f t="shared" si="12"/>
        <v>6-Coût des ventes</v>
      </c>
      <c r="R175" s="153" t="str">
        <f t="shared" si="13"/>
        <v>4493</v>
      </c>
      <c r="S175" s="154">
        <f t="shared" si="14"/>
        <v>0</v>
      </c>
      <c r="T175" s="156">
        <f>+VLOOKUP($L175,Data_Validation!$A:$D,1,0)</f>
        <v>5493</v>
      </c>
      <c r="U175" s="156" t="str">
        <f>+VLOOKUP($L175,Data_Validation!$A:$D,3,0)</f>
        <v>Service</v>
      </c>
      <c r="V175" s="156" t="str">
        <f>+VLOOKUP($L175,Data_Validation!$A:$D,4,0)</f>
        <v>Sous-traitement</v>
      </c>
      <c r="W175" s="156" t="str">
        <f>+VLOOKUP($L175,Data_Validation!$A:$E,5,0)</f>
        <v>$</v>
      </c>
      <c r="X175" s="156">
        <f>+VLOOKUP($L175,Data_Validation!$A:$F,6,0)</f>
        <v>0</v>
      </c>
    </row>
    <row r="176" spans="1:24" ht="15.75" hidden="1" customHeight="1">
      <c r="A176" s="1163" t="s">
        <v>2784</v>
      </c>
      <c r="B176" s="1164">
        <v>5495</v>
      </c>
      <c r="C176" s="1165">
        <v>0</v>
      </c>
      <c r="D176" s="1165">
        <v>9619</v>
      </c>
      <c r="E176" s="1165">
        <v>9619</v>
      </c>
      <c r="F176" s="1163" t="s">
        <v>424</v>
      </c>
      <c r="G176" s="1163" t="s">
        <v>2084</v>
      </c>
      <c r="H176" s="1168"/>
      <c r="I176" s="1174"/>
      <c r="J176" s="1174"/>
      <c r="K176" s="1174"/>
      <c r="L176" s="153">
        <f t="shared" si="10"/>
        <v>5495</v>
      </c>
      <c r="M176" s="154" t="str">
        <f t="shared" si="11"/>
        <v>C/V - SOUS-TRAITANCE INTERNE</v>
      </c>
      <c r="N176" s="155">
        <f>+IF(OR($Q176=Parametres!$G$2,$Q176=Parametres!$G$3),I176,C176)</f>
        <v>0</v>
      </c>
      <c r="O176" s="1108">
        <f>+IF(OR($Q176=Parametres!$G$2,$Q176=Parametres!$G$3),J176,D176)</f>
        <v>9619</v>
      </c>
      <c r="P176" s="155">
        <f>+IF(OR($Q176=Parametres!$G$2,$Q176=Parametres!$G$3),K176,E176)</f>
        <v>9619</v>
      </c>
      <c r="Q176" s="154" t="str">
        <f t="shared" si="12"/>
        <v>6-Coût des ventes</v>
      </c>
      <c r="R176" s="153" t="str">
        <f t="shared" si="13"/>
        <v>4495</v>
      </c>
      <c r="S176" s="154">
        <f t="shared" si="14"/>
        <v>0</v>
      </c>
      <c r="T176" s="156">
        <f>+VLOOKUP($L176,Data_Validation!$A:$D,1,0)</f>
        <v>5495</v>
      </c>
      <c r="U176" s="156" t="str">
        <f>+VLOOKUP($L176,Data_Validation!$A:$D,3,0)</f>
        <v>Service</v>
      </c>
      <c r="V176" s="156" t="str">
        <f>+VLOOKUP($L176,Data_Validation!$A:$D,4,0)</f>
        <v>Sous-traitement</v>
      </c>
      <c r="W176" s="156" t="str">
        <f>+VLOOKUP($L176,Data_Validation!$A:$E,5,0)</f>
        <v>$</v>
      </c>
      <c r="X176" s="156">
        <f>+VLOOKUP($L176,Data_Validation!$A:$F,6,0)</f>
        <v>0</v>
      </c>
    </row>
    <row r="177" spans="1:24" ht="15" hidden="1" customHeight="1">
      <c r="A177" s="1163" t="s">
        <v>2793</v>
      </c>
      <c r="B177" s="1164">
        <v>5591</v>
      </c>
      <c r="C177" s="1165">
        <v>0</v>
      </c>
      <c r="D177" s="1165">
        <v>13060.88</v>
      </c>
      <c r="E177" s="1165">
        <v>13060.88</v>
      </c>
      <c r="F177" s="1163" t="s">
        <v>424</v>
      </c>
      <c r="G177" s="1163" t="s">
        <v>2067</v>
      </c>
      <c r="H177" s="1166"/>
      <c r="I177" s="1166"/>
      <c r="J177" s="1166"/>
      <c r="K177" s="1166"/>
      <c r="L177" s="153">
        <f t="shared" si="10"/>
        <v>5591</v>
      </c>
      <c r="M177" s="154" t="str">
        <f t="shared" si="11"/>
        <v>C/V - S-TRAIT. CARR.</v>
      </c>
      <c r="N177" s="155">
        <f>+IF(OR($Q177=Parametres!$G$2,$Q177=Parametres!$G$3),I177,C177)</f>
        <v>0</v>
      </c>
      <c r="O177" s="1108">
        <f>+IF(OR($Q177=Parametres!$G$2,$Q177=Parametres!$G$3),J177,D177)</f>
        <v>13060.88</v>
      </c>
      <c r="P177" s="155">
        <f>+IF(OR($Q177=Parametres!$G$2,$Q177=Parametres!$G$3),K177,E177)</f>
        <v>13060.88</v>
      </c>
      <c r="Q177" s="154" t="str">
        <f t="shared" si="12"/>
        <v>6-Coût des ventes</v>
      </c>
      <c r="R177" s="153" t="str">
        <f t="shared" si="13"/>
        <v>4591</v>
      </c>
      <c r="S177" s="154">
        <f t="shared" si="14"/>
        <v>0</v>
      </c>
      <c r="T177" s="156">
        <f>+VLOOKUP($L177,Data_Validation!$A:$D,1,0)</f>
        <v>5591</v>
      </c>
      <c r="U177" s="156" t="str">
        <f>+VLOOKUP($L177,Data_Validation!$A:$D,3,0)</f>
        <v>Carrosserie</v>
      </c>
      <c r="V177" s="156" t="str">
        <f>+VLOOKUP($L177,Data_Validation!$A:$D,4,0)</f>
        <v>M/O Sous-traitement</v>
      </c>
      <c r="W177" s="156" t="str">
        <f>+VLOOKUP($L177,Data_Validation!$A:$E,5,0)</f>
        <v>$</v>
      </c>
      <c r="X177" s="156">
        <f>+VLOOKUP($L177,Data_Validation!$A:$F,6,0)</f>
        <v>0</v>
      </c>
    </row>
    <row r="178" spans="1:24" ht="15" hidden="1" customHeight="1">
      <c r="A178" s="1163" t="s">
        <v>2803</v>
      </c>
      <c r="B178" s="1164">
        <v>5593</v>
      </c>
      <c r="C178" s="1165">
        <v>0</v>
      </c>
      <c r="D178" s="1165">
        <v>52821.43</v>
      </c>
      <c r="E178" s="1165">
        <v>52821.43</v>
      </c>
      <c r="F178" s="1163" t="s">
        <v>424</v>
      </c>
      <c r="G178" s="1163" t="s">
        <v>2065</v>
      </c>
      <c r="H178" s="1166"/>
      <c r="I178" s="1166"/>
      <c r="J178" s="1166"/>
      <c r="K178" s="1166"/>
      <c r="L178" s="153">
        <f t="shared" si="10"/>
        <v>5593</v>
      </c>
      <c r="M178" s="579" t="str">
        <f t="shared" si="11"/>
        <v>C/V - S-TRAIT.GARANTIE CARROS.</v>
      </c>
      <c r="N178" s="155">
        <f>+IF(OR($Q178=Parametres!$G$2,$Q178=Parametres!$G$3),I178,C178)</f>
        <v>0</v>
      </c>
      <c r="O178" s="1106">
        <f>+IF(OR($Q178=Parametres!$G$2,$Q178=Parametres!$G$3),J178,D178)</f>
        <v>52821.43</v>
      </c>
      <c r="P178" s="581">
        <f>+IF(OR($Q178=Parametres!$G$2,$Q178=Parametres!$G$3),K178,E178)</f>
        <v>52821.43</v>
      </c>
      <c r="Q178" s="154" t="str">
        <f t="shared" si="12"/>
        <v>6-Coût des ventes</v>
      </c>
      <c r="R178" s="153" t="str">
        <f t="shared" si="13"/>
        <v>4593</v>
      </c>
      <c r="S178" s="154">
        <f t="shared" si="14"/>
        <v>0</v>
      </c>
      <c r="T178" s="156">
        <f>+VLOOKUP($L178,Data_Validation!$A:$D,1,0)</f>
        <v>5593</v>
      </c>
      <c r="U178" s="156" t="str">
        <f>+VLOOKUP($L178,Data_Validation!$A:$D,3,0)</f>
        <v>Carrosserie</v>
      </c>
      <c r="V178" s="156" t="str">
        <f>+VLOOKUP($L178,Data_Validation!$A:$D,4,0)</f>
        <v>M/O Sous-traitement</v>
      </c>
      <c r="W178" s="156" t="str">
        <f>+VLOOKUP($L178,Data_Validation!$A:$E,5,0)</f>
        <v>$</v>
      </c>
      <c r="X178" s="156">
        <f>+VLOOKUP($L178,Data_Validation!$A:$F,6,0)</f>
        <v>0</v>
      </c>
    </row>
    <row r="179" spans="1:24" ht="15" hidden="1" customHeight="1">
      <c r="A179" s="1163" t="s">
        <v>2762</v>
      </c>
      <c r="B179" s="1164">
        <v>5595</v>
      </c>
      <c r="C179" s="1165">
        <v>0</v>
      </c>
      <c r="D179" s="1165">
        <v>2910.44</v>
      </c>
      <c r="E179" s="1165">
        <v>2910.44</v>
      </c>
      <c r="F179" s="1163" t="s">
        <v>424</v>
      </c>
      <c r="G179" s="1163" t="s">
        <v>2098</v>
      </c>
      <c r="H179" s="1166"/>
      <c r="I179" s="1166"/>
      <c r="J179" s="1166"/>
      <c r="K179" s="1166"/>
      <c r="L179" s="153">
        <f t="shared" si="10"/>
        <v>5595</v>
      </c>
      <c r="M179" s="154" t="str">
        <f t="shared" si="11"/>
        <v>C/V - S-TRAIT.INTERNE CARROS.</v>
      </c>
      <c r="N179" s="155">
        <f>+IF(OR($Q179=Parametres!$G$2,$Q179=Parametres!$G$3),I179,C179)</f>
        <v>0</v>
      </c>
      <c r="O179" s="1108">
        <f>+IF(OR($Q179=Parametres!$G$2,$Q179=Parametres!$G$3),J179,D179)</f>
        <v>2910.44</v>
      </c>
      <c r="P179" s="155">
        <f>+IF(OR($Q179=Parametres!$G$2,$Q179=Parametres!$G$3),K179,E179)</f>
        <v>2910.44</v>
      </c>
      <c r="Q179" s="154" t="str">
        <f t="shared" si="12"/>
        <v>6-Coût des ventes</v>
      </c>
      <c r="R179" s="153" t="str">
        <f t="shared" si="13"/>
        <v>4595</v>
      </c>
      <c r="S179" s="154">
        <f t="shared" si="14"/>
        <v>0</v>
      </c>
      <c r="T179" s="156">
        <f>+VLOOKUP($L179,Data_Validation!$A:$D,1,0)</f>
        <v>5595</v>
      </c>
      <c r="U179" s="156" t="str">
        <f>+VLOOKUP($L179,Data_Validation!$A:$D,3,0)</f>
        <v>Carrosserie</v>
      </c>
      <c r="V179" s="156" t="str">
        <f>+VLOOKUP($L179,Data_Validation!$A:$D,4,0)</f>
        <v>M/O Sous-traitement</v>
      </c>
      <c r="W179" s="156" t="str">
        <f>+VLOOKUP($L179,Data_Validation!$A:$E,5,0)</f>
        <v>$</v>
      </c>
      <c r="X179" s="156">
        <f>+VLOOKUP($L179,Data_Validation!$A:$F,6,0)</f>
        <v>0</v>
      </c>
    </row>
    <row r="180" spans="1:24" ht="15" hidden="1" customHeight="1">
      <c r="A180" s="1163" t="s">
        <v>2827</v>
      </c>
      <c r="B180" s="1164">
        <v>5701</v>
      </c>
      <c r="C180" s="1165">
        <v>0</v>
      </c>
      <c r="D180" s="1165">
        <v>34008.14</v>
      </c>
      <c r="E180" s="1165">
        <v>34008.14</v>
      </c>
      <c r="F180" s="1163" t="s">
        <v>424</v>
      </c>
      <c r="G180" s="1163" t="s">
        <v>2021</v>
      </c>
      <c r="H180" s="1166"/>
      <c r="I180" s="1166"/>
      <c r="J180" s="1166"/>
      <c r="K180" s="1166"/>
      <c r="L180" s="153">
        <f t="shared" si="10"/>
        <v>5701</v>
      </c>
      <c r="M180" s="154" t="str">
        <f t="shared" si="11"/>
        <v>C/V - PIECE/ACC B.R. CLIENT VW</v>
      </c>
      <c r="N180" s="155">
        <f>+IF(OR($Q180=Parametres!$G$2,$Q180=Parametres!$G$3),I180,C180)</f>
        <v>0</v>
      </c>
      <c r="O180" s="1108">
        <f>+IF(OR($Q180=Parametres!$G$2,$Q180=Parametres!$G$3),J180,D180)</f>
        <v>34008.14</v>
      </c>
      <c r="P180" s="155">
        <f>+IF(OR($Q180=Parametres!$G$2,$Q180=Parametres!$G$3),K180,E180)</f>
        <v>34008.14</v>
      </c>
      <c r="Q180" s="154" t="str">
        <f t="shared" si="12"/>
        <v>6-Coût des ventes</v>
      </c>
      <c r="R180" s="153" t="str">
        <f t="shared" si="13"/>
        <v>4701</v>
      </c>
      <c r="S180" s="154">
        <f t="shared" si="14"/>
        <v>0</v>
      </c>
      <c r="T180" s="156">
        <f>+VLOOKUP($L180,Data_Validation!$A:$D,1,0)</f>
        <v>5701</v>
      </c>
      <c r="U180" s="156" t="str">
        <f>+VLOOKUP($L180,Data_Validation!$A:$D,3,0)</f>
        <v>Pièces</v>
      </c>
      <c r="V180" s="156" t="str">
        <f>+VLOOKUP($L180,Data_Validation!$A:$D,4,0)</f>
        <v>Pièces Ro Clients</v>
      </c>
      <c r="W180" s="156" t="str">
        <f>+VLOOKUP($L180,Data_Validation!$A:$E,5,0)</f>
        <v>$</v>
      </c>
      <c r="X180" s="156">
        <f>+VLOOKUP($L180,Data_Validation!$A:$F,6,0)</f>
        <v>0</v>
      </c>
    </row>
    <row r="181" spans="1:24" ht="15.75" hidden="1" customHeight="1">
      <c r="A181" s="1163" t="s">
        <v>2653</v>
      </c>
      <c r="B181" s="1164">
        <v>5702</v>
      </c>
      <c r="C181" s="1165">
        <v>0</v>
      </c>
      <c r="D181" s="1165">
        <v>196.23</v>
      </c>
      <c r="E181" s="1165">
        <v>196.23</v>
      </c>
      <c r="F181" s="1163" t="s">
        <v>424</v>
      </c>
      <c r="G181" s="1163" t="s">
        <v>2148</v>
      </c>
      <c r="H181" s="1166"/>
      <c r="I181" s="1166"/>
      <c r="J181" s="1166"/>
      <c r="K181" s="1166"/>
      <c r="L181" s="153">
        <f t="shared" si="10"/>
        <v>5702</v>
      </c>
      <c r="M181" s="154" t="str">
        <f t="shared" si="11"/>
        <v>C/V - SHOP SUPPLY VW</v>
      </c>
      <c r="N181" s="155">
        <f>+IF(OR($Q181=Parametres!$G$2,$Q181=Parametres!$G$3),I181,C181)</f>
        <v>0</v>
      </c>
      <c r="O181" s="1108">
        <f>+IF(OR($Q181=Parametres!$G$2,$Q181=Parametres!$G$3),J181,D181)</f>
        <v>196.23</v>
      </c>
      <c r="P181" s="155">
        <f>+IF(OR($Q181=Parametres!$G$2,$Q181=Parametres!$G$3),K181,E181)</f>
        <v>196.23</v>
      </c>
      <c r="Q181" s="154" t="str">
        <f t="shared" si="12"/>
        <v>6-Coût des ventes</v>
      </c>
      <c r="R181" s="153" t="str">
        <f t="shared" si="13"/>
        <v>4702</v>
      </c>
      <c r="S181" s="154">
        <f t="shared" si="14"/>
        <v>0</v>
      </c>
      <c r="T181" s="156">
        <f>+VLOOKUP($L181,Data_Validation!$A:$D,1,0)</f>
        <v>5702</v>
      </c>
      <c r="U181" s="156" t="str">
        <f>+VLOOKUP($L181,Data_Validation!$A:$D,3,0)</f>
        <v>Service</v>
      </c>
      <c r="V181" s="156" t="str">
        <f>+VLOOKUP($L181,Data_Validation!$A:$D,4,0)</f>
        <v>M/O Client</v>
      </c>
      <c r="W181" s="156" t="str">
        <f>+VLOOKUP($L181,Data_Validation!$A:$E,5,0)</f>
        <v>$</v>
      </c>
      <c r="X181" s="156">
        <f>+VLOOKUP($L181,Data_Validation!$A:$F,6,0)</f>
        <v>0</v>
      </c>
    </row>
    <row r="182" spans="1:24" ht="15.75" hidden="1" customHeight="1">
      <c r="A182" s="1163" t="s">
        <v>2809</v>
      </c>
      <c r="B182" s="1164">
        <v>5703</v>
      </c>
      <c r="C182" s="1165">
        <v>0</v>
      </c>
      <c r="D182" s="1165">
        <v>69503.64</v>
      </c>
      <c r="E182" s="1165">
        <v>69503.64</v>
      </c>
      <c r="F182" s="1163" t="s">
        <v>424</v>
      </c>
      <c r="G182" s="1163" t="s">
        <v>2041</v>
      </c>
      <c r="H182" s="1166"/>
      <c r="I182" s="1166"/>
      <c r="J182" s="1166"/>
      <c r="K182" s="1166"/>
      <c r="L182" s="153">
        <f t="shared" si="10"/>
        <v>5703</v>
      </c>
      <c r="M182" s="154" t="str">
        <f t="shared" si="11"/>
        <v>C/V - PIECE/ACC B.R. GARANTIE VW</v>
      </c>
      <c r="N182" s="155">
        <f>+IF(OR($Q182=Parametres!$G$2,$Q182=Parametres!$G$3),I182,C182)</f>
        <v>0</v>
      </c>
      <c r="O182" s="1106">
        <f>+IF(OR($Q182=Parametres!$G$2,$Q182=Parametres!$G$3),J182,D182)</f>
        <v>69503.64</v>
      </c>
      <c r="P182" s="155">
        <f>+IF(OR($Q182=Parametres!$G$2,$Q182=Parametres!$G$3),K182,E182)</f>
        <v>69503.64</v>
      </c>
      <c r="Q182" s="154" t="str">
        <f t="shared" si="12"/>
        <v>6-Coût des ventes</v>
      </c>
      <c r="R182" s="153" t="str">
        <f t="shared" si="13"/>
        <v>4703</v>
      </c>
      <c r="S182" s="154">
        <f t="shared" si="14"/>
        <v>0</v>
      </c>
      <c r="T182" s="156">
        <f>+VLOOKUP($L182,Data_Validation!$A:$D,1,0)</f>
        <v>5703</v>
      </c>
      <c r="U182" s="156" t="str">
        <f>+VLOOKUP($L182,Data_Validation!$A:$D,3,0)</f>
        <v>Pièces</v>
      </c>
      <c r="V182" s="156" t="str">
        <f>+VLOOKUP($L182,Data_Validation!$A:$D,4,0)</f>
        <v>P/A Garantie</v>
      </c>
      <c r="W182" s="156" t="str">
        <f>+VLOOKUP($L182,Data_Validation!$A:$E,5,0)</f>
        <v>$</v>
      </c>
      <c r="X182" s="156">
        <f>+VLOOKUP($L182,Data_Validation!$A:$F,6,0)</f>
        <v>0</v>
      </c>
    </row>
    <row r="183" spans="1:24" ht="15.75" hidden="1" customHeight="1">
      <c r="A183" s="1163" t="s">
        <v>2806</v>
      </c>
      <c r="B183" s="1164">
        <v>5705</v>
      </c>
      <c r="C183" s="1165">
        <v>0</v>
      </c>
      <c r="D183" s="1165">
        <v>26628.14</v>
      </c>
      <c r="E183" s="1165">
        <v>26628.14</v>
      </c>
      <c r="F183" s="1163" t="s">
        <v>424</v>
      </c>
      <c r="G183" s="1163" t="s">
        <v>2045</v>
      </c>
      <c r="H183" s="1166"/>
      <c r="I183" s="1166"/>
      <c r="J183" s="1166"/>
      <c r="K183" s="1166"/>
      <c r="L183" s="153">
        <f t="shared" si="10"/>
        <v>5705</v>
      </c>
      <c r="M183" s="154" t="str">
        <f t="shared" si="11"/>
        <v>C/V - PIECE/ACC B.R. INTERNE VW</v>
      </c>
      <c r="N183" s="155">
        <f>+IF(OR($Q183=Parametres!$G$2,$Q183=Parametres!$G$3),I183,C183)</f>
        <v>0</v>
      </c>
      <c r="O183" s="1108">
        <f>+IF(OR($Q183=Parametres!$G$2,$Q183=Parametres!$G$3),J183,D183)</f>
        <v>26628.14</v>
      </c>
      <c r="P183" s="155">
        <f>+IF(OR($Q183=Parametres!$G$2,$Q183=Parametres!$G$3),K183,E183)</f>
        <v>26628.14</v>
      </c>
      <c r="Q183" s="154" t="str">
        <f t="shared" si="12"/>
        <v>6-Coût des ventes</v>
      </c>
      <c r="R183" s="153" t="str">
        <f t="shared" si="13"/>
        <v>4705</v>
      </c>
      <c r="S183" s="154">
        <f t="shared" si="14"/>
        <v>0</v>
      </c>
      <c r="T183" s="156">
        <f>+VLOOKUP($L183,Data_Validation!$A:$D,1,0)</f>
        <v>5705</v>
      </c>
      <c r="U183" s="156" t="str">
        <f>+VLOOKUP($L183,Data_Validation!$A:$D,3,0)</f>
        <v>Pièces</v>
      </c>
      <c r="V183" s="156" t="str">
        <f>+VLOOKUP($L183,Data_Validation!$A:$D,4,0)</f>
        <v>Ventes Internes</v>
      </c>
      <c r="W183" s="156" t="str">
        <f>+VLOOKUP($L183,Data_Validation!$A:$E,5,0)</f>
        <v>$</v>
      </c>
      <c r="X183" s="156">
        <f>+VLOOKUP($L183,Data_Validation!$A:$F,6,0)</f>
        <v>0</v>
      </c>
    </row>
    <row r="184" spans="1:24" ht="15.75" hidden="1" customHeight="1">
      <c r="A184" s="1163" t="s">
        <v>2653</v>
      </c>
      <c r="B184" s="1164">
        <v>5706</v>
      </c>
      <c r="C184" s="1167">
        <v>0</v>
      </c>
      <c r="D184" s="1167">
        <v>385.25</v>
      </c>
      <c r="E184" s="1167">
        <v>385.25</v>
      </c>
      <c r="F184" s="1163" t="s">
        <v>424</v>
      </c>
      <c r="G184" s="1163" t="s">
        <v>2166</v>
      </c>
      <c r="H184" s="1166"/>
      <c r="I184" s="1165"/>
      <c r="J184" s="1165"/>
      <c r="K184" s="1165"/>
      <c r="L184" s="153">
        <f t="shared" si="10"/>
        <v>5706</v>
      </c>
      <c r="M184" s="154" t="str">
        <f t="shared" si="11"/>
        <v>C/V - SHOP SUPPLY VW</v>
      </c>
      <c r="N184" s="155">
        <f>+IF(OR($Q184=Parametres!$G$2,$Q184=Parametres!$G$3),I184,C184)</f>
        <v>0</v>
      </c>
      <c r="O184" s="1106">
        <f>+IF(OR($Q184=Parametres!$G$2,$Q184=Parametres!$G$3),J184,D184)</f>
        <v>385.25</v>
      </c>
      <c r="P184" s="155">
        <f>+IF(OR($Q184=Parametres!$G$2,$Q184=Parametres!$G$3),K184,E184)</f>
        <v>385.25</v>
      </c>
      <c r="Q184" s="154" t="str">
        <f t="shared" si="12"/>
        <v>6-Coût des ventes</v>
      </c>
      <c r="R184" s="153" t="str">
        <f t="shared" si="13"/>
        <v>4706</v>
      </c>
      <c r="S184" s="154">
        <f t="shared" si="14"/>
        <v>0</v>
      </c>
      <c r="T184" s="156">
        <f>+VLOOKUP($L184,Data_Validation!$A:$D,1,0)</f>
        <v>5706</v>
      </c>
      <c r="U184" s="156" t="str">
        <f>+VLOOKUP($L184,Data_Validation!$A:$D,3,0)</f>
        <v>Service</v>
      </c>
      <c r="V184" s="156" t="str">
        <f>+VLOOKUP($L184,Data_Validation!$A:$D,4,0)</f>
        <v>M/O Interne</v>
      </c>
      <c r="W184" s="156" t="str">
        <f>+VLOOKUP($L184,Data_Validation!$A:$E,5,0)</f>
        <v>$</v>
      </c>
      <c r="X184" s="156">
        <f>+VLOOKUP($L184,Data_Validation!$A:$F,6,0)</f>
        <v>0</v>
      </c>
    </row>
    <row r="185" spans="1:24" ht="15.75" hidden="1" customHeight="1">
      <c r="A185" s="1163" t="s">
        <v>2455</v>
      </c>
      <c r="B185" s="1164">
        <v>5711</v>
      </c>
      <c r="C185" s="1165">
        <v>0</v>
      </c>
      <c r="D185" s="1165">
        <v>1813.08</v>
      </c>
      <c r="E185" s="1165">
        <v>1813.08</v>
      </c>
      <c r="F185" s="1163" t="s">
        <v>424</v>
      </c>
      <c r="G185" s="1163" t="s">
        <v>2112</v>
      </c>
      <c r="H185" s="1166"/>
      <c r="I185" s="1166"/>
      <c r="J185" s="1166"/>
      <c r="K185" s="1166"/>
      <c r="L185" s="153">
        <f t="shared" si="10"/>
        <v>5711</v>
      </c>
      <c r="M185" s="154" t="str">
        <f t="shared" si="11"/>
        <v>C/V - AUTRE PIECE/ACC/CARR B.R. CLIENT</v>
      </c>
      <c r="N185" s="155">
        <f>+IF(OR($Q185=Parametres!$G$2,$Q185=Parametres!$G$3),I185,C185)</f>
        <v>0</v>
      </c>
      <c r="O185" s="1108">
        <f>+IF(OR($Q185=Parametres!$G$2,$Q185=Parametres!$G$3),J185,D185)</f>
        <v>1813.08</v>
      </c>
      <c r="P185" s="155">
        <f>+IF(OR($Q185=Parametres!$G$2,$Q185=Parametres!$G$3),K185,E185)</f>
        <v>1813.08</v>
      </c>
      <c r="Q185" s="154" t="str">
        <f t="shared" si="12"/>
        <v>6-Coût des ventes</v>
      </c>
      <c r="R185" s="153" t="str">
        <f t="shared" si="13"/>
        <v>4711</v>
      </c>
      <c r="S185" s="154">
        <f t="shared" si="14"/>
        <v>0</v>
      </c>
      <c r="T185" s="156">
        <f>+VLOOKUP($L185,Data_Validation!$A:$D,1,0)</f>
        <v>5711</v>
      </c>
      <c r="U185" s="156" t="str">
        <f>+VLOOKUP($L185,Data_Validation!$A:$D,3,0)</f>
        <v>Pièces</v>
      </c>
      <c r="V185" s="156" t="str">
        <f>+VLOOKUP($L185,Data_Validation!$A:$D,4,0)</f>
        <v>Pièces Ro Clients</v>
      </c>
      <c r="W185" s="156" t="str">
        <f>+VLOOKUP($L185,Data_Validation!$A:$E,5,0)</f>
        <v>$</v>
      </c>
      <c r="X185" s="156">
        <f>+VLOOKUP($L185,Data_Validation!$A:$F,6,0)</f>
        <v>0</v>
      </c>
    </row>
    <row r="186" spans="1:24" ht="15.75" hidden="1" customHeight="1">
      <c r="A186" s="1163" t="s">
        <v>2749</v>
      </c>
      <c r="B186" s="1164">
        <v>5731</v>
      </c>
      <c r="C186" s="1167">
        <v>0</v>
      </c>
      <c r="D186" s="1167">
        <v>4647.78</v>
      </c>
      <c r="E186" s="1167">
        <v>4647.78</v>
      </c>
      <c r="F186" s="1163" t="s">
        <v>424</v>
      </c>
      <c r="G186" s="1163" t="s">
        <v>2105</v>
      </c>
      <c r="H186" s="1166"/>
      <c r="I186" s="1165"/>
      <c r="J186" s="1165"/>
      <c r="K186" s="1165"/>
      <c r="L186" s="153">
        <f t="shared" si="10"/>
        <v>5731</v>
      </c>
      <c r="M186" s="154" t="str">
        <f t="shared" si="11"/>
        <v>C/V - PIECES-BON REPAR.-PEINT/DEBOS</v>
      </c>
      <c r="N186" s="155">
        <f>+IF(OR($Q186=Parametres!$G$2,$Q186=Parametres!$G$3),I186,C186)</f>
        <v>0</v>
      </c>
      <c r="O186" s="1106">
        <f>+IF(OR($Q186=Parametres!$G$2,$Q186=Parametres!$G$3),J186,D186)</f>
        <v>4647.78</v>
      </c>
      <c r="P186" s="155">
        <f>+IF(OR($Q186=Parametres!$G$2,$Q186=Parametres!$G$3),K186,E186)</f>
        <v>4647.78</v>
      </c>
      <c r="Q186" s="154" t="str">
        <f t="shared" si="12"/>
        <v>6-Coût des ventes</v>
      </c>
      <c r="R186" s="153" t="str">
        <f t="shared" si="13"/>
        <v>4731</v>
      </c>
      <c r="S186" s="154">
        <f t="shared" si="14"/>
        <v>0</v>
      </c>
      <c r="T186" s="156">
        <f>+VLOOKUP($L186,Data_Validation!$A:$D,1,0)</f>
        <v>5731</v>
      </c>
      <c r="U186" s="156" t="str">
        <f>+VLOOKUP($L186,Data_Validation!$A:$D,3,0)</f>
        <v>Pièces</v>
      </c>
      <c r="V186" s="156" t="str">
        <f>+VLOOKUP($L186,Data_Validation!$A:$D,4,0)</f>
        <v>Pièces Ro Carrosserie</v>
      </c>
      <c r="W186" s="156" t="str">
        <f>+VLOOKUP($L186,Data_Validation!$A:$E,5,0)</f>
        <v>$</v>
      </c>
      <c r="X186" s="156">
        <f>+VLOOKUP($L186,Data_Validation!$A:$F,6,0)</f>
        <v>0</v>
      </c>
    </row>
    <row r="187" spans="1:24" ht="15" hidden="1" customHeight="1">
      <c r="A187" s="1163" t="s">
        <v>2782</v>
      </c>
      <c r="B187" s="1164">
        <v>5733</v>
      </c>
      <c r="C187" s="1165">
        <v>0</v>
      </c>
      <c r="D187" s="1165">
        <v>30406.47</v>
      </c>
      <c r="E187" s="1165">
        <v>30406.47</v>
      </c>
      <c r="F187" s="1163" t="s">
        <v>424</v>
      </c>
      <c r="G187" s="1163" t="s">
        <v>2088</v>
      </c>
      <c r="H187" s="1166"/>
      <c r="I187" s="1166"/>
      <c r="J187" s="1166"/>
      <c r="K187" s="1166"/>
      <c r="L187" s="153">
        <f t="shared" si="10"/>
        <v>5733</v>
      </c>
      <c r="M187" s="154" t="str">
        <f t="shared" si="11"/>
        <v>C/V - P&amp;A B.T. GAR.CARR.VW</v>
      </c>
      <c r="N187" s="155">
        <f>+IF(OR($Q187=Parametres!$G$2,$Q187=Parametres!$G$3),I187,C187)</f>
        <v>0</v>
      </c>
      <c r="O187" s="1108">
        <f>+IF(OR($Q187=Parametres!$G$2,$Q187=Parametres!$G$3),J187,D187)</f>
        <v>30406.47</v>
      </c>
      <c r="P187" s="155">
        <f>+IF(OR($Q187=Parametres!$G$2,$Q187=Parametres!$G$3),K187,E187)</f>
        <v>30406.47</v>
      </c>
      <c r="Q187" s="154" t="str">
        <f t="shared" si="12"/>
        <v>6-Coût des ventes</v>
      </c>
      <c r="R187" s="153" t="str">
        <f t="shared" si="13"/>
        <v>4733</v>
      </c>
      <c r="S187" s="154">
        <f t="shared" si="14"/>
        <v>0</v>
      </c>
      <c r="T187" s="156">
        <f>+VLOOKUP($L187,Data_Validation!$A:$D,1,0)</f>
        <v>5733</v>
      </c>
      <c r="U187" s="156" t="str">
        <f>+VLOOKUP($L187,Data_Validation!$A:$D,3,0)</f>
        <v>Pièces</v>
      </c>
      <c r="V187" s="156" t="str">
        <f>+VLOOKUP($L187,Data_Validation!$A:$D,4,0)</f>
        <v>Pièces Ro Carrosserie</v>
      </c>
      <c r="W187" s="156" t="str">
        <f>+VLOOKUP($L187,Data_Validation!$A:$E,5,0)</f>
        <v>$</v>
      </c>
      <c r="X187" s="156">
        <f>+VLOOKUP($L187,Data_Validation!$A:$F,6,0)</f>
        <v>0</v>
      </c>
    </row>
    <row r="188" spans="1:24" ht="15" hidden="1" customHeight="1">
      <c r="A188" s="1163" t="s">
        <v>2663</v>
      </c>
      <c r="B188" s="1164">
        <v>5735</v>
      </c>
      <c r="C188" s="1167">
        <v>0</v>
      </c>
      <c r="D188" s="1167">
        <v>1136.8</v>
      </c>
      <c r="E188" s="1167">
        <v>1136.8</v>
      </c>
      <c r="F188" s="1163" t="s">
        <v>424</v>
      </c>
      <c r="G188" s="1163" t="s">
        <v>2163</v>
      </c>
      <c r="H188" s="1166"/>
      <c r="I188" s="1165"/>
      <c r="J188" s="1165"/>
      <c r="K188" s="1165"/>
      <c r="L188" s="153">
        <f t="shared" si="10"/>
        <v>5735</v>
      </c>
      <c r="M188" s="154" t="str">
        <f t="shared" si="11"/>
        <v>C/V - P&amp;A B.T.INTERNE CARR.VW</v>
      </c>
      <c r="N188" s="155">
        <f>+IF(OR($Q188=Parametres!$G$2,$Q188=Parametres!$G$3),I188,C188)</f>
        <v>0</v>
      </c>
      <c r="O188" s="1108">
        <f>+IF(OR($Q188=Parametres!$G$2,$Q188=Parametres!$G$3),J188,D188)</f>
        <v>1136.8</v>
      </c>
      <c r="P188" s="155">
        <f>+IF(OR($Q188=Parametres!$G$2,$Q188=Parametres!$G$3),K188,E188)</f>
        <v>1136.8</v>
      </c>
      <c r="Q188" s="154" t="str">
        <f t="shared" si="12"/>
        <v>6-Coût des ventes</v>
      </c>
      <c r="R188" s="153" t="str">
        <f t="shared" si="13"/>
        <v>4735</v>
      </c>
      <c r="S188" s="154">
        <f t="shared" si="14"/>
        <v>0</v>
      </c>
      <c r="T188" s="156">
        <f>+VLOOKUP($L188,Data_Validation!$A:$D,1,0)</f>
        <v>5735</v>
      </c>
      <c r="U188" s="156" t="str">
        <f>+VLOOKUP($L188,Data_Validation!$A:$D,3,0)</f>
        <v>Pièces</v>
      </c>
      <c r="V188" s="156" t="str">
        <f>+VLOOKUP($L188,Data_Validation!$A:$D,4,0)</f>
        <v>Pièces Ro Carrosserie</v>
      </c>
      <c r="W188" s="156" t="str">
        <f>+VLOOKUP($L188,Data_Validation!$A:$E,5,0)</f>
        <v>$</v>
      </c>
      <c r="X188" s="156">
        <f>+VLOOKUP($L188,Data_Validation!$A:$F,6,0)</f>
        <v>0</v>
      </c>
    </row>
    <row r="189" spans="1:24" ht="15" hidden="1" customHeight="1">
      <c r="A189" s="1163" t="s">
        <v>2789</v>
      </c>
      <c r="B189" s="1164">
        <v>5761</v>
      </c>
      <c r="C189" s="1165">
        <v>0</v>
      </c>
      <c r="D189" s="1165">
        <v>9486.7900000000009</v>
      </c>
      <c r="E189" s="1165">
        <v>9486.7900000000009</v>
      </c>
      <c r="F189" s="1163" t="s">
        <v>424</v>
      </c>
      <c r="G189" s="1163" t="s">
        <v>2080</v>
      </c>
      <c r="H189" s="1166"/>
      <c r="I189" s="1166"/>
      <c r="J189" s="1166"/>
      <c r="K189" s="1166"/>
      <c r="L189" s="153">
        <f t="shared" si="10"/>
        <v>5761</v>
      </c>
      <c r="M189" s="154" t="str">
        <f t="shared" si="11"/>
        <v>C/V - P&amp;A VW COMPTOIR - DETAIL</v>
      </c>
      <c r="N189" s="155">
        <f>+IF(OR($Q189=Parametres!$G$2,$Q189=Parametres!$G$3),I189,C189)</f>
        <v>0</v>
      </c>
      <c r="O189" s="1108">
        <f>+IF(OR($Q189=Parametres!$G$2,$Q189=Parametres!$G$3),J189,D189)</f>
        <v>9486.7900000000009</v>
      </c>
      <c r="P189" s="155">
        <f>+IF(OR($Q189=Parametres!$G$2,$Q189=Parametres!$G$3),K189,E189)</f>
        <v>9486.7900000000009</v>
      </c>
      <c r="Q189" s="154" t="str">
        <f t="shared" si="12"/>
        <v>6-Coût des ventes</v>
      </c>
      <c r="R189" s="153" t="str">
        <f t="shared" si="13"/>
        <v>4761</v>
      </c>
      <c r="S189" s="154">
        <f t="shared" si="14"/>
        <v>0</v>
      </c>
      <c r="T189" s="156">
        <f>+VLOOKUP($L189,Data_Validation!$A:$D,1,0)</f>
        <v>5761</v>
      </c>
      <c r="U189" s="156" t="str">
        <f>+VLOOKUP($L189,Data_Validation!$A:$D,3,0)</f>
        <v>Pièces</v>
      </c>
      <c r="V189" s="156" t="str">
        <f>+VLOOKUP($L189,Data_Validation!$A:$D,4,0)</f>
        <v>Ventes Détails</v>
      </c>
      <c r="W189" s="156" t="str">
        <f>+VLOOKUP($L189,Data_Validation!$A:$E,5,0)</f>
        <v>$</v>
      </c>
      <c r="X189" s="156">
        <f>+VLOOKUP($L189,Data_Validation!$A:$F,6,0)</f>
        <v>0</v>
      </c>
    </row>
    <row r="190" spans="1:24" ht="15" hidden="1" customHeight="1">
      <c r="A190" s="1163" t="s">
        <v>2811</v>
      </c>
      <c r="B190" s="1164">
        <v>5763</v>
      </c>
      <c r="C190" s="1167">
        <v>0</v>
      </c>
      <c r="D190" s="1167">
        <v>64360.87</v>
      </c>
      <c r="E190" s="1167">
        <v>64360.87</v>
      </c>
      <c r="F190" s="1163" t="s">
        <v>424</v>
      </c>
      <c r="G190" s="1163" t="s">
        <v>2043</v>
      </c>
      <c r="H190" s="1166"/>
      <c r="I190" s="1165"/>
      <c r="J190" s="1165"/>
      <c r="K190" s="1165"/>
      <c r="L190" s="153">
        <f t="shared" si="10"/>
        <v>5763</v>
      </c>
      <c r="M190" s="154" t="str">
        <f t="shared" si="11"/>
        <v>C/V - P&amp;A VW COMPTOIR GROS - ECHANGE</v>
      </c>
      <c r="N190" s="155">
        <f>+IF(OR($Q190=Parametres!$G$2,$Q190=Parametres!$G$3),I190,C190)</f>
        <v>0</v>
      </c>
      <c r="O190" s="1108">
        <f>+IF(OR($Q190=Parametres!$G$2,$Q190=Parametres!$G$3),J190,D190)</f>
        <v>64360.87</v>
      </c>
      <c r="P190" s="155">
        <f>+IF(OR($Q190=Parametres!$G$2,$Q190=Parametres!$G$3),K190,E190)</f>
        <v>64360.87</v>
      </c>
      <c r="Q190" s="154" t="str">
        <f t="shared" si="12"/>
        <v>6-Coût des ventes</v>
      </c>
      <c r="R190" s="153" t="str">
        <f t="shared" si="13"/>
        <v>4763</v>
      </c>
      <c r="S190" s="154">
        <f t="shared" si="14"/>
        <v>0</v>
      </c>
      <c r="T190" s="156">
        <f>+VLOOKUP($L190,Data_Validation!$A:$D,1,0)</f>
        <v>5763</v>
      </c>
      <c r="U190" s="156" t="str">
        <f>+VLOOKUP($L190,Data_Validation!$A:$D,3,0)</f>
        <v>Pièces</v>
      </c>
      <c r="V190" s="156" t="str">
        <f>+VLOOKUP($L190,Data_Validation!$A:$D,4,0)</f>
        <v>Ventes de Gros</v>
      </c>
      <c r="W190" s="156" t="str">
        <f>+VLOOKUP($L190,Data_Validation!$A:$E,5,0)</f>
        <v>$</v>
      </c>
      <c r="X190" s="156">
        <f>+VLOOKUP($L190,Data_Validation!$A:$F,6,0)</f>
        <v>0</v>
      </c>
    </row>
    <row r="191" spans="1:24" ht="15" hidden="1" customHeight="1">
      <c r="A191" s="1163" t="s">
        <v>2815</v>
      </c>
      <c r="B191" s="1164">
        <v>5781</v>
      </c>
      <c r="C191" s="1165">
        <v>0</v>
      </c>
      <c r="D191" s="1165">
        <v>27496.48</v>
      </c>
      <c r="E191" s="1165">
        <v>27496.48</v>
      </c>
      <c r="F191" s="1163" t="s">
        <v>424</v>
      </c>
      <c r="G191" s="1163" t="s">
        <v>2032</v>
      </c>
      <c r="H191" s="1166"/>
      <c r="I191" s="1166"/>
      <c r="J191" s="1166"/>
      <c r="K191" s="1166"/>
      <c r="L191" s="153">
        <f t="shared" si="10"/>
        <v>5781</v>
      </c>
      <c r="M191" s="154" t="str">
        <f t="shared" si="11"/>
        <v>COUT PNEUS</v>
      </c>
      <c r="N191" s="155">
        <f>+IF(OR($Q191=Parametres!$G$2,$Q191=Parametres!$G$3),I191,C191)</f>
        <v>0</v>
      </c>
      <c r="O191" s="1108">
        <f>+IF(OR($Q191=Parametres!$G$2,$Q191=Parametres!$G$3),J191,D191)</f>
        <v>27496.48</v>
      </c>
      <c r="P191" s="155">
        <f>+IF(OR($Q191=Parametres!$G$2,$Q191=Parametres!$G$3),K191,E191)</f>
        <v>27496.48</v>
      </c>
      <c r="Q191" s="154" t="str">
        <f t="shared" si="12"/>
        <v>6-Coût des ventes</v>
      </c>
      <c r="R191" s="153" t="str">
        <f t="shared" si="13"/>
        <v>4781</v>
      </c>
      <c r="S191" s="154">
        <f t="shared" si="14"/>
        <v>0</v>
      </c>
      <c r="T191" s="156">
        <f>+VLOOKUP($L191,Data_Validation!$A:$D,1,0)</f>
        <v>5781</v>
      </c>
      <c r="U191" s="156" t="str">
        <f>+VLOOKUP($L191,Data_Validation!$A:$D,3,0)</f>
        <v>Pièces</v>
      </c>
      <c r="V191" s="156" t="str">
        <f>+VLOOKUP($L191,Data_Validation!$A:$D,4,0)</f>
        <v>Ventes Pneus</v>
      </c>
      <c r="W191" s="156" t="str">
        <f>+VLOOKUP($L191,Data_Validation!$A:$E,5,0)</f>
        <v>$</v>
      </c>
      <c r="X191" s="156">
        <f>+VLOOKUP($L191,Data_Validation!$A:$F,6,0)</f>
        <v>0</v>
      </c>
    </row>
    <row r="192" spans="1:24" ht="15" hidden="1" customHeight="1">
      <c r="A192" s="1163" t="s">
        <v>2724</v>
      </c>
      <c r="B192" s="1164">
        <v>5785</v>
      </c>
      <c r="C192" s="1167">
        <v>0</v>
      </c>
      <c r="D192" s="1167">
        <v>-1632.88</v>
      </c>
      <c r="E192" s="1167">
        <v>-1632.88</v>
      </c>
      <c r="F192" s="1163" t="s">
        <v>424</v>
      </c>
      <c r="G192" s="1163" t="s">
        <v>2032</v>
      </c>
      <c r="H192" s="1166"/>
      <c r="I192" s="1165"/>
      <c r="J192" s="1165"/>
      <c r="K192" s="1165"/>
      <c r="L192" s="153">
        <f t="shared" si="10"/>
        <v>5785</v>
      </c>
      <c r="M192" s="154" t="str">
        <f t="shared" si="11"/>
        <v>C/V - VW PNEUS</v>
      </c>
      <c r="N192" s="155">
        <f>+IF(OR($Q192=Parametres!$G$2,$Q192=Parametres!$G$3),I192,C192)</f>
        <v>0</v>
      </c>
      <c r="O192" s="1108">
        <f>+IF(OR($Q192=Parametres!$G$2,$Q192=Parametres!$G$3),J192,D192)</f>
        <v>-1632.88</v>
      </c>
      <c r="P192" s="155">
        <f>+IF(OR($Q192=Parametres!$G$2,$Q192=Parametres!$G$3),K192,E192)</f>
        <v>-1632.88</v>
      </c>
      <c r="Q192" s="154" t="str">
        <f t="shared" si="12"/>
        <v>6-Coût des ventes</v>
      </c>
      <c r="R192" s="153" t="str">
        <f t="shared" si="13"/>
        <v>4781</v>
      </c>
      <c r="S192" s="154">
        <f t="shared" si="14"/>
        <v>0</v>
      </c>
      <c r="T192" s="156">
        <f>+VLOOKUP($L192,Data_Validation!$A:$D,1,0)</f>
        <v>5785</v>
      </c>
      <c r="U192" s="156" t="str">
        <f>+VLOOKUP($L192,Data_Validation!$A:$D,3,0)</f>
        <v>Pièces</v>
      </c>
      <c r="V192" s="156" t="str">
        <f>+VLOOKUP($L192,Data_Validation!$A:$D,4,0)</f>
        <v>Ventes Pneus</v>
      </c>
      <c r="W192" s="156" t="str">
        <f>+VLOOKUP($L192,Data_Validation!$A:$E,5,0)</f>
        <v>$</v>
      </c>
      <c r="X192" s="156">
        <f>+VLOOKUP($L192,Data_Validation!$A:$F,6,0)</f>
        <v>0</v>
      </c>
    </row>
    <row r="193" spans="1:24" ht="15" hidden="1" customHeight="1">
      <c r="A193" s="1163" t="s">
        <v>2132</v>
      </c>
      <c r="B193" s="1164">
        <v>5796</v>
      </c>
      <c r="C193" s="1165">
        <v>0</v>
      </c>
      <c r="D193" s="1165">
        <v>446.53</v>
      </c>
      <c r="E193" s="1165">
        <v>446.53</v>
      </c>
      <c r="F193" s="1163" t="s">
        <v>424</v>
      </c>
      <c r="G193" s="1163" t="s">
        <v>2134</v>
      </c>
      <c r="H193" s="1166"/>
      <c r="I193" s="1166"/>
      <c r="J193" s="1166"/>
      <c r="K193" s="1166"/>
      <c r="L193" s="153">
        <f t="shared" si="10"/>
        <v>5796</v>
      </c>
      <c r="M193" s="154" t="str">
        <f t="shared" si="11"/>
        <v>C/V - BONI / ESCPTE PI VW</v>
      </c>
      <c r="N193" s="155">
        <f>+IF(OR($Q193=Parametres!$G$2,$Q193=Parametres!$G$3),I193,C193)</f>
        <v>0</v>
      </c>
      <c r="O193" s="1108">
        <f>+IF(OR($Q193=Parametres!$G$2,$Q193=Parametres!$G$3),J193,D193)</f>
        <v>446.53</v>
      </c>
      <c r="P193" s="155">
        <f>+IF(OR($Q193=Parametres!$G$2,$Q193=Parametres!$G$3),K193,E193)</f>
        <v>446.53</v>
      </c>
      <c r="Q193" s="154" t="str">
        <f t="shared" si="12"/>
        <v>6-Coût des ventes</v>
      </c>
      <c r="R193" s="153" t="str">
        <f t="shared" si="13"/>
        <v>5792</v>
      </c>
      <c r="S193" s="154">
        <f t="shared" si="14"/>
        <v>0</v>
      </c>
      <c r="T193" s="156">
        <f>+VLOOKUP($L193,Data_Validation!$A:$D,1,0)</f>
        <v>5796</v>
      </c>
      <c r="U193" s="156" t="str">
        <f>+VLOOKUP($L193,Data_Validation!$A:$D,3,0)</f>
        <v>Pièces</v>
      </c>
      <c r="V193" s="156" t="str">
        <f>+VLOOKUP($L193,Data_Validation!$A:$D,4,0)</f>
        <v>Escomptes</v>
      </c>
      <c r="W193" s="156" t="str">
        <f>+VLOOKUP($L193,Data_Validation!$A:$E,5,0)</f>
        <v>$</v>
      </c>
      <c r="X193" s="156">
        <f>+VLOOKUP($L193,Data_Validation!$A:$F,6,0)</f>
        <v>0</v>
      </c>
    </row>
    <row r="194" spans="1:24" ht="15.75" hidden="1" customHeight="1">
      <c r="A194" s="1163" t="s">
        <v>1523</v>
      </c>
      <c r="B194" s="1164">
        <v>6101</v>
      </c>
      <c r="C194" s="1167">
        <v>0</v>
      </c>
      <c r="D194" s="1167">
        <v>48991.75</v>
      </c>
      <c r="E194" s="1167">
        <v>48991.75</v>
      </c>
      <c r="F194" s="1163" t="s">
        <v>401</v>
      </c>
      <c r="G194" s="1163" t="s">
        <v>2776</v>
      </c>
      <c r="H194" s="1166"/>
      <c r="I194" s="1165"/>
      <c r="J194" s="1165"/>
      <c r="K194" s="1165"/>
      <c r="L194" s="153">
        <f t="shared" ref="L194:L257" si="15">+B194</f>
        <v>6101</v>
      </c>
      <c r="M194" s="154" t="str">
        <f t="shared" ref="M194:M257" si="16">+A194</f>
        <v>COMMISSION VENDEUR NEUFS</v>
      </c>
      <c r="N194" s="155">
        <f>+IF(OR($Q194=Parametres!$G$2,$Q194=Parametres!$G$3),I194,C194)</f>
        <v>0</v>
      </c>
      <c r="O194" s="1108">
        <f>+IF(OR($Q194=Parametres!$G$2,$Q194=Parametres!$G$3),J194,D194)</f>
        <v>48991.75</v>
      </c>
      <c r="P194" s="155">
        <f>+IF(OR($Q194=Parametres!$G$2,$Q194=Parametres!$G$3),K194,E194)</f>
        <v>48991.75</v>
      </c>
      <c r="Q194" s="154" t="str">
        <f t="shared" ref="Q194:Q257" si="17">+F194</f>
        <v>7-Dépenses</v>
      </c>
      <c r="R194" s="153" t="str">
        <f t="shared" ref="R194:R257" si="18">+G194</f>
        <v>6101</v>
      </c>
      <c r="S194" s="154">
        <f t="shared" ref="S194:S257" si="19">+H194</f>
        <v>0</v>
      </c>
      <c r="T194" s="156">
        <f>+VLOOKUP($L194,Data_Validation!$A:$D,1,0)</f>
        <v>6101</v>
      </c>
      <c r="U194" s="156" t="str">
        <f>+VLOOKUP($L194,Data_Validation!$A:$D,3,0)</f>
        <v>Véhicules neufs</v>
      </c>
      <c r="V194" s="156" t="str">
        <f>+VLOOKUP($L194,Data_Validation!$A:$D,4,0)</f>
        <v>Comm. vendeurs</v>
      </c>
      <c r="W194" s="156" t="str">
        <f>+VLOOKUP($L194,Data_Validation!$A:$E,5,0)</f>
        <v>$</v>
      </c>
      <c r="X194" s="156">
        <f>+VLOOKUP($L194,Data_Validation!$A:$F,6,0)</f>
        <v>0</v>
      </c>
    </row>
    <row r="195" spans="1:24" ht="15" hidden="1" customHeight="1">
      <c r="A195" s="1163" t="s">
        <v>1442</v>
      </c>
      <c r="B195" s="1164">
        <v>6102</v>
      </c>
      <c r="C195" s="1165">
        <v>0</v>
      </c>
      <c r="D195" s="1165">
        <v>16299.61</v>
      </c>
      <c r="E195" s="1165">
        <v>16299.61</v>
      </c>
      <c r="F195" s="1163" t="s">
        <v>401</v>
      </c>
      <c r="G195" s="1163" t="s">
        <v>2765</v>
      </c>
      <c r="H195" s="1166"/>
      <c r="I195" s="1166"/>
      <c r="J195" s="1166"/>
      <c r="K195" s="1166"/>
      <c r="L195" s="153">
        <f t="shared" si="15"/>
        <v>6102</v>
      </c>
      <c r="M195" s="154" t="str">
        <f t="shared" si="16"/>
        <v>RENUMERATION F &amp; I</v>
      </c>
      <c r="N195" s="155">
        <f>+IF(OR($Q195=Parametres!$G$2,$Q195=Parametres!$G$3),I195,C195)</f>
        <v>0</v>
      </c>
      <c r="O195" s="1108">
        <f>+IF(OR($Q195=Parametres!$G$2,$Q195=Parametres!$G$3),J195,D195)</f>
        <v>16299.61</v>
      </c>
      <c r="P195" s="155">
        <f>+IF(OR($Q195=Parametres!$G$2,$Q195=Parametres!$G$3),K195,E195)</f>
        <v>16299.61</v>
      </c>
      <c r="Q195" s="154" t="str">
        <f t="shared" si="17"/>
        <v>7-Dépenses</v>
      </c>
      <c r="R195" s="153" t="str">
        <f t="shared" si="18"/>
        <v>6102</v>
      </c>
      <c r="S195" s="154">
        <f t="shared" si="19"/>
        <v>0</v>
      </c>
      <c r="T195" s="156">
        <f>+VLOOKUP($L195,Data_Validation!$A:$D,1,0)</f>
        <v>6102</v>
      </c>
      <c r="U195" s="156" t="str">
        <f>+VLOOKUP($L195,Data_Validation!$A:$D,3,0)</f>
        <v>Véhicules neufs</v>
      </c>
      <c r="V195" s="156" t="str">
        <f>+VLOOKUP($L195,Data_Validation!$A:$D,4,0)</f>
        <v>Comm. F&amp;I</v>
      </c>
      <c r="W195" s="156" t="str">
        <f>+VLOOKUP($L195,Data_Validation!$A:$E,5,0)</f>
        <v>$</v>
      </c>
      <c r="X195" s="156">
        <f>+VLOOKUP($L195,Data_Validation!$A:$F,6,0)</f>
        <v>0</v>
      </c>
    </row>
    <row r="196" spans="1:24" ht="15" hidden="1" customHeight="1">
      <c r="A196" s="1163" t="s">
        <v>2752</v>
      </c>
      <c r="B196" s="1164">
        <v>6106</v>
      </c>
      <c r="C196" s="1167">
        <v>0</v>
      </c>
      <c r="D196" s="1167">
        <v>2933.33</v>
      </c>
      <c r="E196" s="1167">
        <v>2933.33</v>
      </c>
      <c r="F196" s="1163" t="s">
        <v>401</v>
      </c>
      <c r="G196" s="1163" t="s">
        <v>2754</v>
      </c>
      <c r="H196" s="1166"/>
      <c r="I196" s="1165"/>
      <c r="J196" s="1165"/>
      <c r="K196" s="1165"/>
      <c r="L196" s="153">
        <f t="shared" si="15"/>
        <v>6106</v>
      </c>
      <c r="M196" s="154" t="str">
        <f t="shared" si="16"/>
        <v>ENTRETIEN DES STOCKS</v>
      </c>
      <c r="N196" s="155">
        <f>+IF(OR($Q196=Parametres!$G$2,$Q196=Parametres!$G$3),I196,C196)</f>
        <v>0</v>
      </c>
      <c r="O196" s="1108">
        <f>+IF(OR($Q196=Parametres!$G$2,$Q196=Parametres!$G$3),J196,D196)</f>
        <v>2933.33</v>
      </c>
      <c r="P196" s="155">
        <f>+IF(OR($Q196=Parametres!$G$2,$Q196=Parametres!$G$3),K196,E196)</f>
        <v>2933.33</v>
      </c>
      <c r="Q196" s="154" t="str">
        <f t="shared" si="17"/>
        <v>7-Dépenses</v>
      </c>
      <c r="R196" s="153" t="str">
        <f t="shared" si="18"/>
        <v>6106</v>
      </c>
      <c r="S196" s="154">
        <f t="shared" si="19"/>
        <v>0</v>
      </c>
      <c r="T196" s="156">
        <f>+VLOOKUP($L196,Data_Validation!$A:$D,1,0)</f>
        <v>6106</v>
      </c>
      <c r="U196" s="156" t="str">
        <f>+VLOOKUP($L196,Data_Validation!$A:$D,3,0)</f>
        <v>Véhicules neufs</v>
      </c>
      <c r="V196" s="156" t="str">
        <f>+VLOOKUP($L196,Data_Validation!$A:$D,4,0)</f>
        <v>Entretien stock</v>
      </c>
      <c r="W196" s="156" t="str">
        <f>+VLOOKUP($L196,Data_Validation!$A:$E,5,0)</f>
        <v>$</v>
      </c>
      <c r="X196" s="156">
        <f>+VLOOKUP($L196,Data_Validation!$A:$F,6,0)</f>
        <v>0</v>
      </c>
    </row>
    <row r="197" spans="1:24" ht="15" hidden="1" customHeight="1">
      <c r="A197" s="1163" t="s">
        <v>938</v>
      </c>
      <c r="B197" s="1164">
        <v>6107</v>
      </c>
      <c r="C197" s="1165">
        <v>0</v>
      </c>
      <c r="D197" s="1165">
        <v>1859.21</v>
      </c>
      <c r="E197" s="1165">
        <v>1859.21</v>
      </c>
      <c r="F197" s="1163" t="s">
        <v>401</v>
      </c>
      <c r="G197" s="1163" t="s">
        <v>2607</v>
      </c>
      <c r="H197" s="1166"/>
      <c r="I197" s="1166"/>
      <c r="J197" s="1166"/>
      <c r="K197" s="1166"/>
      <c r="L197" s="153">
        <f t="shared" si="15"/>
        <v>6107</v>
      </c>
      <c r="M197" s="154" t="str">
        <f t="shared" si="16"/>
        <v>INTERET-PLAN DE FINANCEMENT</v>
      </c>
      <c r="N197" s="155">
        <f>+IF(OR($Q197=Parametres!$G$2,$Q197=Parametres!$G$3),I197,C197)</f>
        <v>0</v>
      </c>
      <c r="O197" s="1106">
        <f>+IF(OR($Q197=Parametres!$G$2,$Q197=Parametres!$G$3),J197,D197)</f>
        <v>1859.21</v>
      </c>
      <c r="P197" s="155">
        <f>+IF(OR($Q197=Parametres!$G$2,$Q197=Parametres!$G$3),K197,E197)</f>
        <v>1859.21</v>
      </c>
      <c r="Q197" s="154" t="str">
        <f t="shared" si="17"/>
        <v>7-Dépenses</v>
      </c>
      <c r="R197" s="153" t="str">
        <f t="shared" si="18"/>
        <v>6107</v>
      </c>
      <c r="S197" s="154">
        <f t="shared" si="19"/>
        <v>0</v>
      </c>
      <c r="T197" s="156">
        <f>+VLOOKUP($L197,Data_Validation!$A:$D,1,0)</f>
        <v>6107</v>
      </c>
      <c r="U197" s="156" t="str">
        <f>+VLOOKUP($L197,Data_Validation!$A:$D,3,0)</f>
        <v>Véhicules neufs</v>
      </c>
      <c r="V197" s="156" t="str">
        <f>+VLOOKUP($L197,Data_Validation!$A:$D,4,0)</f>
        <v>Intérêt de gros</v>
      </c>
      <c r="W197" s="156" t="str">
        <f>+VLOOKUP($L197,Data_Validation!$A:$E,5,0)</f>
        <v>$</v>
      </c>
      <c r="X197" s="156">
        <f>+VLOOKUP($L197,Data_Validation!$A:$F,6,0)</f>
        <v>0</v>
      </c>
    </row>
    <row r="198" spans="1:24" ht="15" hidden="1" customHeight="1">
      <c r="A198" s="1163" t="s">
        <v>1407</v>
      </c>
      <c r="B198" s="1164">
        <v>6108</v>
      </c>
      <c r="C198" s="1167">
        <v>0</v>
      </c>
      <c r="D198" s="1167">
        <v>6164.44</v>
      </c>
      <c r="E198" s="1167">
        <v>6164.44</v>
      </c>
      <c r="F198" s="1163" t="s">
        <v>401</v>
      </c>
      <c r="G198" s="1163" t="s">
        <v>2691</v>
      </c>
      <c r="H198" s="1166"/>
      <c r="I198" s="1165"/>
      <c r="J198" s="1165"/>
      <c r="K198" s="1165"/>
      <c r="L198" s="153">
        <f t="shared" si="15"/>
        <v>6108</v>
      </c>
      <c r="M198" s="154" t="str">
        <f t="shared" si="16"/>
        <v>FRAIS DE LIVRAISON</v>
      </c>
      <c r="N198" s="155">
        <f>+IF(OR($Q198=Parametres!$G$2,$Q198=Parametres!$G$3),I198,C198)</f>
        <v>0</v>
      </c>
      <c r="O198" s="1108">
        <f>+IF(OR($Q198=Parametres!$G$2,$Q198=Parametres!$G$3),J198,D198)</f>
        <v>6164.44</v>
      </c>
      <c r="P198" s="155">
        <f>+IF(OR($Q198=Parametres!$G$2,$Q198=Parametres!$G$3),K198,E198)</f>
        <v>6164.44</v>
      </c>
      <c r="Q198" s="154" t="str">
        <f t="shared" si="17"/>
        <v>7-Dépenses</v>
      </c>
      <c r="R198" s="153" t="str">
        <f t="shared" si="18"/>
        <v>6108</v>
      </c>
      <c r="S198" s="154">
        <f t="shared" si="19"/>
        <v>0</v>
      </c>
      <c r="T198" s="156">
        <f>+VLOOKUP($L198,Data_Validation!$A:$D,1,0)</f>
        <v>6108</v>
      </c>
      <c r="U198" s="156" t="str">
        <f>+VLOOKUP($L198,Data_Validation!$A:$D,3,0)</f>
        <v>Véhicules neufs</v>
      </c>
      <c r="V198" s="156" t="str">
        <f>+VLOOKUP($L198,Data_Validation!$A:$D,4,0)</f>
        <v>Frais de livraison</v>
      </c>
      <c r="W198" s="156" t="str">
        <f>+VLOOKUP($L198,Data_Validation!$A:$E,5,0)</f>
        <v>$</v>
      </c>
      <c r="X198" s="156">
        <f>+VLOOKUP($L198,Data_Validation!$A:$F,6,0)</f>
        <v>0</v>
      </c>
    </row>
    <row r="199" spans="1:24" ht="15.75" hidden="1" customHeight="1">
      <c r="A199" s="1163" t="s">
        <v>1374</v>
      </c>
      <c r="B199" s="1164">
        <v>6114</v>
      </c>
      <c r="C199" s="1165">
        <v>0</v>
      </c>
      <c r="D199" s="1165">
        <v>14054.6</v>
      </c>
      <c r="E199" s="1165">
        <v>14054.6</v>
      </c>
      <c r="F199" s="1163" t="s">
        <v>401</v>
      </c>
      <c r="G199" s="1163" t="s">
        <v>2110</v>
      </c>
      <c r="H199" s="1166"/>
      <c r="I199" s="1166"/>
      <c r="J199" s="1166"/>
      <c r="K199" s="1166"/>
      <c r="L199" s="153">
        <f t="shared" si="15"/>
        <v>6114</v>
      </c>
      <c r="M199" s="154" t="str">
        <f t="shared" si="16"/>
        <v>PUBLICITE</v>
      </c>
      <c r="N199" s="155">
        <f>+IF(OR($Q199=Parametres!$G$2,$Q199=Parametres!$G$3),I199,C199)</f>
        <v>0</v>
      </c>
      <c r="O199" s="1108">
        <f>+IF(OR($Q199=Parametres!$G$2,$Q199=Parametres!$G$3),J199,D199)</f>
        <v>14054.6</v>
      </c>
      <c r="P199" s="155">
        <f>+IF(OR($Q199=Parametres!$G$2,$Q199=Parametres!$G$3),K199,E199)</f>
        <v>14054.6</v>
      </c>
      <c r="Q199" s="154" t="str">
        <f t="shared" si="17"/>
        <v>7-Dépenses</v>
      </c>
      <c r="R199" s="153" t="str">
        <f t="shared" si="18"/>
        <v>6114</v>
      </c>
      <c r="S199" s="154">
        <f t="shared" si="19"/>
        <v>0</v>
      </c>
      <c r="T199" s="156">
        <f>+VLOOKUP($L199,Data_Validation!$A:$D,1,0)</f>
        <v>6114</v>
      </c>
      <c r="U199" s="156" t="str">
        <f>+VLOOKUP($L199,Data_Validation!$A:$D,3,0)</f>
        <v>Véhicules neufs</v>
      </c>
      <c r="V199" s="156" t="str">
        <f>+VLOOKUP($L199,Data_Validation!$A:$D,4,0)</f>
        <v>Publicité 1</v>
      </c>
      <c r="W199" s="156" t="str">
        <f>+VLOOKUP($L199,Data_Validation!$A:$E,5,0)</f>
        <v>$</v>
      </c>
      <c r="X199" s="156">
        <f>+VLOOKUP($L199,Data_Validation!$A:$F,6,0)</f>
        <v>0</v>
      </c>
    </row>
    <row r="200" spans="1:24" ht="15" hidden="1" customHeight="1">
      <c r="A200" s="1163" t="s">
        <v>2108</v>
      </c>
      <c r="B200" s="1164">
        <v>6115</v>
      </c>
      <c r="C200" s="1167">
        <v>0</v>
      </c>
      <c r="D200" s="1167">
        <v>-4700</v>
      </c>
      <c r="E200" s="1167">
        <v>-4700</v>
      </c>
      <c r="F200" s="1163" t="s">
        <v>401</v>
      </c>
      <c r="G200" s="1163" t="s">
        <v>2110</v>
      </c>
      <c r="H200" s="1166"/>
      <c r="I200" s="1165"/>
      <c r="J200" s="1165"/>
      <c r="K200" s="1165"/>
      <c r="L200" s="153">
        <f t="shared" si="15"/>
        <v>6115</v>
      </c>
      <c r="M200" s="154" t="str">
        <f t="shared" si="16"/>
        <v>CREDIT PUBLICITE NEUF</v>
      </c>
      <c r="N200" s="155">
        <f>+IF(OR($Q200=Parametres!$G$2,$Q200=Parametres!$G$3),I200,C200)</f>
        <v>0</v>
      </c>
      <c r="O200" s="1108">
        <f>+IF(OR($Q200=Parametres!$G$2,$Q200=Parametres!$G$3),J200,D200)</f>
        <v>-4700</v>
      </c>
      <c r="P200" s="155">
        <f>+IF(OR($Q200=Parametres!$G$2,$Q200=Parametres!$G$3),K200,E200)</f>
        <v>-4700</v>
      </c>
      <c r="Q200" s="154" t="str">
        <f t="shared" si="17"/>
        <v>7-Dépenses</v>
      </c>
      <c r="R200" s="153" t="str">
        <f t="shared" si="18"/>
        <v>6114</v>
      </c>
      <c r="S200" s="154">
        <f t="shared" si="19"/>
        <v>0</v>
      </c>
      <c r="T200" s="156">
        <f>+VLOOKUP($L200,Data_Validation!$A:$D,1,0)</f>
        <v>6115</v>
      </c>
      <c r="U200" s="156" t="str">
        <f>+VLOOKUP($L200,Data_Validation!$A:$D,3,0)</f>
        <v>Véhicules neufs</v>
      </c>
      <c r="V200" s="156" t="str">
        <f>+VLOOKUP($L200,Data_Validation!$A:$D,4,0)</f>
        <v>Publicité 1</v>
      </c>
      <c r="W200" s="156" t="str">
        <f>+VLOOKUP($L200,Data_Validation!$A:$E,5,0)</f>
        <v>$</v>
      </c>
      <c r="X200" s="156">
        <f>+VLOOKUP($L200,Data_Validation!$A:$F,6,0)</f>
        <v>0</v>
      </c>
    </row>
    <row r="201" spans="1:24" ht="15" hidden="1" customHeight="1">
      <c r="A201" s="1163" t="s">
        <v>1259</v>
      </c>
      <c r="B201" s="1164">
        <v>6121</v>
      </c>
      <c r="C201" s="1165">
        <v>0</v>
      </c>
      <c r="D201" s="1165">
        <v>6769.66</v>
      </c>
      <c r="E201" s="1165">
        <v>6769.66</v>
      </c>
      <c r="F201" s="1163" t="s">
        <v>401</v>
      </c>
      <c r="G201" s="1163" t="s">
        <v>2643</v>
      </c>
      <c r="H201" s="1166"/>
      <c r="I201" s="1166"/>
      <c r="J201" s="1166"/>
      <c r="K201" s="1166"/>
      <c r="L201" s="153">
        <f t="shared" si="15"/>
        <v>6121</v>
      </c>
      <c r="M201" s="154" t="str">
        <f t="shared" si="16"/>
        <v>SALAIRES - PROPRIETAIRES</v>
      </c>
      <c r="N201" s="155">
        <f>+IF(OR($Q201=Parametres!$G$2,$Q201=Parametres!$G$3),I201,C201)</f>
        <v>0</v>
      </c>
      <c r="O201" s="1108">
        <f>+IF(OR($Q201=Parametres!$G$2,$Q201=Parametres!$G$3),J201,D201)</f>
        <v>6769.66</v>
      </c>
      <c r="P201" s="155">
        <f>+IF(OR($Q201=Parametres!$G$2,$Q201=Parametres!$G$3),K201,E201)</f>
        <v>6769.66</v>
      </c>
      <c r="Q201" s="154" t="str">
        <f t="shared" si="17"/>
        <v>7-Dépenses</v>
      </c>
      <c r="R201" s="153" t="str">
        <f t="shared" si="18"/>
        <v>6121</v>
      </c>
      <c r="S201" s="154">
        <f t="shared" si="19"/>
        <v>0</v>
      </c>
      <c r="T201" s="156">
        <f>+VLOOKUP($L201,Data_Validation!$A:$D,1,0)</f>
        <v>6121</v>
      </c>
      <c r="U201" s="156" t="str">
        <f>+VLOOKUP($L201,Data_Validation!$A:$D,3,0)</f>
        <v>Véhicules neufs</v>
      </c>
      <c r="V201" s="156" t="str">
        <f>+VLOOKUP($L201,Data_Validation!$A:$D,4,0)</f>
        <v>Salaires propriétaire</v>
      </c>
      <c r="W201" s="156" t="str">
        <f>+VLOOKUP($L201,Data_Validation!$A:$E,5,0)</f>
        <v>$</v>
      </c>
      <c r="X201" s="156">
        <f>+VLOOKUP($L201,Data_Validation!$A:$F,6,0)</f>
        <v>0</v>
      </c>
    </row>
    <row r="202" spans="1:24" ht="15" hidden="1" customHeight="1">
      <c r="A202" s="1163" t="s">
        <v>2619</v>
      </c>
      <c r="B202" s="1164">
        <v>6122</v>
      </c>
      <c r="C202" s="1167">
        <v>0</v>
      </c>
      <c r="D202" s="1167">
        <v>11574.55</v>
      </c>
      <c r="E202" s="1167">
        <v>11574.55</v>
      </c>
      <c r="F202" s="1163" t="s">
        <v>401</v>
      </c>
      <c r="G202" s="1163" t="s">
        <v>2621</v>
      </c>
      <c r="H202" s="1166"/>
      <c r="I202" s="1165"/>
      <c r="J202" s="1165"/>
      <c r="K202" s="1165"/>
      <c r="L202" s="153">
        <f t="shared" si="15"/>
        <v>6122</v>
      </c>
      <c r="M202" s="154" t="str">
        <f t="shared" si="16"/>
        <v>SAL SUPERVISION / GERANT</v>
      </c>
      <c r="N202" s="155">
        <f>+IF(OR($Q202=Parametres!$G$2,$Q202=Parametres!$G$3),I202,C202)</f>
        <v>0</v>
      </c>
      <c r="O202" s="1108">
        <f>+IF(OR($Q202=Parametres!$G$2,$Q202=Parametres!$G$3),J202,D202)</f>
        <v>11574.55</v>
      </c>
      <c r="P202" s="155">
        <f>+IF(OR($Q202=Parametres!$G$2,$Q202=Parametres!$G$3),K202,E202)</f>
        <v>11574.55</v>
      </c>
      <c r="Q202" s="154" t="str">
        <f t="shared" si="17"/>
        <v>7-Dépenses</v>
      </c>
      <c r="R202" s="153" t="str">
        <f t="shared" si="18"/>
        <v>6122</v>
      </c>
      <c r="S202" s="154">
        <f t="shared" si="19"/>
        <v>0</v>
      </c>
      <c r="T202" s="156">
        <f>+VLOOKUP($L202,Data_Validation!$A:$D,1,0)</f>
        <v>6122</v>
      </c>
      <c r="U202" s="156" t="str">
        <f>+VLOOKUP($L202,Data_Validation!$A:$D,3,0)</f>
        <v>Véhicules neufs</v>
      </c>
      <c r="V202" s="156" t="str">
        <f>+VLOOKUP($L202,Data_Validation!$A:$D,4,0)</f>
        <v>Salaires cadres</v>
      </c>
      <c r="W202" s="156" t="str">
        <f>+VLOOKUP($L202,Data_Validation!$A:$E,5,0)</f>
        <v>$</v>
      </c>
      <c r="X202" s="156">
        <f>+VLOOKUP($L202,Data_Validation!$A:$F,6,0)</f>
        <v>0</v>
      </c>
    </row>
    <row r="203" spans="1:24" ht="15" hidden="1" customHeight="1">
      <c r="A203" s="1163" t="s">
        <v>1342</v>
      </c>
      <c r="B203" s="1164">
        <v>6123</v>
      </c>
      <c r="C203" s="1165">
        <v>0</v>
      </c>
      <c r="D203" s="1165">
        <v>7984.25</v>
      </c>
      <c r="E203" s="1165">
        <v>7984.25</v>
      </c>
      <c r="F203" s="1163" t="s">
        <v>401</v>
      </c>
      <c r="G203" s="1163" t="s">
        <v>2674</v>
      </c>
      <c r="H203" s="1166"/>
      <c r="I203" s="1166"/>
      <c r="J203" s="1166"/>
      <c r="K203" s="1166"/>
      <c r="L203" s="153">
        <f t="shared" si="15"/>
        <v>6123</v>
      </c>
      <c r="M203" s="154" t="str">
        <f t="shared" si="16"/>
        <v>SAL. &amp; RENUM. - CLERICAL</v>
      </c>
      <c r="N203" s="155">
        <f>+IF(OR($Q203=Parametres!$G$2,$Q203=Parametres!$G$3),I203,C203)</f>
        <v>0</v>
      </c>
      <c r="O203" s="1108">
        <f>+IF(OR($Q203=Parametres!$G$2,$Q203=Parametres!$G$3),J203,D203)</f>
        <v>7984.25</v>
      </c>
      <c r="P203" s="155">
        <f>+IF(OR($Q203=Parametres!$G$2,$Q203=Parametres!$G$3),K203,E203)</f>
        <v>7984.25</v>
      </c>
      <c r="Q203" s="154" t="str">
        <f t="shared" si="17"/>
        <v>7-Dépenses</v>
      </c>
      <c r="R203" s="153" t="str">
        <f t="shared" si="18"/>
        <v>6123</v>
      </c>
      <c r="S203" s="154">
        <f t="shared" si="19"/>
        <v>0</v>
      </c>
      <c r="T203" s="156">
        <f>+VLOOKUP($L203,Data_Validation!$A:$D,1,0)</f>
        <v>6123</v>
      </c>
      <c r="U203" s="156" t="str">
        <f>+VLOOKUP($L203,Data_Validation!$A:$D,3,0)</f>
        <v>Véhicules neufs</v>
      </c>
      <c r="V203" s="156" t="str">
        <f>+VLOOKUP($L203,Data_Validation!$A:$D,4,0)</f>
        <v>Salaires commis</v>
      </c>
      <c r="W203" s="156" t="str">
        <f>+VLOOKUP($L203,Data_Validation!$A:$E,5,0)</f>
        <v>$</v>
      </c>
      <c r="X203" s="156">
        <f>+VLOOKUP($L203,Data_Validation!$A:$F,6,0)</f>
        <v>0</v>
      </c>
    </row>
    <row r="204" spans="1:24" ht="15" hidden="1" customHeight="1">
      <c r="A204" s="1163" t="s">
        <v>1249</v>
      </c>
      <c r="B204" s="1164">
        <v>6124</v>
      </c>
      <c r="C204" s="1167">
        <v>0</v>
      </c>
      <c r="D204" s="1167">
        <v>3433.02</v>
      </c>
      <c r="E204" s="1167">
        <v>3433.02</v>
      </c>
      <c r="F204" s="1163" t="s">
        <v>401</v>
      </c>
      <c r="G204" s="1163" t="s">
        <v>2730</v>
      </c>
      <c r="H204" s="1166"/>
      <c r="I204" s="1165"/>
      <c r="J204" s="1165"/>
      <c r="K204" s="1165"/>
      <c r="L204" s="153">
        <f t="shared" si="15"/>
        <v>6124</v>
      </c>
      <c r="M204" s="154" t="str">
        <f t="shared" si="16"/>
        <v>SALAIRES &amp; RENUM. - AUTRES</v>
      </c>
      <c r="N204" s="155">
        <f>+IF(OR($Q204=Parametres!$G$2,$Q204=Parametres!$G$3),I204,C204)</f>
        <v>0</v>
      </c>
      <c r="O204" s="1106">
        <f>+IF(OR($Q204=Parametres!$G$2,$Q204=Parametres!$G$3),J204,D204)</f>
        <v>3433.02</v>
      </c>
      <c r="P204" s="155">
        <f>+IF(OR($Q204=Parametres!$G$2,$Q204=Parametres!$G$3),K204,E204)</f>
        <v>3433.02</v>
      </c>
      <c r="Q204" s="154" t="str">
        <f t="shared" si="17"/>
        <v>7-Dépenses</v>
      </c>
      <c r="R204" s="153" t="str">
        <f t="shared" si="18"/>
        <v>6124</v>
      </c>
      <c r="S204" s="154">
        <f t="shared" si="19"/>
        <v>0</v>
      </c>
      <c r="T204" s="156">
        <f>+VLOOKUP($L204,Data_Validation!$A:$D,1,0)</f>
        <v>6124</v>
      </c>
      <c r="U204" s="156" t="str">
        <f>+VLOOKUP($L204,Data_Validation!$A:$D,3,0)</f>
        <v>Véhicules neufs</v>
      </c>
      <c r="V204" s="156" t="str">
        <f>+VLOOKUP($L204,Data_Validation!$A:$D,4,0)</f>
        <v>Salaires autres</v>
      </c>
      <c r="W204" s="156" t="str">
        <f>+VLOOKUP($L204,Data_Validation!$A:$E,5,0)</f>
        <v>$</v>
      </c>
      <c r="X204" s="156">
        <f>+VLOOKUP($L204,Data_Validation!$A:$F,6,0)</f>
        <v>0</v>
      </c>
    </row>
    <row r="205" spans="1:24" ht="15" hidden="1" customHeight="1">
      <c r="A205" s="1163" t="s">
        <v>1445</v>
      </c>
      <c r="B205" s="1164">
        <v>6129</v>
      </c>
      <c r="C205" s="1165">
        <v>0</v>
      </c>
      <c r="D205" s="1165">
        <v>8813.36</v>
      </c>
      <c r="E205" s="1165">
        <v>8813.36</v>
      </c>
      <c r="F205" s="1163" t="s">
        <v>401</v>
      </c>
      <c r="G205" s="1163" t="s">
        <v>2636</v>
      </c>
      <c r="H205" s="1166"/>
      <c r="I205" s="1166"/>
      <c r="J205" s="1166"/>
      <c r="K205" s="1166"/>
      <c r="L205" s="153">
        <f t="shared" si="15"/>
        <v>6129</v>
      </c>
      <c r="M205" s="154" t="str">
        <f t="shared" si="16"/>
        <v>ABS., VACANCE &amp; SAL. JOURS FER</v>
      </c>
      <c r="N205" s="155">
        <f>+IF(OR($Q205=Parametres!$G$2,$Q205=Parametres!$G$3),I205,C205)</f>
        <v>0</v>
      </c>
      <c r="O205" s="1108">
        <f>+IF(OR($Q205=Parametres!$G$2,$Q205=Parametres!$G$3),J205,D205)</f>
        <v>8813.36</v>
      </c>
      <c r="P205" s="155">
        <f>+IF(OR($Q205=Parametres!$G$2,$Q205=Parametres!$G$3),K205,E205)</f>
        <v>8813.36</v>
      </c>
      <c r="Q205" s="154" t="str">
        <f t="shared" si="17"/>
        <v>7-Dépenses</v>
      </c>
      <c r="R205" s="153" t="str">
        <f t="shared" si="18"/>
        <v>6129</v>
      </c>
      <c r="S205" s="154">
        <f t="shared" si="19"/>
        <v>0</v>
      </c>
      <c r="T205" s="156">
        <f>+VLOOKUP($L205,Data_Validation!$A:$D,1,0)</f>
        <v>6129</v>
      </c>
      <c r="U205" s="156" t="str">
        <f>+VLOOKUP($L205,Data_Validation!$A:$D,3,0)</f>
        <v>Véhicules neufs</v>
      </c>
      <c r="V205" s="156" t="str">
        <f>+VLOOKUP($L205,Data_Validation!$A:$D,4,0)</f>
        <v>Salaires en absences</v>
      </c>
      <c r="W205" s="156" t="str">
        <f>+VLOOKUP($L205,Data_Validation!$A:$E,5,0)</f>
        <v>$</v>
      </c>
      <c r="X205" s="156">
        <f>+VLOOKUP($L205,Data_Validation!$A:$F,6,0)</f>
        <v>0</v>
      </c>
    </row>
    <row r="206" spans="1:24" ht="15.75" hidden="1" customHeight="1">
      <c r="A206" s="1163" t="s">
        <v>1252</v>
      </c>
      <c r="B206" s="1164">
        <v>6131</v>
      </c>
      <c r="C206" s="1167">
        <v>0</v>
      </c>
      <c r="D206" s="1167">
        <v>3312.72</v>
      </c>
      <c r="E206" s="1167">
        <v>3312.72</v>
      </c>
      <c r="F206" s="1163" t="s">
        <v>401</v>
      </c>
      <c r="G206" s="1163" t="s">
        <v>2581</v>
      </c>
      <c r="H206" s="1166"/>
      <c r="I206" s="1165"/>
      <c r="J206" s="1165"/>
      <c r="K206" s="1165"/>
      <c r="L206" s="153">
        <f t="shared" si="15"/>
        <v>6131</v>
      </c>
      <c r="M206" s="154" t="str">
        <f t="shared" si="16"/>
        <v>CSST</v>
      </c>
      <c r="N206" s="155">
        <f>+IF(OR($Q206=Parametres!$G$2,$Q206=Parametres!$G$3),I206,C206)</f>
        <v>0</v>
      </c>
      <c r="O206" s="1108">
        <f>+IF(OR($Q206=Parametres!$G$2,$Q206=Parametres!$G$3),J206,D206)</f>
        <v>3312.72</v>
      </c>
      <c r="P206" s="155">
        <f>+IF(OR($Q206=Parametres!$G$2,$Q206=Parametres!$G$3),K206,E206)</f>
        <v>3312.72</v>
      </c>
      <c r="Q206" s="154" t="str">
        <f t="shared" si="17"/>
        <v>7-Dépenses</v>
      </c>
      <c r="R206" s="153" t="str">
        <f t="shared" si="18"/>
        <v>6131</v>
      </c>
      <c r="S206" s="154">
        <f t="shared" si="19"/>
        <v>0</v>
      </c>
      <c r="T206" s="156">
        <f>+VLOOKUP($L206,Data_Validation!$A:$D,1,0)</f>
        <v>6131</v>
      </c>
      <c r="U206" s="156" t="str">
        <f>+VLOOKUP($L206,Data_Validation!$A:$D,3,0)</f>
        <v>Véhicules neufs</v>
      </c>
      <c r="V206" s="156" t="str">
        <f>+VLOOKUP($L206,Data_Validation!$A:$D,4,0)</f>
        <v>Csst</v>
      </c>
      <c r="W206" s="156" t="str">
        <f>+VLOOKUP($L206,Data_Validation!$A:$E,5,0)</f>
        <v>$</v>
      </c>
      <c r="X206" s="156">
        <f>+VLOOKUP($L206,Data_Validation!$A:$F,6,0)</f>
        <v>0</v>
      </c>
    </row>
    <row r="207" spans="1:24" ht="15" hidden="1" customHeight="1">
      <c r="A207" s="1163" t="s">
        <v>1283</v>
      </c>
      <c r="B207" s="1164">
        <v>6132</v>
      </c>
      <c r="C207" s="1165">
        <v>0</v>
      </c>
      <c r="D207" s="1165">
        <v>11443.72</v>
      </c>
      <c r="E207" s="1165">
        <v>11443.72</v>
      </c>
      <c r="F207" s="1163" t="s">
        <v>401</v>
      </c>
      <c r="G207" s="1163" t="s">
        <v>2680</v>
      </c>
      <c r="H207" s="1166"/>
      <c r="I207" s="1167"/>
      <c r="J207" s="1166"/>
      <c r="K207" s="1167"/>
      <c r="L207" s="153">
        <f t="shared" si="15"/>
        <v>6132</v>
      </c>
      <c r="M207" s="154" t="str">
        <f t="shared" si="16"/>
        <v>RRQ RAMQ AC</v>
      </c>
      <c r="N207" s="155">
        <f>+IF(OR($Q207=Parametres!$G$2,$Q207=Parametres!$G$3),I207,C207)</f>
        <v>0</v>
      </c>
      <c r="O207" s="1106">
        <f>+IF(OR($Q207=Parametres!$G$2,$Q207=Parametres!$G$3),J207,D207)</f>
        <v>11443.72</v>
      </c>
      <c r="P207" s="155">
        <f>+IF(OR($Q207=Parametres!$G$2,$Q207=Parametres!$G$3),K207,E207)</f>
        <v>11443.72</v>
      </c>
      <c r="Q207" s="154" t="str">
        <f t="shared" si="17"/>
        <v>7-Dépenses</v>
      </c>
      <c r="R207" s="153" t="str">
        <f t="shared" si="18"/>
        <v>6132</v>
      </c>
      <c r="S207" s="154">
        <f t="shared" si="19"/>
        <v>0</v>
      </c>
      <c r="T207" s="156">
        <f>+VLOOKUP($L207,Data_Validation!$A:$D,1,0)</f>
        <v>6132</v>
      </c>
      <c r="U207" s="156" t="str">
        <f>+VLOOKUP($L207,Data_Validation!$A:$D,3,0)</f>
        <v>Véhicules neufs</v>
      </c>
      <c r="V207" s="156" t="str">
        <f>+VLOOKUP($L207,Data_Validation!$A:$D,4,0)</f>
        <v>Déduction à la source</v>
      </c>
      <c r="W207" s="156" t="str">
        <f>+VLOOKUP($L207,Data_Validation!$A:$E,5,0)</f>
        <v>$</v>
      </c>
      <c r="X207" s="156">
        <f>+VLOOKUP($L207,Data_Validation!$A:$F,6,0)</f>
        <v>0</v>
      </c>
    </row>
    <row r="208" spans="1:24" ht="15" hidden="1" customHeight="1">
      <c r="A208" s="1163" t="s">
        <v>1414</v>
      </c>
      <c r="B208" s="1164">
        <v>6139</v>
      </c>
      <c r="C208" s="1167">
        <v>0</v>
      </c>
      <c r="D208" s="1167">
        <v>6110.59</v>
      </c>
      <c r="E208" s="1167">
        <v>6110.59</v>
      </c>
      <c r="F208" s="1163" t="s">
        <v>401</v>
      </c>
      <c r="G208" s="1163" t="s">
        <v>2689</v>
      </c>
      <c r="H208" s="1166"/>
      <c r="I208" s="1165"/>
      <c r="J208" s="1165"/>
      <c r="K208" s="1165"/>
      <c r="L208" s="153">
        <f t="shared" si="15"/>
        <v>6139</v>
      </c>
      <c r="M208" s="154" t="str">
        <f t="shared" si="16"/>
        <v>ASSURANCE GROUPS</v>
      </c>
      <c r="N208" s="155">
        <f>+IF(OR($Q208=Parametres!$G$2,$Q208=Parametres!$G$3),I208,C208)</f>
        <v>0</v>
      </c>
      <c r="O208" s="1108">
        <f>+IF(OR($Q208=Parametres!$G$2,$Q208=Parametres!$G$3),J208,D208)</f>
        <v>6110.59</v>
      </c>
      <c r="P208" s="155">
        <f>+IF(OR($Q208=Parametres!$G$2,$Q208=Parametres!$G$3),K208,E208)</f>
        <v>6110.59</v>
      </c>
      <c r="Q208" s="154" t="str">
        <f t="shared" si="17"/>
        <v>7-Dépenses</v>
      </c>
      <c r="R208" s="153" t="str">
        <f t="shared" si="18"/>
        <v>6139</v>
      </c>
      <c r="S208" s="154">
        <f t="shared" si="19"/>
        <v>0</v>
      </c>
      <c r="T208" s="156">
        <f>+VLOOKUP($L208,Data_Validation!$A:$D,1,0)</f>
        <v>6139</v>
      </c>
      <c r="U208" s="156" t="str">
        <f>+VLOOKUP($L208,Data_Validation!$A:$D,3,0)</f>
        <v>Véhicules neufs</v>
      </c>
      <c r="V208" s="156" t="str">
        <f>+VLOOKUP($L208,Data_Validation!$A:$D,4,0)</f>
        <v>Bénéfices marginaux</v>
      </c>
      <c r="W208" s="156" t="str">
        <f>+VLOOKUP($L208,Data_Validation!$A:$E,5,0)</f>
        <v>$</v>
      </c>
      <c r="X208" s="156">
        <f>+VLOOKUP($L208,Data_Validation!$A:$F,6,0)</f>
        <v>0</v>
      </c>
    </row>
    <row r="209" spans="1:24" ht="15" hidden="1" customHeight="1">
      <c r="A209" s="1163" t="s">
        <v>1157</v>
      </c>
      <c r="B209" s="1164">
        <v>6142</v>
      </c>
      <c r="C209" s="1165">
        <v>0</v>
      </c>
      <c r="D209" s="1165">
        <v>9.59</v>
      </c>
      <c r="E209" s="1165">
        <v>9.59</v>
      </c>
      <c r="F209" s="1163" t="s">
        <v>401</v>
      </c>
      <c r="G209" s="1163" t="s">
        <v>2558</v>
      </c>
      <c r="H209" s="1166"/>
      <c r="I209" s="1167"/>
      <c r="J209" s="1166"/>
      <c r="K209" s="1167"/>
      <c r="L209" s="153">
        <f t="shared" si="15"/>
        <v>6142</v>
      </c>
      <c r="M209" s="154" t="str">
        <f t="shared" si="16"/>
        <v>FOURNITURES &amp; PETITS OUTILS</v>
      </c>
      <c r="N209" s="155">
        <f>+IF(OR($Q209=Parametres!$G$2,$Q209=Parametres!$G$3),I209,C209)</f>
        <v>0</v>
      </c>
      <c r="O209" s="1108">
        <f>+IF(OR($Q209=Parametres!$G$2,$Q209=Parametres!$G$3),J209,D209)</f>
        <v>9.59</v>
      </c>
      <c r="P209" s="155">
        <f>+IF(OR($Q209=Parametres!$G$2,$Q209=Parametres!$G$3),K209,E209)</f>
        <v>9.59</v>
      </c>
      <c r="Q209" s="154" t="str">
        <f t="shared" si="17"/>
        <v>7-Dépenses</v>
      </c>
      <c r="R209" s="153" t="str">
        <f t="shared" si="18"/>
        <v>6142</v>
      </c>
      <c r="S209" s="154">
        <f t="shared" si="19"/>
        <v>0</v>
      </c>
      <c r="T209" s="156">
        <f>+VLOOKUP($L209,Data_Validation!$A:$D,1,0)</f>
        <v>6142</v>
      </c>
      <c r="U209" s="156" t="str">
        <f>+VLOOKUP($L209,Data_Validation!$A:$D,3,0)</f>
        <v>Véhicules neufs</v>
      </c>
      <c r="V209" s="156" t="str">
        <f>+VLOOKUP($L209,Data_Validation!$A:$D,4,0)</f>
        <v>Fournitures autres</v>
      </c>
      <c r="W209" s="156" t="str">
        <f>+VLOOKUP($L209,Data_Validation!$A:$E,5,0)</f>
        <v>$</v>
      </c>
      <c r="X209" s="156">
        <f>+VLOOKUP($L209,Data_Validation!$A:$F,6,0)</f>
        <v>0</v>
      </c>
    </row>
    <row r="210" spans="1:24" ht="15" hidden="1" customHeight="1">
      <c r="A210" s="1163" t="s">
        <v>934</v>
      </c>
      <c r="B210" s="1164">
        <v>6144</v>
      </c>
      <c r="C210" s="1167">
        <v>0</v>
      </c>
      <c r="D210" s="1167">
        <v>608.54</v>
      </c>
      <c r="E210" s="1167">
        <v>608.54</v>
      </c>
      <c r="F210" s="1163" t="s">
        <v>401</v>
      </c>
      <c r="G210" s="1163" t="s">
        <v>2556</v>
      </c>
      <c r="H210" s="1166"/>
      <c r="I210" s="1165"/>
      <c r="J210" s="1165"/>
      <c r="K210" s="1165"/>
      <c r="L210" s="153">
        <f t="shared" si="15"/>
        <v>6144</v>
      </c>
      <c r="M210" s="154" t="str">
        <f t="shared" si="16"/>
        <v>FORMATION</v>
      </c>
      <c r="N210" s="155">
        <f>+IF(OR($Q210=Parametres!$G$2,$Q210=Parametres!$G$3),I210,C210)</f>
        <v>0</v>
      </c>
      <c r="O210" s="1106">
        <f>+IF(OR($Q210=Parametres!$G$2,$Q210=Parametres!$G$3),J210,D210)</f>
        <v>608.54</v>
      </c>
      <c r="P210" s="155">
        <f>+IF(OR($Q210=Parametres!$G$2,$Q210=Parametres!$G$3),K210,E210)</f>
        <v>608.54</v>
      </c>
      <c r="Q210" s="154" t="str">
        <f t="shared" si="17"/>
        <v>7-Dépenses</v>
      </c>
      <c r="R210" s="153" t="str">
        <f t="shared" si="18"/>
        <v>6144</v>
      </c>
      <c r="S210" s="154">
        <f t="shared" si="19"/>
        <v>0</v>
      </c>
      <c r="T210" s="156">
        <f>+VLOOKUP($L210,Data_Validation!$A:$D,1,0)</f>
        <v>6144</v>
      </c>
      <c r="U210" s="156" t="str">
        <f>+VLOOKUP($L210,Data_Validation!$A:$D,3,0)</f>
        <v>Véhicules neufs</v>
      </c>
      <c r="V210" s="156" t="str">
        <f>+VLOOKUP($L210,Data_Validation!$A:$D,4,0)</f>
        <v>Formation</v>
      </c>
      <c r="W210" s="156" t="str">
        <f>+VLOOKUP($L210,Data_Validation!$A:$E,5,0)</f>
        <v>$</v>
      </c>
      <c r="X210" s="156">
        <f>+VLOOKUP($L210,Data_Validation!$A:$F,6,0)</f>
        <v>0</v>
      </c>
    </row>
    <row r="211" spans="1:24" ht="15.75" hidden="1" customHeight="1">
      <c r="A211" s="1163" t="s">
        <v>1186</v>
      </c>
      <c r="B211" s="1164">
        <v>6145</v>
      </c>
      <c r="C211" s="1165">
        <v>0</v>
      </c>
      <c r="D211" s="1165">
        <v>8073.06</v>
      </c>
      <c r="E211" s="1165">
        <v>8073.06</v>
      </c>
      <c r="F211" s="1163" t="s">
        <v>401</v>
      </c>
      <c r="G211" s="1163" t="s">
        <v>2627</v>
      </c>
      <c r="H211" s="1166"/>
      <c r="I211" s="1167"/>
      <c r="J211" s="1166"/>
      <c r="K211" s="1167"/>
      <c r="L211" s="153">
        <f t="shared" si="15"/>
        <v>6145</v>
      </c>
      <c r="M211" s="154" t="str">
        <f t="shared" si="16"/>
        <v>VEHICULE DE COMPAGNIE - DEPENS</v>
      </c>
      <c r="N211" s="155">
        <f>+IF(OR($Q211=Parametres!$G$2,$Q211=Parametres!$G$3),I211,C211)</f>
        <v>0</v>
      </c>
      <c r="O211" s="1108">
        <f>+IF(OR($Q211=Parametres!$G$2,$Q211=Parametres!$G$3),J211,D211)</f>
        <v>8073.06</v>
      </c>
      <c r="P211" s="155">
        <f>+IF(OR($Q211=Parametres!$G$2,$Q211=Parametres!$G$3),K211,E211)</f>
        <v>8073.06</v>
      </c>
      <c r="Q211" s="154" t="str">
        <f t="shared" si="17"/>
        <v>7-Dépenses</v>
      </c>
      <c r="R211" s="153" t="str">
        <f t="shared" si="18"/>
        <v>6145</v>
      </c>
      <c r="S211" s="154">
        <f t="shared" si="19"/>
        <v>0</v>
      </c>
      <c r="T211" s="156">
        <f>+VLOOKUP($L211,Data_Validation!$A:$D,1,0)</f>
        <v>6145</v>
      </c>
      <c r="U211" s="156" t="str">
        <f>+VLOOKUP($L211,Data_Validation!$A:$D,3,0)</f>
        <v>Véhicules neufs</v>
      </c>
      <c r="V211" s="156" t="str">
        <f>+VLOOKUP($L211,Data_Validation!$A:$D,4,0)</f>
        <v>Frais véhicules de cie</v>
      </c>
      <c r="W211" s="156" t="str">
        <f>+VLOOKUP($L211,Data_Validation!$A:$E,5,0)</f>
        <v>$</v>
      </c>
      <c r="X211" s="156">
        <f>+VLOOKUP($L211,Data_Validation!$A:$F,6,0)</f>
        <v>0</v>
      </c>
    </row>
    <row r="212" spans="1:24" ht="15" hidden="1" customHeight="1">
      <c r="A212" s="1163" t="s">
        <v>1180</v>
      </c>
      <c r="B212" s="1164">
        <v>6147</v>
      </c>
      <c r="C212" s="1167">
        <v>0</v>
      </c>
      <c r="D212" s="1167">
        <v>48.56</v>
      </c>
      <c r="E212" s="1167">
        <v>48.56</v>
      </c>
      <c r="F212" s="1163" t="s">
        <v>401</v>
      </c>
      <c r="G212" s="1163" t="s">
        <v>2576</v>
      </c>
      <c r="H212" s="1166"/>
      <c r="I212" s="1165"/>
      <c r="J212" s="1165"/>
      <c r="K212" s="1165"/>
      <c r="L212" s="153">
        <f t="shared" si="15"/>
        <v>6147</v>
      </c>
      <c r="M212" s="154" t="str">
        <f t="shared" si="16"/>
        <v>FRET/EXPRESS/TRANS. PAR CAMION</v>
      </c>
      <c r="N212" s="155">
        <f>+IF(OR($Q212=Parametres!$G$2,$Q212=Parametres!$G$3),I212,C212)</f>
        <v>0</v>
      </c>
      <c r="O212" s="1108">
        <f>+IF(OR($Q212=Parametres!$G$2,$Q212=Parametres!$G$3),J212,D212)</f>
        <v>48.56</v>
      </c>
      <c r="P212" s="155">
        <f>+IF(OR($Q212=Parametres!$G$2,$Q212=Parametres!$G$3),K212,E212)</f>
        <v>48.56</v>
      </c>
      <c r="Q212" s="154" t="str">
        <f t="shared" si="17"/>
        <v>7-Dépenses</v>
      </c>
      <c r="R212" s="153" t="str">
        <f t="shared" si="18"/>
        <v>6147</v>
      </c>
      <c r="S212" s="154">
        <f t="shared" si="19"/>
        <v>0</v>
      </c>
      <c r="T212" s="156">
        <f>+VLOOKUP($L212,Data_Validation!$A:$D,1,0)</f>
        <v>6147</v>
      </c>
      <c r="U212" s="156" t="str">
        <f>+VLOOKUP($L212,Data_Validation!$A:$D,3,0)</f>
        <v>Véhicules neufs</v>
      </c>
      <c r="V212" s="156" t="str">
        <f>+VLOOKUP($L212,Data_Validation!$A:$D,4,0)</f>
        <v>Frais postaux</v>
      </c>
      <c r="W212" s="156" t="str">
        <f>+VLOOKUP($L212,Data_Validation!$A:$E,5,0)</f>
        <v>$</v>
      </c>
      <c r="X212" s="156">
        <f>+VLOOKUP($L212,Data_Validation!$A:$F,6,0)</f>
        <v>0</v>
      </c>
    </row>
    <row r="213" spans="1:24" ht="15" hidden="1" customHeight="1">
      <c r="A213" s="1163" t="s">
        <v>1286</v>
      </c>
      <c r="B213" s="1164">
        <v>6151</v>
      </c>
      <c r="C213" s="1165">
        <v>0</v>
      </c>
      <c r="D213" s="1165">
        <v>6629.17</v>
      </c>
      <c r="E213" s="1165">
        <v>6629.17</v>
      </c>
      <c r="F213" s="1163" t="s">
        <v>401</v>
      </c>
      <c r="G213" s="1163" t="s">
        <v>2697</v>
      </c>
      <c r="H213" s="1166"/>
      <c r="I213" s="1167"/>
      <c r="J213" s="1166"/>
      <c r="K213" s="1167"/>
      <c r="L213" s="153">
        <f t="shared" si="15"/>
        <v>6151</v>
      </c>
      <c r="M213" s="154" t="str">
        <f t="shared" si="16"/>
        <v>DEP. DU TRAITEMENT DES DONNEES</v>
      </c>
      <c r="N213" s="155">
        <f>+IF(OR($Q213=Parametres!$G$2,$Q213=Parametres!$G$3),I213,C213)</f>
        <v>0</v>
      </c>
      <c r="O213" s="1108">
        <f>+IF(OR($Q213=Parametres!$G$2,$Q213=Parametres!$G$3),J213,D213)</f>
        <v>6629.17</v>
      </c>
      <c r="P213" s="155">
        <f>+IF(OR($Q213=Parametres!$G$2,$Q213=Parametres!$G$3),K213,E213)</f>
        <v>6629.17</v>
      </c>
      <c r="Q213" s="154" t="str">
        <f t="shared" si="17"/>
        <v>7-Dépenses</v>
      </c>
      <c r="R213" s="153" t="str">
        <f t="shared" si="18"/>
        <v>6151</v>
      </c>
      <c r="S213" s="154">
        <f t="shared" si="19"/>
        <v>0</v>
      </c>
      <c r="T213" s="156">
        <f>+VLOOKUP($L213,Data_Validation!$A:$D,1,0)</f>
        <v>6151</v>
      </c>
      <c r="U213" s="156" t="str">
        <f>+VLOOKUP($L213,Data_Validation!$A:$D,3,0)</f>
        <v>Véhicules neufs</v>
      </c>
      <c r="V213" s="156" t="str">
        <f>+VLOOKUP($L213,Data_Validation!$A:$D,4,0)</f>
        <v>Informatique</v>
      </c>
      <c r="W213" s="156" t="str">
        <f>+VLOOKUP($L213,Data_Validation!$A:$E,5,0)</f>
        <v>$</v>
      </c>
      <c r="X213" s="156">
        <f>+VLOOKUP($L213,Data_Validation!$A:$F,6,0)</f>
        <v>0</v>
      </c>
    </row>
    <row r="214" spans="1:24" ht="15" hidden="1" customHeight="1">
      <c r="A214" s="1163" t="s">
        <v>1206</v>
      </c>
      <c r="B214" s="1164">
        <v>6152</v>
      </c>
      <c r="C214" s="1167">
        <v>0</v>
      </c>
      <c r="D214" s="1167">
        <v>845.92</v>
      </c>
      <c r="E214" s="1167">
        <v>845.92</v>
      </c>
      <c r="F214" s="1163" t="s">
        <v>401</v>
      </c>
      <c r="G214" s="1163" t="s">
        <v>2583</v>
      </c>
      <c r="H214" s="1166"/>
      <c r="I214" s="1165"/>
      <c r="J214" s="1165"/>
      <c r="K214" s="1165"/>
      <c r="L214" s="153">
        <f t="shared" si="15"/>
        <v>6152</v>
      </c>
      <c r="M214" s="154" t="str">
        <f t="shared" si="16"/>
        <v>PAPETERIE</v>
      </c>
      <c r="N214" s="155">
        <f>+IF(OR($Q214=Parametres!$G$2,$Q214=Parametres!$G$3),I214,C214)</f>
        <v>0</v>
      </c>
      <c r="O214" s="1108">
        <f>+IF(OR($Q214=Parametres!$G$2,$Q214=Parametres!$G$3),J214,D214)</f>
        <v>845.92</v>
      </c>
      <c r="P214" s="155">
        <f>+IF(OR($Q214=Parametres!$G$2,$Q214=Parametres!$G$3),K214,E214)</f>
        <v>845.92</v>
      </c>
      <c r="Q214" s="154" t="str">
        <f t="shared" si="17"/>
        <v>7-Dépenses</v>
      </c>
      <c r="R214" s="153" t="str">
        <f t="shared" si="18"/>
        <v>6152</v>
      </c>
      <c r="S214" s="154">
        <f t="shared" si="19"/>
        <v>0</v>
      </c>
      <c r="T214" s="156">
        <f>+VLOOKUP($L214,Data_Validation!$A:$D,1,0)</f>
        <v>6152</v>
      </c>
      <c r="U214" s="156" t="str">
        <f>+VLOOKUP($L214,Data_Validation!$A:$D,3,0)</f>
        <v>Véhicules neufs</v>
      </c>
      <c r="V214" s="156" t="str">
        <f>+VLOOKUP($L214,Data_Validation!$A:$D,4,0)</f>
        <v>Papeterie</v>
      </c>
      <c r="W214" s="156" t="str">
        <f>+VLOOKUP($L214,Data_Validation!$A:$E,5,0)</f>
        <v>$</v>
      </c>
      <c r="X214" s="156">
        <f>+VLOOKUP($L214,Data_Validation!$A:$F,6,0)</f>
        <v>0</v>
      </c>
    </row>
    <row r="215" spans="1:24" ht="15.75" hidden="1" customHeight="1">
      <c r="A215" s="1163" t="s">
        <v>1154</v>
      </c>
      <c r="B215" s="1164">
        <v>6153</v>
      </c>
      <c r="C215" s="1165">
        <v>0</v>
      </c>
      <c r="D215" s="1165">
        <v>241.13</v>
      </c>
      <c r="E215" s="1165">
        <v>241.13</v>
      </c>
      <c r="F215" s="1163" t="s">
        <v>401</v>
      </c>
      <c r="G215" s="1163" t="s">
        <v>2587</v>
      </c>
      <c r="H215" s="1166"/>
      <c r="I215" s="1167"/>
      <c r="J215" s="1167"/>
      <c r="K215" s="1167"/>
      <c r="L215" s="153">
        <f t="shared" si="15"/>
        <v>6153</v>
      </c>
      <c r="M215" s="154" t="str">
        <f t="shared" si="16"/>
        <v>TELEPHONE ET TELEX</v>
      </c>
      <c r="N215" s="155">
        <f>+IF(OR($Q215=Parametres!$G$2,$Q215=Parametres!$G$3),I215,C215)</f>
        <v>0</v>
      </c>
      <c r="O215" s="1108">
        <f>+IF(OR($Q215=Parametres!$G$2,$Q215=Parametres!$G$3),J215,D215)</f>
        <v>241.13</v>
      </c>
      <c r="P215" s="155">
        <f>+IF(OR($Q215=Parametres!$G$2,$Q215=Parametres!$G$3),K215,E215)</f>
        <v>241.13</v>
      </c>
      <c r="Q215" s="154" t="str">
        <f t="shared" si="17"/>
        <v>7-Dépenses</v>
      </c>
      <c r="R215" s="153" t="str">
        <f t="shared" si="18"/>
        <v>6153</v>
      </c>
      <c r="S215" s="154">
        <f t="shared" si="19"/>
        <v>0</v>
      </c>
      <c r="T215" s="156">
        <f>+VLOOKUP($L215,Data_Validation!$A:$D,1,0)</f>
        <v>6153</v>
      </c>
      <c r="U215" s="156" t="str">
        <f>+VLOOKUP($L215,Data_Validation!$A:$D,3,0)</f>
        <v>Véhicules neufs</v>
      </c>
      <c r="V215" s="156" t="str">
        <f>+VLOOKUP($L215,Data_Validation!$A:$D,4,0)</f>
        <v>Téléphone</v>
      </c>
      <c r="W215" s="156" t="str">
        <f>+VLOOKUP($L215,Data_Validation!$A:$E,5,0)</f>
        <v>$</v>
      </c>
      <c r="X215" s="156">
        <f>+VLOOKUP($L215,Data_Validation!$A:$F,6,0)</f>
        <v>0</v>
      </c>
    </row>
    <row r="216" spans="1:24" ht="15" hidden="1" customHeight="1">
      <c r="A216" s="1163" t="s">
        <v>1237</v>
      </c>
      <c r="B216" s="1164">
        <v>6155</v>
      </c>
      <c r="C216" s="1165">
        <v>0</v>
      </c>
      <c r="D216" s="1165">
        <v>331.4</v>
      </c>
      <c r="E216" s="1165">
        <v>331.4</v>
      </c>
      <c r="F216" s="1163" t="s">
        <v>401</v>
      </c>
      <c r="G216" s="1163" t="s">
        <v>2632</v>
      </c>
      <c r="H216" s="1166"/>
      <c r="I216" s="1167"/>
      <c r="J216" s="1166"/>
      <c r="K216" s="1167"/>
      <c r="L216" s="153">
        <f t="shared" si="15"/>
        <v>6155</v>
      </c>
      <c r="M216" s="154" t="str">
        <f t="shared" si="16"/>
        <v>DEPENSES DIVERS</v>
      </c>
      <c r="N216" s="155">
        <f>+IF(OR($Q216=Parametres!$G$2,$Q216=Parametres!$G$3),I216,C216)</f>
        <v>0</v>
      </c>
      <c r="O216" s="1108">
        <f>+IF(OR($Q216=Parametres!$G$2,$Q216=Parametres!$G$3),J216,D216)</f>
        <v>331.4</v>
      </c>
      <c r="P216" s="155">
        <f>+IF(OR($Q216=Parametres!$G$2,$Q216=Parametres!$G$3),K216,E216)</f>
        <v>331.4</v>
      </c>
      <c r="Q216" s="154" t="str">
        <f t="shared" si="17"/>
        <v>7-Dépenses</v>
      </c>
      <c r="R216" s="153" t="str">
        <f t="shared" si="18"/>
        <v>6155</v>
      </c>
      <c r="S216" s="154">
        <f t="shared" si="19"/>
        <v>0</v>
      </c>
      <c r="T216" s="156">
        <f>+VLOOKUP($L216,Data_Validation!$A:$D,1,0)</f>
        <v>6155</v>
      </c>
      <c r="U216" s="156" t="str">
        <f>+VLOOKUP($L216,Data_Validation!$A:$D,3,0)</f>
        <v>Véhicules neufs</v>
      </c>
      <c r="V216" s="156" t="str">
        <f>+VLOOKUP($L216,Data_Validation!$A:$D,4,0)</f>
        <v>Divers</v>
      </c>
      <c r="W216" s="156" t="str">
        <f>+VLOOKUP($L216,Data_Validation!$A:$E,5,0)</f>
        <v>$</v>
      </c>
      <c r="X216" s="156">
        <f>+VLOOKUP($L216,Data_Validation!$A:$F,6,0)</f>
        <v>0</v>
      </c>
    </row>
    <row r="217" spans="1:24" ht="15" customHeight="1">
      <c r="A217" s="1163" t="s">
        <v>1315</v>
      </c>
      <c r="B217" s="1164">
        <v>6156</v>
      </c>
      <c r="C217" s="1167">
        <v>0</v>
      </c>
      <c r="D217" s="1167">
        <v>293.75</v>
      </c>
      <c r="E217" s="1167">
        <v>293.75</v>
      </c>
      <c r="F217" s="1163" t="s">
        <v>401</v>
      </c>
      <c r="G217" s="1163" t="s">
        <v>2465</v>
      </c>
      <c r="H217" s="1166"/>
      <c r="I217" s="1165"/>
      <c r="J217" s="1165"/>
      <c r="K217" s="1165"/>
      <c r="L217" s="153">
        <f t="shared" si="15"/>
        <v>6156</v>
      </c>
      <c r="M217" s="154" t="str">
        <f t="shared" si="16"/>
        <v>FRAIS REPRESENTATION - NEUF</v>
      </c>
      <c r="N217" s="155">
        <f>+IF(OR($Q217=Parametres!$G$2,$Q217=Parametres!$G$3),I217,C217)</f>
        <v>0</v>
      </c>
      <c r="O217" s="1108">
        <f>+IF(OR($Q217=Parametres!$G$2,$Q217=Parametres!$G$3),J217,D217)</f>
        <v>293.75</v>
      </c>
      <c r="P217" s="155">
        <f>+IF(OR($Q217=Parametres!$G$2,$Q217=Parametres!$G$3),K217,E217)</f>
        <v>293.75</v>
      </c>
      <c r="Q217" s="154" t="str">
        <f t="shared" si="17"/>
        <v>7-Dépenses</v>
      </c>
      <c r="R217" s="153" t="str">
        <f t="shared" si="18"/>
        <v>6156</v>
      </c>
      <c r="S217" s="154">
        <f t="shared" si="19"/>
        <v>0</v>
      </c>
      <c r="T217" s="156">
        <f>+VLOOKUP($L217,Data_Validation!$A:$D,1,0)</f>
        <v>6156</v>
      </c>
      <c r="U217" s="156" t="str">
        <f>+VLOOKUP($L217,Data_Validation!$A:$D,3,0)</f>
        <v>Véhicules neufs</v>
      </c>
      <c r="V217" s="156" t="str">
        <f>+VLOOKUP($L217,Data_Validation!$A:$D,4,0)</f>
        <v>Frais de déplacement</v>
      </c>
      <c r="W217" s="156" t="str">
        <f>+VLOOKUP($L217,Data_Validation!$A:$E,5,0)</f>
        <v>$</v>
      </c>
      <c r="X217" s="156">
        <f>+VLOOKUP($L217,Data_Validation!$A:$F,6,0)</f>
        <v>0</v>
      </c>
    </row>
    <row r="218" spans="1:24" ht="15" hidden="1" customHeight="1">
      <c r="A218" s="1163" t="s">
        <v>1308</v>
      </c>
      <c r="B218" s="1164">
        <v>6159</v>
      </c>
      <c r="C218" s="1165">
        <v>0</v>
      </c>
      <c r="D218" s="1165">
        <v>6418.22</v>
      </c>
      <c r="E218" s="1165">
        <v>6418.22</v>
      </c>
      <c r="F218" s="1163" t="s">
        <v>401</v>
      </c>
      <c r="G218" s="1163" t="s">
        <v>2657</v>
      </c>
      <c r="H218" s="1166"/>
      <c r="I218" s="1167"/>
      <c r="J218" s="1166"/>
      <c r="K218" s="1167"/>
      <c r="L218" s="153">
        <f t="shared" si="15"/>
        <v>6159</v>
      </c>
      <c r="M218" s="579" t="str">
        <f t="shared" si="16"/>
        <v>SERVICE EXTERIEUR</v>
      </c>
      <c r="N218" s="155">
        <f>+IF(OR($Q218=Parametres!$G$2,$Q218=Parametres!$G$3),I218,C218)</f>
        <v>0</v>
      </c>
      <c r="O218" s="1106">
        <f>+IF(OR($Q218=Parametres!$G$2,$Q218=Parametres!$G$3),J218,D218)</f>
        <v>6418.22</v>
      </c>
      <c r="P218" s="581">
        <f>+IF(OR($Q218=Parametres!$G$2,$Q218=Parametres!$G$3),K218,E218)</f>
        <v>6418.22</v>
      </c>
      <c r="Q218" s="154" t="str">
        <f t="shared" si="17"/>
        <v>7-Dépenses</v>
      </c>
      <c r="R218" s="153" t="str">
        <f t="shared" si="18"/>
        <v>6159</v>
      </c>
      <c r="S218" s="154">
        <f t="shared" si="19"/>
        <v>0</v>
      </c>
      <c r="T218" s="156">
        <f>+VLOOKUP($L218,Data_Validation!$A:$D,1,0)</f>
        <v>6159</v>
      </c>
      <c r="U218" s="156" t="str">
        <f>+VLOOKUP($L218,Data_Validation!$A:$D,3,0)</f>
        <v>Véhicules neufs</v>
      </c>
      <c r="V218" s="156" t="str">
        <f>+VLOOKUP($L218,Data_Validation!$A:$D,4,0)</f>
        <v>Services extérieurs</v>
      </c>
      <c r="W218" s="156" t="str">
        <f>+VLOOKUP($L218,Data_Validation!$A:$E,5,0)</f>
        <v>$</v>
      </c>
      <c r="X218" s="156">
        <f>+VLOOKUP($L218,Data_Validation!$A:$F,6,0)</f>
        <v>0</v>
      </c>
    </row>
    <row r="219" spans="1:24" ht="15.75" hidden="1" customHeight="1">
      <c r="A219" s="1163" t="s">
        <v>1333</v>
      </c>
      <c r="B219" s="1164">
        <v>6161</v>
      </c>
      <c r="C219" s="1167">
        <v>0</v>
      </c>
      <c r="D219" s="1167">
        <v>1380.64</v>
      </c>
      <c r="E219" s="1167">
        <v>1380.64</v>
      </c>
      <c r="F219" s="1163" t="s">
        <v>401</v>
      </c>
      <c r="G219" s="1163" t="s">
        <v>2648</v>
      </c>
      <c r="H219" s="1166"/>
      <c r="I219" s="1165"/>
      <c r="J219" s="1165"/>
      <c r="K219" s="1165"/>
      <c r="L219" s="153">
        <f t="shared" si="15"/>
        <v>6161</v>
      </c>
      <c r="M219" s="154" t="str">
        <f t="shared" si="16"/>
        <v>DEPRECIATION EQUIP. &amp; FIXTURES</v>
      </c>
      <c r="N219" s="155">
        <f>+IF(OR($Q219=Parametres!$G$2,$Q219=Parametres!$G$3),I219,C219)</f>
        <v>0</v>
      </c>
      <c r="O219" s="1106">
        <f>+IF(OR($Q219=Parametres!$G$2,$Q219=Parametres!$G$3),J219,D219)</f>
        <v>1380.64</v>
      </c>
      <c r="P219" s="155">
        <f>+IF(OR($Q219=Parametres!$G$2,$Q219=Parametres!$G$3),K219,E219)</f>
        <v>1380.64</v>
      </c>
      <c r="Q219" s="154" t="str">
        <f t="shared" si="17"/>
        <v>7-Dépenses</v>
      </c>
      <c r="R219" s="153" t="str">
        <f t="shared" si="18"/>
        <v>6161</v>
      </c>
      <c r="S219" s="154">
        <f t="shared" si="19"/>
        <v>0</v>
      </c>
      <c r="T219" s="156">
        <f>+VLOOKUP($L219,Data_Validation!$A:$D,1,0)</f>
        <v>6161</v>
      </c>
      <c r="U219" s="156" t="str">
        <f>+VLOOKUP($L219,Data_Validation!$A:$D,3,0)</f>
        <v>Véhicules neufs</v>
      </c>
      <c r="V219" s="156" t="str">
        <f>+VLOOKUP($L219,Data_Validation!$A:$D,4,0)</f>
        <v>Amortissement</v>
      </c>
      <c r="W219" s="156" t="str">
        <f>+VLOOKUP($L219,Data_Validation!$A:$E,5,0)</f>
        <v>$</v>
      </c>
      <c r="X219" s="156">
        <f>+VLOOKUP($L219,Data_Validation!$A:$F,6,0)</f>
        <v>0</v>
      </c>
    </row>
    <row r="220" spans="1:24" ht="15" hidden="1" customHeight="1">
      <c r="A220" s="1163" t="s">
        <v>1332</v>
      </c>
      <c r="B220" s="1164">
        <v>6181</v>
      </c>
      <c r="C220" s="1165">
        <v>0</v>
      </c>
      <c r="D220" s="1165">
        <v>1105.94</v>
      </c>
      <c r="E220" s="1165">
        <v>1105.94</v>
      </c>
      <c r="F220" s="1163" t="s">
        <v>401</v>
      </c>
      <c r="G220" s="1163" t="s">
        <v>2599</v>
      </c>
      <c r="H220" s="1166"/>
      <c r="I220" s="1167"/>
      <c r="J220" s="1167"/>
      <c r="K220" s="1167"/>
      <c r="L220" s="153">
        <f t="shared" si="15"/>
        <v>6181</v>
      </c>
      <c r="M220" s="154" t="str">
        <f t="shared" si="16"/>
        <v>ELECTRICITE CHAUFFAGE</v>
      </c>
      <c r="N220" s="155">
        <f>+IF(OR($Q220=Parametres!$G$2,$Q220=Parametres!$G$3),I220,C220)</f>
        <v>0</v>
      </c>
      <c r="O220" s="1106">
        <f>+IF(OR($Q220=Parametres!$G$2,$Q220=Parametres!$G$3),J220,D220)</f>
        <v>1105.94</v>
      </c>
      <c r="P220" s="155">
        <f>+IF(OR($Q220=Parametres!$G$2,$Q220=Parametres!$G$3),K220,E220)</f>
        <v>1105.94</v>
      </c>
      <c r="Q220" s="154" t="str">
        <f t="shared" si="17"/>
        <v>7-Dépenses</v>
      </c>
      <c r="R220" s="153" t="str">
        <f t="shared" si="18"/>
        <v>6181</v>
      </c>
      <c r="S220" s="154">
        <f t="shared" si="19"/>
        <v>0</v>
      </c>
      <c r="T220" s="156">
        <f>+VLOOKUP($L220,Data_Validation!$A:$D,1,0)</f>
        <v>6181</v>
      </c>
      <c r="U220" s="156" t="str">
        <f>+VLOOKUP($L220,Data_Validation!$A:$D,3,0)</f>
        <v>Véhicules neufs</v>
      </c>
      <c r="V220" s="156" t="str">
        <f>+VLOOKUP($L220,Data_Validation!$A:$D,4,0)</f>
        <v>Chauffage, éclairage</v>
      </c>
      <c r="W220" s="156" t="str">
        <f>+VLOOKUP($L220,Data_Validation!$A:$E,5,0)</f>
        <v>$</v>
      </c>
      <c r="X220" s="156">
        <f>+VLOOKUP($L220,Data_Validation!$A:$F,6,0)</f>
        <v>0</v>
      </c>
    </row>
    <row r="221" spans="1:24" ht="15" hidden="1" customHeight="1">
      <c r="A221" s="1163" t="s">
        <v>1469</v>
      </c>
      <c r="B221" s="1164">
        <v>6182</v>
      </c>
      <c r="C221" s="1167">
        <v>0</v>
      </c>
      <c r="D221" s="1167">
        <v>8320</v>
      </c>
      <c r="E221" s="1167">
        <v>8320</v>
      </c>
      <c r="F221" s="1163" t="s">
        <v>401</v>
      </c>
      <c r="G221" s="1163" t="s">
        <v>2704</v>
      </c>
      <c r="H221" s="1166"/>
      <c r="I221" s="1165"/>
      <c r="J221" s="1165"/>
      <c r="K221" s="1165"/>
      <c r="L221" s="153">
        <f t="shared" si="15"/>
        <v>6182</v>
      </c>
      <c r="M221" s="154" t="str">
        <f t="shared" si="16"/>
        <v>LOYER NEUFS</v>
      </c>
      <c r="N221" s="155">
        <f>+IF(OR($Q221=Parametres!$G$2,$Q221=Parametres!$G$3),I221,C221)</f>
        <v>0</v>
      </c>
      <c r="O221" s="1108">
        <f>+IF(OR($Q221=Parametres!$G$2,$Q221=Parametres!$G$3),J221,D221)</f>
        <v>8320</v>
      </c>
      <c r="P221" s="155">
        <f>+IF(OR($Q221=Parametres!$G$2,$Q221=Parametres!$G$3),K221,E221)</f>
        <v>8320</v>
      </c>
      <c r="Q221" s="154" t="str">
        <f t="shared" si="17"/>
        <v>7-Dépenses</v>
      </c>
      <c r="R221" s="153" t="str">
        <f t="shared" si="18"/>
        <v>6182</v>
      </c>
      <c r="S221" s="154">
        <f t="shared" si="19"/>
        <v>0</v>
      </c>
      <c r="T221" s="156">
        <f>+VLOOKUP($L221,Data_Validation!$A:$D,1,0)</f>
        <v>6182</v>
      </c>
      <c r="U221" s="156" t="str">
        <f>+VLOOKUP($L221,Data_Validation!$A:$D,3,0)</f>
        <v>Véhicules neufs</v>
      </c>
      <c r="V221" s="156" t="str">
        <f>+VLOOKUP($L221,Data_Validation!$A:$D,4,0)</f>
        <v>Loyer</v>
      </c>
      <c r="W221" s="156" t="str">
        <f>+VLOOKUP($L221,Data_Validation!$A:$E,5,0)</f>
        <v>$</v>
      </c>
      <c r="X221" s="156">
        <f>+VLOOKUP($L221,Data_Validation!$A:$F,6,0)</f>
        <v>0</v>
      </c>
    </row>
    <row r="222" spans="1:24" ht="15" hidden="1" customHeight="1">
      <c r="A222" s="1163" t="s">
        <v>1366</v>
      </c>
      <c r="B222" s="1164">
        <v>6186</v>
      </c>
      <c r="C222" s="1165">
        <v>0</v>
      </c>
      <c r="D222" s="1165">
        <v>1366.72</v>
      </c>
      <c r="E222" s="1165">
        <v>1366.72</v>
      </c>
      <c r="F222" s="1163" t="s">
        <v>401</v>
      </c>
      <c r="G222" s="1163" t="s">
        <v>2589</v>
      </c>
      <c r="H222" s="1166"/>
      <c r="I222" s="1167"/>
      <c r="J222" s="1166"/>
      <c r="K222" s="1167"/>
      <c r="L222" s="153">
        <f t="shared" si="15"/>
        <v>6186</v>
      </c>
      <c r="M222" s="154" t="str">
        <f t="shared" si="16"/>
        <v>ASSURANCE BATIMENT</v>
      </c>
      <c r="N222" s="155">
        <f>+IF(OR($Q222=Parametres!$G$2,$Q222=Parametres!$G$3),I222,C222)</f>
        <v>0</v>
      </c>
      <c r="O222" s="1106">
        <f>+IF(OR($Q222=Parametres!$G$2,$Q222=Parametres!$G$3),J222,D222)</f>
        <v>1366.72</v>
      </c>
      <c r="P222" s="155">
        <f>+IF(OR($Q222=Parametres!$G$2,$Q222=Parametres!$G$3),K222,E222)</f>
        <v>1366.72</v>
      </c>
      <c r="Q222" s="154" t="str">
        <f t="shared" si="17"/>
        <v>7-Dépenses</v>
      </c>
      <c r="R222" s="153" t="str">
        <f t="shared" si="18"/>
        <v>6186</v>
      </c>
      <c r="S222" s="154">
        <f t="shared" si="19"/>
        <v>0</v>
      </c>
      <c r="T222" s="156">
        <f>+VLOOKUP($L222,Data_Validation!$A:$D,1,0)</f>
        <v>6186</v>
      </c>
      <c r="U222" s="156" t="str">
        <f>+VLOOKUP($L222,Data_Validation!$A:$D,3,0)</f>
        <v>Véhicules neufs</v>
      </c>
      <c r="V222" s="156" t="str">
        <f>+VLOOKUP($L222,Data_Validation!$A:$D,4,0)</f>
        <v>Assurances</v>
      </c>
      <c r="W222" s="156" t="str">
        <f>+VLOOKUP($L222,Data_Validation!$A:$E,5,0)</f>
        <v>$</v>
      </c>
      <c r="X222" s="156">
        <f>+VLOOKUP($L222,Data_Validation!$A:$F,6,0)</f>
        <v>0</v>
      </c>
    </row>
    <row r="223" spans="1:24" ht="15" hidden="1" customHeight="1">
      <c r="A223" s="1163" t="s">
        <v>1362</v>
      </c>
      <c r="B223" s="1164">
        <v>6187</v>
      </c>
      <c r="C223" s="1167">
        <v>0</v>
      </c>
      <c r="D223" s="1167">
        <v>1577.6</v>
      </c>
      <c r="E223" s="1167">
        <v>1577.6</v>
      </c>
      <c r="F223" s="1163" t="s">
        <v>401</v>
      </c>
      <c r="G223" s="1163" t="s">
        <v>2609</v>
      </c>
      <c r="H223" s="1166"/>
      <c r="I223" s="1165"/>
      <c r="J223" s="1165"/>
      <c r="K223" s="1165"/>
      <c r="L223" s="153">
        <f t="shared" si="15"/>
        <v>6187</v>
      </c>
      <c r="M223" s="154" t="str">
        <f t="shared" si="16"/>
        <v>TAXE SUR PROPRIETE</v>
      </c>
      <c r="N223" s="155">
        <f>+IF(OR($Q223=Parametres!$G$2,$Q223=Parametres!$G$3),I223,C223)</f>
        <v>0</v>
      </c>
      <c r="O223" s="1108">
        <f>+IF(OR($Q223=Parametres!$G$2,$Q223=Parametres!$G$3),J223,D223)</f>
        <v>1577.6</v>
      </c>
      <c r="P223" s="155">
        <f>+IF(OR($Q223=Parametres!$G$2,$Q223=Parametres!$G$3),K223,E223)</f>
        <v>1577.6</v>
      </c>
      <c r="Q223" s="154" t="str">
        <f t="shared" si="17"/>
        <v>7-Dépenses</v>
      </c>
      <c r="R223" s="153" t="str">
        <f t="shared" si="18"/>
        <v>6187</v>
      </c>
      <c r="S223" s="154">
        <f t="shared" si="19"/>
        <v>0</v>
      </c>
      <c r="T223" s="156">
        <f>+VLOOKUP($L223,Data_Validation!$A:$D,1,0)</f>
        <v>6187</v>
      </c>
      <c r="U223" s="156" t="str">
        <f>+VLOOKUP($L223,Data_Validation!$A:$D,3,0)</f>
        <v>Véhicules neufs</v>
      </c>
      <c r="V223" s="156" t="str">
        <f>+VLOOKUP($L223,Data_Validation!$A:$D,4,0)</f>
        <v>Taxes foncières</v>
      </c>
      <c r="W223" s="156" t="str">
        <f>+VLOOKUP($L223,Data_Validation!$A:$E,5,0)</f>
        <v>$</v>
      </c>
      <c r="X223" s="156">
        <f>+VLOOKUP($L223,Data_Validation!$A:$F,6,0)</f>
        <v>0</v>
      </c>
    </row>
    <row r="224" spans="1:24" ht="15" hidden="1" customHeight="1">
      <c r="A224" s="1163" t="s">
        <v>1296</v>
      </c>
      <c r="B224" s="1164">
        <v>6193</v>
      </c>
      <c r="C224" s="1165">
        <v>0</v>
      </c>
      <c r="D224" s="1165">
        <v>1049.5999999999999</v>
      </c>
      <c r="E224" s="1165">
        <v>1049.5999999999999</v>
      </c>
      <c r="F224" s="1163" t="s">
        <v>401</v>
      </c>
      <c r="G224" s="1163" t="s">
        <v>2592</v>
      </c>
      <c r="H224" s="1166"/>
      <c r="I224" s="1167"/>
      <c r="J224" s="1166"/>
      <c r="K224" s="1167"/>
      <c r="L224" s="153">
        <f t="shared" si="15"/>
        <v>6193</v>
      </c>
      <c r="M224" s="154" t="str">
        <f t="shared" si="16"/>
        <v>TAXES AUTRES PERMIS LICENCE</v>
      </c>
      <c r="N224" s="155">
        <f>+IF(OR($Q224=Parametres!$G$2,$Q224=Parametres!$G$3),I224,C224)</f>
        <v>0</v>
      </c>
      <c r="O224" s="1108">
        <f>+IF(OR($Q224=Parametres!$G$2,$Q224=Parametres!$G$3),J224,D224)</f>
        <v>1049.5999999999999</v>
      </c>
      <c r="P224" s="155">
        <f>+IF(OR($Q224=Parametres!$G$2,$Q224=Parametres!$G$3),K224,E224)</f>
        <v>1049.5999999999999</v>
      </c>
      <c r="Q224" s="154" t="str">
        <f t="shared" si="17"/>
        <v>7-Dépenses</v>
      </c>
      <c r="R224" s="153" t="str">
        <f t="shared" si="18"/>
        <v>6193</v>
      </c>
      <c r="S224" s="154">
        <f t="shared" si="19"/>
        <v>0</v>
      </c>
      <c r="T224" s="156">
        <f>+VLOOKUP($L224,Data_Validation!$A:$D,1,0)</f>
        <v>6193</v>
      </c>
      <c r="U224" s="156" t="str">
        <f>+VLOOKUP($L224,Data_Validation!$A:$D,3,0)</f>
        <v>Véhicules neufs</v>
      </c>
      <c r="V224" s="156" t="str">
        <f>+VLOOKUP($L224,Data_Validation!$A:$D,4,0)</f>
        <v>Taxes d`affaires</v>
      </c>
      <c r="W224" s="156" t="str">
        <f>+VLOOKUP($L224,Data_Validation!$A:$E,5,0)</f>
        <v>$</v>
      </c>
      <c r="X224" s="156">
        <f>+VLOOKUP($L224,Data_Validation!$A:$F,6,0)</f>
        <v>0</v>
      </c>
    </row>
    <row r="225" spans="1:24" ht="15.75" hidden="1" customHeight="1">
      <c r="A225" s="1163" t="s">
        <v>1395</v>
      </c>
      <c r="B225" s="1164">
        <v>6194</v>
      </c>
      <c r="C225" s="1167">
        <v>0</v>
      </c>
      <c r="D225" s="1167">
        <v>1959.47</v>
      </c>
      <c r="E225" s="1167">
        <v>1959.47</v>
      </c>
      <c r="F225" s="1163" t="s">
        <v>401</v>
      </c>
      <c r="G225" s="1163" t="s">
        <v>2630</v>
      </c>
      <c r="H225" s="1166"/>
      <c r="I225" s="1165"/>
      <c r="J225" s="1165"/>
      <c r="K225" s="1165"/>
      <c r="L225" s="153">
        <f t="shared" si="15"/>
        <v>6194</v>
      </c>
      <c r="M225" s="154" t="str">
        <f t="shared" si="16"/>
        <v>HONORAIRES PROFESSIONNELS</v>
      </c>
      <c r="N225" s="155">
        <f>+IF(OR($Q225=Parametres!$G$2,$Q225=Parametres!$G$3),I225,C225)</f>
        <v>0</v>
      </c>
      <c r="O225" s="1109">
        <f>+IF(OR($Q225=Parametres!$G$2,$Q225=Parametres!$G$3),J225,D225)</f>
        <v>1959.47</v>
      </c>
      <c r="P225" s="155">
        <f>+IF(OR($Q225=Parametres!$G$2,$Q225=Parametres!$G$3),K225,E225)</f>
        <v>1959.47</v>
      </c>
      <c r="Q225" s="154" t="str">
        <f t="shared" si="17"/>
        <v>7-Dépenses</v>
      </c>
      <c r="R225" s="153" t="str">
        <f t="shared" si="18"/>
        <v>6194</v>
      </c>
      <c r="S225" s="154">
        <f t="shared" si="19"/>
        <v>0</v>
      </c>
      <c r="T225" s="156">
        <f>+VLOOKUP($L225,Data_Validation!$A:$D,1,0)</f>
        <v>6194</v>
      </c>
      <c r="U225" s="156" t="str">
        <f>+VLOOKUP($L225,Data_Validation!$A:$D,3,0)</f>
        <v>Véhicules neufs</v>
      </c>
      <c r="V225" s="156" t="str">
        <f>+VLOOKUP($L225,Data_Validation!$A:$D,4,0)</f>
        <v>Honoraires</v>
      </c>
      <c r="W225" s="156" t="str">
        <f>+VLOOKUP($L225,Data_Validation!$A:$E,5,0)</f>
        <v>$</v>
      </c>
      <c r="X225" s="156">
        <f>+VLOOKUP($L225,Data_Validation!$A:$F,6,0)</f>
        <v>0</v>
      </c>
    </row>
    <row r="226" spans="1:24" ht="15" hidden="1" customHeight="1">
      <c r="A226" s="1163" t="s">
        <v>1483</v>
      </c>
      <c r="B226" s="1164">
        <v>6201</v>
      </c>
      <c r="C226" s="1165">
        <v>0</v>
      </c>
      <c r="D226" s="1165">
        <v>17322.97</v>
      </c>
      <c r="E226" s="1165">
        <v>17322.97</v>
      </c>
      <c r="F226" s="1163" t="s">
        <v>401</v>
      </c>
      <c r="G226" s="1163" t="s">
        <v>2776</v>
      </c>
      <c r="H226" s="1166"/>
      <c r="I226" s="1167"/>
      <c r="J226" s="1166"/>
      <c r="K226" s="1167"/>
      <c r="L226" s="153">
        <f t="shared" si="15"/>
        <v>6201</v>
      </c>
      <c r="M226" s="154" t="str">
        <f t="shared" si="16"/>
        <v>COMMISSION USAGES</v>
      </c>
      <c r="N226" s="155">
        <f>+IF(OR($Q226=Parametres!$G$2,$Q226=Parametres!$G$3),I226,C226)</f>
        <v>0</v>
      </c>
      <c r="O226" s="1108">
        <f>+IF(OR($Q226=Parametres!$G$2,$Q226=Parametres!$G$3),J226,D226)</f>
        <v>17322.97</v>
      </c>
      <c r="P226" s="155">
        <f>+IF(OR($Q226=Parametres!$G$2,$Q226=Parametres!$G$3),K226,E226)</f>
        <v>17322.97</v>
      </c>
      <c r="Q226" s="154" t="str">
        <f t="shared" si="17"/>
        <v>7-Dépenses</v>
      </c>
      <c r="R226" s="153" t="str">
        <f t="shared" si="18"/>
        <v>6101</v>
      </c>
      <c r="S226" s="154">
        <f t="shared" si="19"/>
        <v>0</v>
      </c>
      <c r="T226" s="156">
        <f>+VLOOKUP($L226,Data_Validation!$A:$D,1,0)</f>
        <v>6201</v>
      </c>
      <c r="U226" s="156" t="str">
        <f>+VLOOKUP($L226,Data_Validation!$A:$D,3,0)</f>
        <v>Véhicules usagés</v>
      </c>
      <c r="V226" s="156" t="str">
        <f>+VLOOKUP($L226,Data_Validation!$A:$D,4,0)</f>
        <v>Comm. vendeurs</v>
      </c>
      <c r="W226" s="156" t="str">
        <f>+VLOOKUP($L226,Data_Validation!$A:$E,5,0)</f>
        <v>$</v>
      </c>
      <c r="X226" s="156">
        <f>+VLOOKUP($L226,Data_Validation!$A:$F,6,0)</f>
        <v>0</v>
      </c>
    </row>
    <row r="227" spans="1:24" ht="15" hidden="1" customHeight="1">
      <c r="A227" s="1163" t="s">
        <v>1442</v>
      </c>
      <c r="B227" s="1164">
        <v>6202</v>
      </c>
      <c r="C227" s="1167">
        <v>0</v>
      </c>
      <c r="D227" s="1167">
        <v>13579.44</v>
      </c>
      <c r="E227" s="1167">
        <v>13579.44</v>
      </c>
      <c r="F227" s="1163" t="s">
        <v>401</v>
      </c>
      <c r="G227" s="1163" t="s">
        <v>2765</v>
      </c>
      <c r="H227" s="1166"/>
      <c r="I227" s="1165"/>
      <c r="J227" s="1165"/>
      <c r="K227" s="1165"/>
      <c r="L227" s="153">
        <f t="shared" si="15"/>
        <v>6202</v>
      </c>
      <c r="M227" s="154" t="str">
        <f t="shared" si="16"/>
        <v>RENUMERATION F &amp; I</v>
      </c>
      <c r="N227" s="155">
        <f>+IF(OR($Q227=Parametres!$G$2,$Q227=Parametres!$G$3),I227,C227)</f>
        <v>0</v>
      </c>
      <c r="O227" s="1108">
        <f>+IF(OR($Q227=Parametres!$G$2,$Q227=Parametres!$G$3),J227,D227)</f>
        <v>13579.44</v>
      </c>
      <c r="P227" s="155">
        <f>+IF(OR($Q227=Parametres!$G$2,$Q227=Parametres!$G$3),K227,E227)</f>
        <v>13579.44</v>
      </c>
      <c r="Q227" s="154" t="str">
        <f t="shared" si="17"/>
        <v>7-Dépenses</v>
      </c>
      <c r="R227" s="153" t="str">
        <f t="shared" si="18"/>
        <v>6102</v>
      </c>
      <c r="S227" s="154">
        <f t="shared" si="19"/>
        <v>0</v>
      </c>
      <c r="T227" s="156">
        <f>+VLOOKUP($L227,Data_Validation!$A:$D,1,0)</f>
        <v>6202</v>
      </c>
      <c r="U227" s="156" t="str">
        <f>+VLOOKUP($L227,Data_Validation!$A:$D,3,0)</f>
        <v>Véhicules usagés</v>
      </c>
      <c r="V227" s="156" t="str">
        <f>+VLOOKUP($L227,Data_Validation!$A:$D,4,0)</f>
        <v>Comm. F&amp;I</v>
      </c>
      <c r="W227" s="156" t="str">
        <f>+VLOOKUP($L227,Data_Validation!$A:$E,5,0)</f>
        <v>$</v>
      </c>
      <c r="X227" s="156">
        <f>+VLOOKUP($L227,Data_Validation!$A:$F,6,0)</f>
        <v>0</v>
      </c>
    </row>
    <row r="228" spans="1:24" ht="15" hidden="1" customHeight="1">
      <c r="A228" s="1163" t="s">
        <v>1230</v>
      </c>
      <c r="B228" s="1164">
        <v>6203</v>
      </c>
      <c r="C228" s="1165">
        <v>0</v>
      </c>
      <c r="D228" s="1165">
        <v>741.02</v>
      </c>
      <c r="E228" s="1165">
        <v>741.02</v>
      </c>
      <c r="F228" s="1163" t="s">
        <v>401</v>
      </c>
      <c r="G228" s="1163" t="s">
        <v>2701</v>
      </c>
      <c r="H228" s="1166"/>
      <c r="I228" s="1167"/>
      <c r="J228" s="1166"/>
      <c r="K228" s="1167"/>
      <c r="L228" s="153">
        <f t="shared" si="15"/>
        <v>6203</v>
      </c>
      <c r="M228" s="154" t="str">
        <f t="shared" si="16"/>
        <v>RELAT. A LA CLIENTELLE &amp; AJUST</v>
      </c>
      <c r="N228" s="155">
        <f>+IF(OR($Q228=Parametres!$G$2,$Q228=Parametres!$G$3),I228,C228)</f>
        <v>0</v>
      </c>
      <c r="O228" s="1108">
        <f>+IF(OR($Q228=Parametres!$G$2,$Q228=Parametres!$G$3),J228,D228)</f>
        <v>741.02</v>
      </c>
      <c r="P228" s="155">
        <f>+IF(OR($Q228=Parametres!$G$2,$Q228=Parametres!$G$3),K228,E228)</f>
        <v>741.02</v>
      </c>
      <c r="Q228" s="154" t="str">
        <f t="shared" si="17"/>
        <v>7-Dépenses</v>
      </c>
      <c r="R228" s="153" t="str">
        <f t="shared" si="18"/>
        <v>6103</v>
      </c>
      <c r="S228" s="154">
        <f t="shared" si="19"/>
        <v>0</v>
      </c>
      <c r="T228" s="156">
        <f>+VLOOKUP($L228,Data_Validation!$A:$D,1,0)</f>
        <v>6203</v>
      </c>
      <c r="U228" s="156" t="str">
        <f>+VLOOKUP($L228,Data_Validation!$A:$D,3,0)</f>
        <v>Véhicules usagés</v>
      </c>
      <c r="V228" s="156" t="str">
        <f>+VLOOKUP($L228,Data_Validation!$A:$D,4,0)</f>
        <v>Service gratuit 1</v>
      </c>
      <c r="W228" s="156" t="str">
        <f>+VLOOKUP($L228,Data_Validation!$A:$E,5,0)</f>
        <v>$</v>
      </c>
      <c r="X228" s="156">
        <f>+VLOOKUP($L228,Data_Validation!$A:$F,6,0)</f>
        <v>0</v>
      </c>
    </row>
    <row r="229" spans="1:24" ht="15.75" hidden="1" customHeight="1">
      <c r="A229" s="1163" t="s">
        <v>2752</v>
      </c>
      <c r="B229" s="1164">
        <v>6206</v>
      </c>
      <c r="C229" s="1167">
        <v>0</v>
      </c>
      <c r="D229" s="1167">
        <v>1735.27</v>
      </c>
      <c r="E229" s="1167">
        <v>1735.27</v>
      </c>
      <c r="F229" s="1163" t="s">
        <v>401</v>
      </c>
      <c r="G229" s="1163" t="s">
        <v>2754</v>
      </c>
      <c r="H229" s="1166"/>
      <c r="I229" s="1165"/>
      <c r="J229" s="1165"/>
      <c r="K229" s="1165"/>
      <c r="L229" s="153">
        <f t="shared" si="15"/>
        <v>6206</v>
      </c>
      <c r="M229" s="154" t="str">
        <f t="shared" si="16"/>
        <v>ENTRETIEN DES STOCKS</v>
      </c>
      <c r="N229" s="155">
        <f>+IF(OR($Q229=Parametres!$G$2,$Q229=Parametres!$G$3),I229,C229)</f>
        <v>0</v>
      </c>
      <c r="O229" s="1106">
        <f>+IF(OR($Q229=Parametres!$G$2,$Q229=Parametres!$G$3),J229,D229)</f>
        <v>1735.27</v>
      </c>
      <c r="P229" s="155">
        <f>+IF(OR($Q229=Parametres!$G$2,$Q229=Parametres!$G$3),K229,E229)</f>
        <v>1735.27</v>
      </c>
      <c r="Q229" s="154" t="str">
        <f t="shared" si="17"/>
        <v>7-Dépenses</v>
      </c>
      <c r="R229" s="153" t="str">
        <f t="shared" si="18"/>
        <v>6106</v>
      </c>
      <c r="S229" s="154">
        <f t="shared" si="19"/>
        <v>0</v>
      </c>
      <c r="T229" s="156">
        <f>+VLOOKUP($L229,Data_Validation!$A:$D,1,0)</f>
        <v>6206</v>
      </c>
      <c r="U229" s="156" t="str">
        <f>+VLOOKUP($L229,Data_Validation!$A:$D,3,0)</f>
        <v>Véhicules usagés</v>
      </c>
      <c r="V229" s="156" t="str">
        <f>+VLOOKUP($L229,Data_Validation!$A:$D,4,0)</f>
        <v>Entretien stock</v>
      </c>
      <c r="W229" s="156" t="str">
        <f>+VLOOKUP($L229,Data_Validation!$A:$E,5,0)</f>
        <v>$</v>
      </c>
      <c r="X229" s="156">
        <f>+VLOOKUP($L229,Data_Validation!$A:$F,6,0)</f>
        <v>0</v>
      </c>
    </row>
    <row r="230" spans="1:24" ht="15" hidden="1" customHeight="1">
      <c r="A230" s="1163" t="s">
        <v>938</v>
      </c>
      <c r="B230" s="1164">
        <v>6207</v>
      </c>
      <c r="C230" s="1165">
        <v>0</v>
      </c>
      <c r="D230" s="1165">
        <v>1429.98</v>
      </c>
      <c r="E230" s="1165">
        <v>1429.98</v>
      </c>
      <c r="F230" s="1163" t="s">
        <v>401</v>
      </c>
      <c r="G230" s="1163" t="s">
        <v>2607</v>
      </c>
      <c r="H230" s="1166"/>
      <c r="I230" s="1167"/>
      <c r="J230" s="1166"/>
      <c r="K230" s="1167"/>
      <c r="L230" s="153">
        <f t="shared" si="15"/>
        <v>6207</v>
      </c>
      <c r="M230" s="154" t="str">
        <f t="shared" si="16"/>
        <v>INTERET-PLAN DE FINANCEMENT</v>
      </c>
      <c r="N230" s="155">
        <f>+IF(OR($Q230=Parametres!$G$2,$Q230=Parametres!$G$3),I230,C230)</f>
        <v>0</v>
      </c>
      <c r="O230" s="1108">
        <f>+IF(OR($Q230=Parametres!$G$2,$Q230=Parametres!$G$3),J230,D230)</f>
        <v>1429.98</v>
      </c>
      <c r="P230" s="155">
        <f>+IF(OR($Q230=Parametres!$G$2,$Q230=Parametres!$G$3),K230,E230)</f>
        <v>1429.98</v>
      </c>
      <c r="Q230" s="154" t="str">
        <f t="shared" si="17"/>
        <v>7-Dépenses</v>
      </c>
      <c r="R230" s="153" t="str">
        <f t="shared" si="18"/>
        <v>6107</v>
      </c>
      <c r="S230" s="154">
        <f t="shared" si="19"/>
        <v>0</v>
      </c>
      <c r="T230" s="156">
        <f>+VLOOKUP($L230,Data_Validation!$A:$D,1,0)</f>
        <v>6207</v>
      </c>
      <c r="U230" s="156" t="str">
        <f>+VLOOKUP($L230,Data_Validation!$A:$D,3,0)</f>
        <v>Véhicules usagés</v>
      </c>
      <c r="V230" s="156" t="str">
        <f>+VLOOKUP($L230,Data_Validation!$A:$D,4,0)</f>
        <v>Intérêt de gros</v>
      </c>
      <c r="W230" s="156" t="str">
        <f>+VLOOKUP($L230,Data_Validation!$A:$E,5,0)</f>
        <v>$</v>
      </c>
      <c r="X230" s="156">
        <f>+VLOOKUP($L230,Data_Validation!$A:$F,6,0)</f>
        <v>0</v>
      </c>
    </row>
    <row r="231" spans="1:24" ht="15" hidden="1" customHeight="1">
      <c r="A231" s="1163" t="s">
        <v>1407</v>
      </c>
      <c r="B231" s="1164">
        <v>6208</v>
      </c>
      <c r="C231" s="1167">
        <v>0</v>
      </c>
      <c r="D231" s="1167">
        <v>1208.93</v>
      </c>
      <c r="E231" s="1167">
        <v>1208.93</v>
      </c>
      <c r="F231" s="1163" t="s">
        <v>401</v>
      </c>
      <c r="G231" s="1163" t="s">
        <v>2691</v>
      </c>
      <c r="H231" s="1166"/>
      <c r="I231" s="1165"/>
      <c r="J231" s="1165"/>
      <c r="K231" s="1165"/>
      <c r="L231" s="153">
        <f t="shared" si="15"/>
        <v>6208</v>
      </c>
      <c r="M231" s="154" t="str">
        <f t="shared" si="16"/>
        <v>FRAIS DE LIVRAISON</v>
      </c>
      <c r="N231" s="155">
        <f>+IF(OR($Q231=Parametres!$G$2,$Q231=Parametres!$G$3),I231,C231)</f>
        <v>0</v>
      </c>
      <c r="O231" s="1108">
        <f>+IF(OR($Q231=Parametres!$G$2,$Q231=Parametres!$G$3),J231,D231)</f>
        <v>1208.93</v>
      </c>
      <c r="P231" s="155">
        <f>+IF(OR($Q231=Parametres!$G$2,$Q231=Parametres!$G$3),K231,E231)</f>
        <v>1208.93</v>
      </c>
      <c r="Q231" s="154" t="str">
        <f t="shared" si="17"/>
        <v>7-Dépenses</v>
      </c>
      <c r="R231" s="153" t="str">
        <f t="shared" si="18"/>
        <v>6108</v>
      </c>
      <c r="S231" s="154">
        <f t="shared" si="19"/>
        <v>0</v>
      </c>
      <c r="T231" s="156">
        <f>+VLOOKUP($L231,Data_Validation!$A:$D,1,0)</f>
        <v>6208</v>
      </c>
      <c r="U231" s="156" t="str">
        <f>+VLOOKUP($L231,Data_Validation!$A:$D,3,0)</f>
        <v>Véhicules usagés</v>
      </c>
      <c r="V231" s="156" t="str">
        <f>+VLOOKUP($L231,Data_Validation!$A:$D,4,0)</f>
        <v>Frais de livraison</v>
      </c>
      <c r="W231" s="156" t="str">
        <f>+VLOOKUP($L231,Data_Validation!$A:$E,5,0)</f>
        <v>$</v>
      </c>
      <c r="X231" s="156">
        <f>+VLOOKUP($L231,Data_Validation!$A:$F,6,0)</f>
        <v>0</v>
      </c>
    </row>
    <row r="232" spans="1:24" ht="15" hidden="1" customHeight="1">
      <c r="A232" s="1163" t="s">
        <v>1374</v>
      </c>
      <c r="B232" s="1164">
        <v>6214</v>
      </c>
      <c r="C232" s="1165">
        <v>0</v>
      </c>
      <c r="D232" s="1165">
        <v>3176.77</v>
      </c>
      <c r="E232" s="1165">
        <v>3176.77</v>
      </c>
      <c r="F232" s="1163" t="s">
        <v>401</v>
      </c>
      <c r="G232" s="1163" t="s">
        <v>2110</v>
      </c>
      <c r="H232" s="1166"/>
      <c r="I232" s="1167"/>
      <c r="J232" s="1166"/>
      <c r="K232" s="1167"/>
      <c r="L232" s="153">
        <f t="shared" si="15"/>
        <v>6214</v>
      </c>
      <c r="M232" s="154" t="str">
        <f t="shared" si="16"/>
        <v>PUBLICITE</v>
      </c>
      <c r="N232" s="155">
        <f>+IF(OR($Q232=Parametres!$G$2,$Q232=Parametres!$G$3),I232,C232)</f>
        <v>0</v>
      </c>
      <c r="O232" s="1108">
        <f>+IF(OR($Q232=Parametres!$G$2,$Q232=Parametres!$G$3),J232,D232)</f>
        <v>3176.77</v>
      </c>
      <c r="P232" s="155">
        <f>+IF(OR($Q232=Parametres!$G$2,$Q232=Parametres!$G$3),K232,E232)</f>
        <v>3176.77</v>
      </c>
      <c r="Q232" s="154" t="str">
        <f t="shared" si="17"/>
        <v>7-Dépenses</v>
      </c>
      <c r="R232" s="153" t="str">
        <f t="shared" si="18"/>
        <v>6114</v>
      </c>
      <c r="S232" s="154">
        <f t="shared" si="19"/>
        <v>0</v>
      </c>
      <c r="T232" s="156">
        <f>+VLOOKUP($L232,Data_Validation!$A:$D,1,0)</f>
        <v>6214</v>
      </c>
      <c r="U232" s="156" t="str">
        <f>+VLOOKUP($L232,Data_Validation!$A:$D,3,0)</f>
        <v>Véhicules usagés</v>
      </c>
      <c r="V232" s="156" t="str">
        <f>+VLOOKUP($L232,Data_Validation!$A:$D,4,0)</f>
        <v>Publicité 1</v>
      </c>
      <c r="W232" s="156" t="str">
        <f>+VLOOKUP($L232,Data_Validation!$A:$E,5,0)</f>
        <v>$</v>
      </c>
      <c r="X232" s="156">
        <f>+VLOOKUP($L232,Data_Validation!$A:$F,6,0)</f>
        <v>0</v>
      </c>
    </row>
    <row r="233" spans="1:24" ht="15" hidden="1" customHeight="1">
      <c r="A233" s="1163" t="s">
        <v>2145</v>
      </c>
      <c r="B233" s="1164">
        <v>6215</v>
      </c>
      <c r="C233" s="1167">
        <v>0</v>
      </c>
      <c r="D233" s="1167">
        <v>-1800</v>
      </c>
      <c r="E233" s="1167">
        <v>-1800</v>
      </c>
      <c r="F233" s="1163" t="s">
        <v>401</v>
      </c>
      <c r="G233" s="1163" t="s">
        <v>2110</v>
      </c>
      <c r="H233" s="1166"/>
      <c r="I233" s="1165"/>
      <c r="J233" s="1165"/>
      <c r="K233" s="1165"/>
      <c r="L233" s="153">
        <f t="shared" si="15"/>
        <v>6215</v>
      </c>
      <c r="M233" s="154" t="str">
        <f t="shared" si="16"/>
        <v>CREDIT PUBLICITE USAGES</v>
      </c>
      <c r="N233" s="155">
        <f>+IF(OR($Q233=Parametres!$G$2,$Q233=Parametres!$G$3),I233,C233)</f>
        <v>0</v>
      </c>
      <c r="O233" s="1108">
        <f>+IF(OR($Q233=Parametres!$G$2,$Q233=Parametres!$G$3),J233,D233)</f>
        <v>-1800</v>
      </c>
      <c r="P233" s="155">
        <f>+IF(OR($Q233=Parametres!$G$2,$Q233=Parametres!$G$3),K233,E233)</f>
        <v>-1800</v>
      </c>
      <c r="Q233" s="154" t="str">
        <f t="shared" si="17"/>
        <v>7-Dépenses</v>
      </c>
      <c r="R233" s="153" t="str">
        <f t="shared" si="18"/>
        <v>6114</v>
      </c>
      <c r="S233" s="154">
        <f t="shared" si="19"/>
        <v>0</v>
      </c>
      <c r="T233" s="156">
        <f>+VLOOKUP($L233,Data_Validation!$A:$D,1,0)</f>
        <v>6215</v>
      </c>
      <c r="U233" s="156" t="str">
        <f>+VLOOKUP($L233,Data_Validation!$A:$D,3,0)</f>
        <v>Véhicules usagés</v>
      </c>
      <c r="V233" s="156" t="str">
        <f>+VLOOKUP($L233,Data_Validation!$A:$D,4,0)</f>
        <v>Publicité 1</v>
      </c>
      <c r="W233" s="156" t="str">
        <f>+VLOOKUP($L233,Data_Validation!$A:$E,5,0)</f>
        <v>$</v>
      </c>
      <c r="X233" s="156">
        <f>+VLOOKUP($L233,Data_Validation!$A:$F,6,0)</f>
        <v>0</v>
      </c>
    </row>
    <row r="234" spans="1:24" ht="15.75" hidden="1" customHeight="1">
      <c r="A234" s="1163" t="s">
        <v>1259</v>
      </c>
      <c r="B234" s="1164">
        <v>6221</v>
      </c>
      <c r="C234" s="1165">
        <v>0</v>
      </c>
      <c r="D234" s="1165">
        <v>1504.36</v>
      </c>
      <c r="E234" s="1165">
        <v>1504.36</v>
      </c>
      <c r="F234" s="1163" t="s">
        <v>401</v>
      </c>
      <c r="G234" s="1163" t="s">
        <v>2643</v>
      </c>
      <c r="H234" s="1166"/>
      <c r="I234" s="1167"/>
      <c r="J234" s="1166"/>
      <c r="K234" s="1167"/>
      <c r="L234" s="153">
        <f t="shared" si="15"/>
        <v>6221</v>
      </c>
      <c r="M234" s="154" t="str">
        <f t="shared" si="16"/>
        <v>SALAIRES - PROPRIETAIRES</v>
      </c>
      <c r="N234" s="155">
        <f>+IF(OR($Q234=Parametres!$G$2,$Q234=Parametres!$G$3),I234,C234)</f>
        <v>0</v>
      </c>
      <c r="O234" s="1108">
        <f>+IF(OR($Q234=Parametres!$G$2,$Q234=Parametres!$G$3),J234,D234)</f>
        <v>1504.36</v>
      </c>
      <c r="P234" s="155">
        <f>+IF(OR($Q234=Parametres!$G$2,$Q234=Parametres!$G$3),K234,E234)</f>
        <v>1504.36</v>
      </c>
      <c r="Q234" s="154" t="str">
        <f t="shared" si="17"/>
        <v>7-Dépenses</v>
      </c>
      <c r="R234" s="153" t="str">
        <f t="shared" si="18"/>
        <v>6121</v>
      </c>
      <c r="S234" s="154">
        <f t="shared" si="19"/>
        <v>0</v>
      </c>
      <c r="T234" s="156">
        <f>+VLOOKUP($L234,Data_Validation!$A:$D,1,0)</f>
        <v>6221</v>
      </c>
      <c r="U234" s="156" t="str">
        <f>+VLOOKUP($L234,Data_Validation!$A:$D,3,0)</f>
        <v>Véhicules usagés</v>
      </c>
      <c r="V234" s="156" t="str">
        <f>+VLOOKUP($L234,Data_Validation!$A:$D,4,0)</f>
        <v>Salaires propriétaire</v>
      </c>
      <c r="W234" s="156" t="str">
        <f>+VLOOKUP($L234,Data_Validation!$A:$E,5,0)</f>
        <v>$</v>
      </c>
      <c r="X234" s="156">
        <f>+VLOOKUP($L234,Data_Validation!$A:$F,6,0)</f>
        <v>0</v>
      </c>
    </row>
    <row r="235" spans="1:24" ht="15" hidden="1" customHeight="1">
      <c r="A235" s="1163" t="s">
        <v>2619</v>
      </c>
      <c r="B235" s="1164">
        <v>6222</v>
      </c>
      <c r="C235" s="1167">
        <v>0</v>
      </c>
      <c r="D235" s="1167">
        <v>6950.18</v>
      </c>
      <c r="E235" s="1167">
        <v>6950.18</v>
      </c>
      <c r="F235" s="1163" t="s">
        <v>401</v>
      </c>
      <c r="G235" s="1163" t="s">
        <v>2621</v>
      </c>
      <c r="H235" s="1166"/>
      <c r="I235" s="1165"/>
      <c r="J235" s="1165"/>
      <c r="K235" s="1165"/>
      <c r="L235" s="153">
        <f t="shared" si="15"/>
        <v>6222</v>
      </c>
      <c r="M235" s="154" t="str">
        <f t="shared" si="16"/>
        <v>SAL SUPERVISION / GERANT</v>
      </c>
      <c r="N235" s="155">
        <f>+IF(OR($Q235=Parametres!$G$2,$Q235=Parametres!$G$3),I235,C235)</f>
        <v>0</v>
      </c>
      <c r="O235" s="1108">
        <f>+IF(OR($Q235=Parametres!$G$2,$Q235=Parametres!$G$3),J235,D235)</f>
        <v>6950.18</v>
      </c>
      <c r="P235" s="155">
        <f>+IF(OR($Q235=Parametres!$G$2,$Q235=Parametres!$G$3),K235,E235)</f>
        <v>6950.18</v>
      </c>
      <c r="Q235" s="154" t="str">
        <f t="shared" si="17"/>
        <v>7-Dépenses</v>
      </c>
      <c r="R235" s="153" t="str">
        <f t="shared" si="18"/>
        <v>6122</v>
      </c>
      <c r="S235" s="154">
        <f t="shared" si="19"/>
        <v>0</v>
      </c>
      <c r="T235" s="156">
        <f>+VLOOKUP($L235,Data_Validation!$A:$D,1,0)</f>
        <v>6222</v>
      </c>
      <c r="U235" s="156" t="str">
        <f>+VLOOKUP($L235,Data_Validation!$A:$D,3,0)</f>
        <v>Véhicules usagés</v>
      </c>
      <c r="V235" s="156" t="str">
        <f>+VLOOKUP($L235,Data_Validation!$A:$D,4,0)</f>
        <v>Salaires cadres</v>
      </c>
      <c r="W235" s="156" t="str">
        <f>+VLOOKUP($L235,Data_Validation!$A:$E,5,0)</f>
        <v>$</v>
      </c>
      <c r="X235" s="156">
        <f>+VLOOKUP($L235,Data_Validation!$A:$F,6,0)</f>
        <v>0</v>
      </c>
    </row>
    <row r="236" spans="1:24" ht="15" hidden="1" customHeight="1">
      <c r="A236" s="1163" t="s">
        <v>1342</v>
      </c>
      <c r="B236" s="1164">
        <v>6223</v>
      </c>
      <c r="C236" s="1165">
        <v>0</v>
      </c>
      <c r="D236" s="1165">
        <v>1774.29</v>
      </c>
      <c r="E236" s="1165">
        <v>1774.29</v>
      </c>
      <c r="F236" s="1163" t="s">
        <v>401</v>
      </c>
      <c r="G236" s="1163" t="s">
        <v>2674</v>
      </c>
      <c r="H236" s="1166"/>
      <c r="I236" s="1167"/>
      <c r="J236" s="1166"/>
      <c r="K236" s="1167"/>
      <c r="L236" s="153">
        <f t="shared" si="15"/>
        <v>6223</v>
      </c>
      <c r="M236" s="154" t="str">
        <f t="shared" si="16"/>
        <v>SAL. &amp; RENUM. - CLERICAL</v>
      </c>
      <c r="N236" s="155">
        <f>+IF(OR($Q236=Parametres!$G$2,$Q236=Parametres!$G$3),I236,C236)</f>
        <v>0</v>
      </c>
      <c r="O236" s="1108">
        <f>+IF(OR($Q236=Parametres!$G$2,$Q236=Parametres!$G$3),J236,D236)</f>
        <v>1774.29</v>
      </c>
      <c r="P236" s="155">
        <f>+IF(OR($Q236=Parametres!$G$2,$Q236=Parametres!$G$3),K236,E236)</f>
        <v>1774.29</v>
      </c>
      <c r="Q236" s="154" t="str">
        <f t="shared" si="17"/>
        <v>7-Dépenses</v>
      </c>
      <c r="R236" s="153" t="str">
        <f t="shared" si="18"/>
        <v>6123</v>
      </c>
      <c r="S236" s="154">
        <f t="shared" si="19"/>
        <v>0</v>
      </c>
      <c r="T236" s="156">
        <f>+VLOOKUP($L236,Data_Validation!$A:$D,1,0)</f>
        <v>6223</v>
      </c>
      <c r="U236" s="156" t="str">
        <f>+VLOOKUP($L236,Data_Validation!$A:$D,3,0)</f>
        <v>Véhicules usagés</v>
      </c>
      <c r="V236" s="156" t="str">
        <f>+VLOOKUP($L236,Data_Validation!$A:$D,4,0)</f>
        <v>Salaires commis</v>
      </c>
      <c r="W236" s="156" t="str">
        <f>+VLOOKUP($L236,Data_Validation!$A:$E,5,0)</f>
        <v>$</v>
      </c>
      <c r="X236" s="156">
        <f>+VLOOKUP($L236,Data_Validation!$A:$F,6,0)</f>
        <v>0</v>
      </c>
    </row>
    <row r="237" spans="1:24" ht="15" hidden="1" customHeight="1">
      <c r="A237" s="1163" t="s">
        <v>1412</v>
      </c>
      <c r="B237" s="1164">
        <v>6224</v>
      </c>
      <c r="C237" s="1165">
        <v>0</v>
      </c>
      <c r="D237" s="1165">
        <v>6981.02</v>
      </c>
      <c r="E237" s="1165">
        <v>6981.02</v>
      </c>
      <c r="F237" s="1163" t="s">
        <v>401</v>
      </c>
      <c r="G237" s="1163" t="s">
        <v>2730</v>
      </c>
      <c r="H237" s="1166"/>
      <c r="I237" s="1167"/>
      <c r="J237" s="1167"/>
      <c r="K237" s="1167"/>
      <c r="L237" s="153">
        <f t="shared" si="15"/>
        <v>6224</v>
      </c>
      <c r="M237" s="154" t="str">
        <f t="shared" si="16"/>
        <v>SALAIRE &amp; RENUM. - AUTRES</v>
      </c>
      <c r="N237" s="155">
        <f>+IF(OR($Q237=Parametres!$G$2,$Q237=Parametres!$G$3),I237,C237)</f>
        <v>0</v>
      </c>
      <c r="O237" s="1108">
        <f>+IF(OR($Q237=Parametres!$G$2,$Q237=Parametres!$G$3),J237,D237)</f>
        <v>6981.02</v>
      </c>
      <c r="P237" s="155">
        <f>+IF(OR($Q237=Parametres!$G$2,$Q237=Parametres!$G$3),K237,E237)</f>
        <v>6981.02</v>
      </c>
      <c r="Q237" s="154" t="str">
        <f t="shared" si="17"/>
        <v>7-Dépenses</v>
      </c>
      <c r="R237" s="153" t="str">
        <f t="shared" si="18"/>
        <v>6124</v>
      </c>
      <c r="S237" s="154">
        <f t="shared" si="19"/>
        <v>0</v>
      </c>
      <c r="T237" s="156">
        <f>+VLOOKUP($L237,Data_Validation!$A:$D,1,0)</f>
        <v>6224</v>
      </c>
      <c r="U237" s="156" t="str">
        <f>+VLOOKUP($L237,Data_Validation!$A:$D,3,0)</f>
        <v>Véhicules usagés</v>
      </c>
      <c r="V237" s="156" t="str">
        <f>+VLOOKUP($L237,Data_Validation!$A:$D,4,0)</f>
        <v>Salaires autres</v>
      </c>
      <c r="W237" s="156" t="str">
        <f>+VLOOKUP($L237,Data_Validation!$A:$E,5,0)</f>
        <v>$</v>
      </c>
      <c r="X237" s="156">
        <f>+VLOOKUP($L237,Data_Validation!$A:$F,6,0)</f>
        <v>0</v>
      </c>
    </row>
    <row r="238" spans="1:24" ht="15.75" hidden="1" customHeight="1">
      <c r="A238" s="1163" t="s">
        <v>1211</v>
      </c>
      <c r="B238" s="1164">
        <v>6229</v>
      </c>
      <c r="C238" s="1167">
        <v>0</v>
      </c>
      <c r="D238" s="1167">
        <v>5707.93</v>
      </c>
      <c r="E238" s="1167">
        <v>5707.93</v>
      </c>
      <c r="F238" s="1163" t="s">
        <v>401</v>
      </c>
      <c r="G238" s="1163" t="s">
        <v>2636</v>
      </c>
      <c r="H238" s="1166"/>
      <c r="I238" s="1165"/>
      <c r="J238" s="1165"/>
      <c r="K238" s="1165"/>
      <c r="L238" s="153">
        <f t="shared" si="15"/>
        <v>6229</v>
      </c>
      <c r="M238" s="154" t="str">
        <f t="shared" si="16"/>
        <v>ABS.,VACANCES &amp; SAL. JOURS FER</v>
      </c>
      <c r="N238" s="155">
        <f>+IF(OR($Q238=Parametres!$G$2,$Q238=Parametres!$G$3),I238,C238)</f>
        <v>0</v>
      </c>
      <c r="O238" s="1108">
        <f>+IF(OR($Q238=Parametres!$G$2,$Q238=Parametres!$G$3),J238,D238)</f>
        <v>5707.93</v>
      </c>
      <c r="P238" s="155">
        <f>+IF(OR($Q238=Parametres!$G$2,$Q238=Parametres!$G$3),K238,E238)</f>
        <v>5707.93</v>
      </c>
      <c r="Q238" s="154" t="str">
        <f t="shared" si="17"/>
        <v>7-Dépenses</v>
      </c>
      <c r="R238" s="153" t="str">
        <f t="shared" si="18"/>
        <v>6129</v>
      </c>
      <c r="S238" s="154">
        <f t="shared" si="19"/>
        <v>0</v>
      </c>
      <c r="T238" s="156">
        <f>+VLOOKUP($L238,Data_Validation!$A:$D,1,0)</f>
        <v>6229</v>
      </c>
      <c r="U238" s="156" t="str">
        <f>+VLOOKUP($L238,Data_Validation!$A:$D,3,0)</f>
        <v>Véhicules usagés</v>
      </c>
      <c r="V238" s="156" t="str">
        <f>+VLOOKUP($L238,Data_Validation!$A:$D,4,0)</f>
        <v>Salaires en absences</v>
      </c>
      <c r="W238" s="156" t="str">
        <f>+VLOOKUP($L238,Data_Validation!$A:$E,5,0)</f>
        <v>$</v>
      </c>
      <c r="X238" s="156">
        <f>+VLOOKUP($L238,Data_Validation!$A:$F,6,0)</f>
        <v>0</v>
      </c>
    </row>
    <row r="239" spans="1:24" ht="15" hidden="1" customHeight="1">
      <c r="A239" s="1163" t="s">
        <v>1252</v>
      </c>
      <c r="B239" s="1164">
        <v>6231</v>
      </c>
      <c r="C239" s="1165">
        <v>0</v>
      </c>
      <c r="D239" s="1165">
        <v>1748.62</v>
      </c>
      <c r="E239" s="1165">
        <v>1748.62</v>
      </c>
      <c r="F239" s="1163" t="s">
        <v>401</v>
      </c>
      <c r="G239" s="1163" t="s">
        <v>2581</v>
      </c>
      <c r="H239" s="1166"/>
      <c r="I239" s="1167"/>
      <c r="J239" s="1166"/>
      <c r="K239" s="1167"/>
      <c r="L239" s="153">
        <f t="shared" si="15"/>
        <v>6231</v>
      </c>
      <c r="M239" s="154" t="str">
        <f t="shared" si="16"/>
        <v>CSST</v>
      </c>
      <c r="N239" s="155">
        <f>+IF(OR($Q239=Parametres!$G$2,$Q239=Parametres!$G$3),I239,C239)</f>
        <v>0</v>
      </c>
      <c r="O239" s="1108">
        <f>+IF(OR($Q239=Parametres!$G$2,$Q239=Parametres!$G$3),J239,D239)</f>
        <v>1748.62</v>
      </c>
      <c r="P239" s="155">
        <f>+IF(OR($Q239=Parametres!$G$2,$Q239=Parametres!$G$3),K239,E239)</f>
        <v>1748.62</v>
      </c>
      <c r="Q239" s="154" t="str">
        <f t="shared" si="17"/>
        <v>7-Dépenses</v>
      </c>
      <c r="R239" s="153" t="str">
        <f t="shared" si="18"/>
        <v>6131</v>
      </c>
      <c r="S239" s="154">
        <f t="shared" si="19"/>
        <v>0</v>
      </c>
      <c r="T239" s="156">
        <f>+VLOOKUP($L239,Data_Validation!$A:$D,1,0)</f>
        <v>6231</v>
      </c>
      <c r="U239" s="156" t="str">
        <f>+VLOOKUP($L239,Data_Validation!$A:$D,3,0)</f>
        <v>Véhicules usagés</v>
      </c>
      <c r="V239" s="156" t="str">
        <f>+VLOOKUP($L239,Data_Validation!$A:$D,4,0)</f>
        <v>Csst</v>
      </c>
      <c r="W239" s="156" t="str">
        <f>+VLOOKUP($L239,Data_Validation!$A:$E,5,0)</f>
        <v>$</v>
      </c>
      <c r="X239" s="156">
        <f>+VLOOKUP($L239,Data_Validation!$A:$F,6,0)</f>
        <v>0</v>
      </c>
    </row>
    <row r="240" spans="1:24" ht="15" hidden="1" customHeight="1">
      <c r="A240" s="1163" t="s">
        <v>1283</v>
      </c>
      <c r="B240" s="1164">
        <v>6232</v>
      </c>
      <c r="C240" s="1167">
        <v>0</v>
      </c>
      <c r="D240" s="1167">
        <v>6041.59</v>
      </c>
      <c r="E240" s="1167">
        <v>6041.59</v>
      </c>
      <c r="F240" s="1163" t="s">
        <v>401</v>
      </c>
      <c r="G240" s="1163" t="s">
        <v>2680</v>
      </c>
      <c r="H240" s="1166"/>
      <c r="I240" s="1165"/>
      <c r="J240" s="1165"/>
      <c r="K240" s="1165"/>
      <c r="L240" s="153">
        <f t="shared" si="15"/>
        <v>6232</v>
      </c>
      <c r="M240" s="154" t="str">
        <f t="shared" si="16"/>
        <v>RRQ RAMQ AC</v>
      </c>
      <c r="N240" s="155">
        <f>+IF(OR($Q240=Parametres!$G$2,$Q240=Parametres!$G$3),I240,C240)</f>
        <v>0</v>
      </c>
      <c r="O240" s="1108">
        <f>+IF(OR($Q240=Parametres!$G$2,$Q240=Parametres!$G$3),J240,D240)</f>
        <v>6041.59</v>
      </c>
      <c r="P240" s="155">
        <f>+IF(OR($Q240=Parametres!$G$2,$Q240=Parametres!$G$3),K240,E240)</f>
        <v>6041.59</v>
      </c>
      <c r="Q240" s="154" t="str">
        <f t="shared" si="17"/>
        <v>7-Dépenses</v>
      </c>
      <c r="R240" s="153" t="str">
        <f t="shared" si="18"/>
        <v>6132</v>
      </c>
      <c r="S240" s="154">
        <f t="shared" si="19"/>
        <v>0</v>
      </c>
      <c r="T240" s="156">
        <f>+VLOOKUP($L240,Data_Validation!$A:$D,1,0)</f>
        <v>6232</v>
      </c>
      <c r="U240" s="156" t="str">
        <f>+VLOOKUP($L240,Data_Validation!$A:$D,3,0)</f>
        <v>Véhicules usagés</v>
      </c>
      <c r="V240" s="156" t="str">
        <f>+VLOOKUP($L240,Data_Validation!$A:$D,4,0)</f>
        <v>Déduction à la source</v>
      </c>
      <c r="W240" s="156" t="str">
        <f>+VLOOKUP($L240,Data_Validation!$A:$E,5,0)</f>
        <v>$</v>
      </c>
      <c r="X240" s="156">
        <f>+VLOOKUP($L240,Data_Validation!$A:$F,6,0)</f>
        <v>0</v>
      </c>
    </row>
    <row r="241" spans="1:24" ht="15" hidden="1" customHeight="1">
      <c r="A241" s="1163" t="s">
        <v>1305</v>
      </c>
      <c r="B241" s="1164">
        <v>6239</v>
      </c>
      <c r="C241" s="1165">
        <v>0</v>
      </c>
      <c r="D241" s="1165">
        <v>3226.35</v>
      </c>
      <c r="E241" s="1165">
        <v>3226.35</v>
      </c>
      <c r="F241" s="1163" t="s">
        <v>401</v>
      </c>
      <c r="G241" s="1163" t="s">
        <v>2689</v>
      </c>
      <c r="H241" s="1166"/>
      <c r="I241" s="1167"/>
      <c r="J241" s="1166"/>
      <c r="K241" s="1167"/>
      <c r="L241" s="153">
        <f t="shared" si="15"/>
        <v>6239</v>
      </c>
      <c r="M241" s="154" t="str">
        <f t="shared" si="16"/>
        <v>ASSURANCE GROUPE</v>
      </c>
      <c r="N241" s="155">
        <f>+IF(OR($Q241=Parametres!$G$2,$Q241=Parametres!$G$3),I241,C241)</f>
        <v>0</v>
      </c>
      <c r="O241" s="1108">
        <f>+IF(OR($Q241=Parametres!$G$2,$Q241=Parametres!$G$3),J241,D241)</f>
        <v>3226.35</v>
      </c>
      <c r="P241" s="155">
        <f>+IF(OR($Q241=Parametres!$G$2,$Q241=Parametres!$G$3),K241,E241)</f>
        <v>3226.35</v>
      </c>
      <c r="Q241" s="154" t="str">
        <f t="shared" si="17"/>
        <v>7-Dépenses</v>
      </c>
      <c r="R241" s="153" t="str">
        <f t="shared" si="18"/>
        <v>6139</v>
      </c>
      <c r="S241" s="154">
        <f t="shared" si="19"/>
        <v>0</v>
      </c>
      <c r="T241" s="156">
        <f>+VLOOKUP($L241,Data_Validation!$A:$D,1,0)</f>
        <v>6239</v>
      </c>
      <c r="U241" s="156" t="str">
        <f>+VLOOKUP($L241,Data_Validation!$A:$D,3,0)</f>
        <v>Véhicules usagés</v>
      </c>
      <c r="V241" s="156" t="str">
        <f>+VLOOKUP($L241,Data_Validation!$A:$D,4,0)</f>
        <v>Bénéfices marginaux</v>
      </c>
      <c r="W241" s="156" t="str">
        <f>+VLOOKUP($L241,Data_Validation!$A:$E,5,0)</f>
        <v>$</v>
      </c>
      <c r="X241" s="156">
        <f>+VLOOKUP($L241,Data_Validation!$A:$F,6,0)</f>
        <v>0</v>
      </c>
    </row>
    <row r="242" spans="1:24" ht="15" hidden="1" customHeight="1">
      <c r="A242" s="1163" t="s">
        <v>1157</v>
      </c>
      <c r="B242" s="1164">
        <v>6242</v>
      </c>
      <c r="C242" s="1165">
        <v>0</v>
      </c>
      <c r="D242" s="1165">
        <v>130.66</v>
      </c>
      <c r="E242" s="1165">
        <v>130.66</v>
      </c>
      <c r="F242" s="1163" t="s">
        <v>401</v>
      </c>
      <c r="G242" s="1163" t="s">
        <v>2558</v>
      </c>
      <c r="H242" s="1166"/>
      <c r="I242" s="1167"/>
      <c r="J242" s="1167"/>
      <c r="K242" s="1167"/>
      <c r="L242" s="153">
        <f t="shared" si="15"/>
        <v>6242</v>
      </c>
      <c r="M242" s="154" t="str">
        <f t="shared" si="16"/>
        <v>FOURNITURES &amp; PETITS OUTILS</v>
      </c>
      <c r="N242" s="155">
        <f>+IF(OR($Q242=Parametres!$G$2,$Q242=Parametres!$G$3),I242,C242)</f>
        <v>0</v>
      </c>
      <c r="O242" s="1108">
        <f>+IF(OR($Q242=Parametres!$G$2,$Q242=Parametres!$G$3),J242,D242)</f>
        <v>130.66</v>
      </c>
      <c r="P242" s="155">
        <f>+IF(OR($Q242=Parametres!$G$2,$Q242=Parametres!$G$3),K242,E242)</f>
        <v>130.66</v>
      </c>
      <c r="Q242" s="154" t="str">
        <f t="shared" si="17"/>
        <v>7-Dépenses</v>
      </c>
      <c r="R242" s="153" t="str">
        <f t="shared" si="18"/>
        <v>6142</v>
      </c>
      <c r="S242" s="154">
        <f t="shared" si="19"/>
        <v>0</v>
      </c>
      <c r="T242" s="156">
        <f>+VLOOKUP($L242,Data_Validation!$A:$D,1,0)</f>
        <v>6242</v>
      </c>
      <c r="U242" s="156" t="str">
        <f>+VLOOKUP($L242,Data_Validation!$A:$D,3,0)</f>
        <v>Véhicules usagés</v>
      </c>
      <c r="V242" s="156" t="str">
        <f>+VLOOKUP($L242,Data_Validation!$A:$D,4,0)</f>
        <v>Fournitures autres</v>
      </c>
      <c r="W242" s="156" t="str">
        <f>+VLOOKUP($L242,Data_Validation!$A:$E,5,0)</f>
        <v>$</v>
      </c>
      <c r="X242" s="156">
        <f>+VLOOKUP($L242,Data_Validation!$A:$F,6,0)</f>
        <v>0</v>
      </c>
    </row>
    <row r="243" spans="1:24" ht="15.75" hidden="1" customHeight="1">
      <c r="A243" s="1163" t="s">
        <v>934</v>
      </c>
      <c r="B243" s="1164">
        <v>6244</v>
      </c>
      <c r="C243" s="1167">
        <v>0</v>
      </c>
      <c r="D243" s="1167">
        <v>38.28</v>
      </c>
      <c r="E243" s="1167">
        <v>38.28</v>
      </c>
      <c r="F243" s="1163" t="s">
        <v>401</v>
      </c>
      <c r="G243" s="1163" t="s">
        <v>2556</v>
      </c>
      <c r="H243" s="1166"/>
      <c r="I243" s="1165"/>
      <c r="J243" s="1165"/>
      <c r="K243" s="1165"/>
      <c r="L243" s="153">
        <f t="shared" si="15"/>
        <v>6244</v>
      </c>
      <c r="M243" s="154" t="str">
        <f t="shared" si="16"/>
        <v>FORMATION</v>
      </c>
      <c r="N243" s="155">
        <f>+IF(OR($Q243=Parametres!$G$2,$Q243=Parametres!$G$3),I243,C243)</f>
        <v>0</v>
      </c>
      <c r="O243" s="1106">
        <f>+IF(OR($Q243=Parametres!$G$2,$Q243=Parametres!$G$3),J243,D243)</f>
        <v>38.28</v>
      </c>
      <c r="P243" s="155">
        <f>+IF(OR($Q243=Parametres!$G$2,$Q243=Parametres!$G$3),K243,E243)</f>
        <v>38.28</v>
      </c>
      <c r="Q243" s="154" t="str">
        <f t="shared" si="17"/>
        <v>7-Dépenses</v>
      </c>
      <c r="R243" s="153" t="str">
        <f t="shared" si="18"/>
        <v>6144</v>
      </c>
      <c r="S243" s="154">
        <f t="shared" si="19"/>
        <v>0</v>
      </c>
      <c r="T243" s="156">
        <f>+VLOOKUP($L243,Data_Validation!$A:$D,1,0)</f>
        <v>6244</v>
      </c>
      <c r="U243" s="156" t="str">
        <f>+VLOOKUP($L243,Data_Validation!$A:$D,3,0)</f>
        <v>Véhicules usagés</v>
      </c>
      <c r="V243" s="156" t="str">
        <f>+VLOOKUP($L243,Data_Validation!$A:$D,4,0)</f>
        <v>Formation</v>
      </c>
      <c r="W243" s="156" t="str">
        <f>+VLOOKUP($L243,Data_Validation!$A:$E,5,0)</f>
        <v>$</v>
      </c>
      <c r="X243" s="156">
        <f>+VLOOKUP($L243,Data_Validation!$A:$F,6,0)</f>
        <v>0</v>
      </c>
    </row>
    <row r="244" spans="1:24" ht="15" hidden="1" customHeight="1">
      <c r="A244" s="1163" t="s">
        <v>1186</v>
      </c>
      <c r="B244" s="1164">
        <v>6245</v>
      </c>
      <c r="C244" s="1165">
        <v>0</v>
      </c>
      <c r="D244" s="1165">
        <v>132.36000000000001</v>
      </c>
      <c r="E244" s="1165">
        <v>132.36000000000001</v>
      </c>
      <c r="F244" s="1163" t="s">
        <v>401</v>
      </c>
      <c r="G244" s="1163" t="s">
        <v>2627</v>
      </c>
      <c r="H244" s="1166"/>
      <c r="I244" s="1167"/>
      <c r="J244" s="1166"/>
      <c r="K244" s="1167"/>
      <c r="L244" s="153">
        <f t="shared" si="15"/>
        <v>6245</v>
      </c>
      <c r="M244" s="154" t="str">
        <f t="shared" si="16"/>
        <v>VEHICULE DE COMPAGNIE - DEPENS</v>
      </c>
      <c r="N244" s="155">
        <f>+IF(OR($Q244=Parametres!$G$2,$Q244=Parametres!$G$3),I244,C244)</f>
        <v>0</v>
      </c>
      <c r="O244" s="1108">
        <f>+IF(OR($Q244=Parametres!$G$2,$Q244=Parametres!$G$3),J244,D244)</f>
        <v>132.36000000000001</v>
      </c>
      <c r="P244" s="155">
        <f>+IF(OR($Q244=Parametres!$G$2,$Q244=Parametres!$G$3),K244,E244)</f>
        <v>132.36000000000001</v>
      </c>
      <c r="Q244" s="154" t="str">
        <f t="shared" si="17"/>
        <v>7-Dépenses</v>
      </c>
      <c r="R244" s="153" t="str">
        <f t="shared" si="18"/>
        <v>6145</v>
      </c>
      <c r="S244" s="154">
        <f t="shared" si="19"/>
        <v>0</v>
      </c>
      <c r="T244" s="156">
        <f>+VLOOKUP($L244,Data_Validation!$A:$D,1,0)</f>
        <v>6245</v>
      </c>
      <c r="U244" s="156" t="str">
        <f>+VLOOKUP($L244,Data_Validation!$A:$D,3,0)</f>
        <v>Véhicules usagés</v>
      </c>
      <c r="V244" s="156" t="str">
        <f>+VLOOKUP($L244,Data_Validation!$A:$D,4,0)</f>
        <v>Frais véhicules de cie</v>
      </c>
      <c r="W244" s="156" t="str">
        <f>+VLOOKUP($L244,Data_Validation!$A:$E,5,0)</f>
        <v>$</v>
      </c>
      <c r="X244" s="156">
        <f>+VLOOKUP($L244,Data_Validation!$A:$F,6,0)</f>
        <v>0</v>
      </c>
    </row>
    <row r="245" spans="1:24" ht="15" hidden="1" customHeight="1">
      <c r="A245" s="1163" t="s">
        <v>1180</v>
      </c>
      <c r="B245" s="1164">
        <v>6247</v>
      </c>
      <c r="C245" s="1167">
        <v>0</v>
      </c>
      <c r="D245" s="1167">
        <v>18.21</v>
      </c>
      <c r="E245" s="1167">
        <v>18.21</v>
      </c>
      <c r="F245" s="1163" t="s">
        <v>401</v>
      </c>
      <c r="G245" s="1163" t="s">
        <v>2576</v>
      </c>
      <c r="H245" s="1166"/>
      <c r="I245" s="1165"/>
      <c r="J245" s="1165"/>
      <c r="K245" s="1165"/>
      <c r="L245" s="153">
        <f t="shared" si="15"/>
        <v>6247</v>
      </c>
      <c r="M245" s="154" t="str">
        <f t="shared" si="16"/>
        <v>FRET/EXPRESS/TRANS. PAR CAMION</v>
      </c>
      <c r="N245" s="155">
        <f>+IF(OR($Q245=Parametres!$G$2,$Q245=Parametres!$G$3),I245,C245)</f>
        <v>0</v>
      </c>
      <c r="O245" s="1108">
        <f>+IF(OR($Q245=Parametres!$G$2,$Q245=Parametres!$G$3),J245,D245)</f>
        <v>18.21</v>
      </c>
      <c r="P245" s="155">
        <f>+IF(OR($Q245=Parametres!$G$2,$Q245=Parametres!$G$3),K245,E245)</f>
        <v>18.21</v>
      </c>
      <c r="Q245" s="154" t="str">
        <f t="shared" si="17"/>
        <v>7-Dépenses</v>
      </c>
      <c r="R245" s="153" t="str">
        <f t="shared" si="18"/>
        <v>6147</v>
      </c>
      <c r="S245" s="154">
        <f t="shared" si="19"/>
        <v>0</v>
      </c>
      <c r="T245" s="156">
        <f>+VLOOKUP($L245,Data_Validation!$A:$D,1,0)</f>
        <v>6247</v>
      </c>
      <c r="U245" s="156" t="str">
        <f>+VLOOKUP($L245,Data_Validation!$A:$D,3,0)</f>
        <v>Véhicules usagés</v>
      </c>
      <c r="V245" s="156" t="str">
        <f>+VLOOKUP($L245,Data_Validation!$A:$D,4,0)</f>
        <v>Frais postaux</v>
      </c>
      <c r="W245" s="156" t="str">
        <f>+VLOOKUP($L245,Data_Validation!$A:$E,5,0)</f>
        <v>$</v>
      </c>
      <c r="X245" s="156">
        <f>+VLOOKUP($L245,Data_Validation!$A:$F,6,0)</f>
        <v>0</v>
      </c>
    </row>
    <row r="246" spans="1:24" ht="15" hidden="1" customHeight="1">
      <c r="A246" s="1163" t="s">
        <v>1286</v>
      </c>
      <c r="B246" s="1164">
        <v>6251</v>
      </c>
      <c r="C246" s="1165">
        <v>0</v>
      </c>
      <c r="D246" s="1165">
        <v>2579.3000000000002</v>
      </c>
      <c r="E246" s="1165">
        <v>2579.3000000000002</v>
      </c>
      <c r="F246" s="1163" t="s">
        <v>401</v>
      </c>
      <c r="G246" s="1163" t="s">
        <v>2697</v>
      </c>
      <c r="H246" s="1166"/>
      <c r="I246" s="1167"/>
      <c r="J246" s="1166"/>
      <c r="K246" s="1167"/>
      <c r="L246" s="153">
        <f t="shared" si="15"/>
        <v>6251</v>
      </c>
      <c r="M246" s="154" t="str">
        <f t="shared" si="16"/>
        <v>DEP. DU TRAITEMENT DES DONNEES</v>
      </c>
      <c r="N246" s="155">
        <f>+IF(OR($Q246=Parametres!$G$2,$Q246=Parametres!$G$3),I246,C246)</f>
        <v>0</v>
      </c>
      <c r="O246" s="1108">
        <f>+IF(OR($Q246=Parametres!$G$2,$Q246=Parametres!$G$3),J246,D246)</f>
        <v>2579.3000000000002</v>
      </c>
      <c r="P246" s="155">
        <f>+IF(OR($Q246=Parametres!$G$2,$Q246=Parametres!$G$3),K246,E246)</f>
        <v>2579.3000000000002</v>
      </c>
      <c r="Q246" s="154" t="str">
        <f t="shared" si="17"/>
        <v>7-Dépenses</v>
      </c>
      <c r="R246" s="153" t="str">
        <f t="shared" si="18"/>
        <v>6151</v>
      </c>
      <c r="S246" s="154">
        <f t="shared" si="19"/>
        <v>0</v>
      </c>
      <c r="T246" s="156">
        <f>+VLOOKUP($L246,Data_Validation!$A:$D,1,0)</f>
        <v>6251</v>
      </c>
      <c r="U246" s="156" t="str">
        <f>+VLOOKUP($L246,Data_Validation!$A:$D,3,0)</f>
        <v>Véhicules usagés</v>
      </c>
      <c r="V246" s="156" t="str">
        <f>+VLOOKUP($L246,Data_Validation!$A:$D,4,0)</f>
        <v>Informatique</v>
      </c>
      <c r="W246" s="156" t="str">
        <f>+VLOOKUP($L246,Data_Validation!$A:$E,5,0)</f>
        <v>$</v>
      </c>
      <c r="X246" s="156">
        <f>+VLOOKUP($L246,Data_Validation!$A:$F,6,0)</f>
        <v>0</v>
      </c>
    </row>
    <row r="247" spans="1:24" ht="15.75" hidden="1" customHeight="1">
      <c r="A247" s="1163" t="s">
        <v>1206</v>
      </c>
      <c r="B247" s="1164">
        <v>6252</v>
      </c>
      <c r="C247" s="1167">
        <v>0</v>
      </c>
      <c r="D247" s="1167">
        <v>317.22000000000003</v>
      </c>
      <c r="E247" s="1167">
        <v>317.22000000000003</v>
      </c>
      <c r="F247" s="1163" t="s">
        <v>401</v>
      </c>
      <c r="G247" s="1163" t="s">
        <v>2583</v>
      </c>
      <c r="H247" s="1166"/>
      <c r="I247" s="1165"/>
      <c r="J247" s="1165"/>
      <c r="K247" s="1165"/>
      <c r="L247" s="153">
        <f t="shared" si="15"/>
        <v>6252</v>
      </c>
      <c r="M247" s="154" t="str">
        <f t="shared" si="16"/>
        <v>PAPETERIE</v>
      </c>
      <c r="N247" s="155">
        <f>+IF(OR($Q247=Parametres!$G$2,$Q247=Parametres!$G$3),I247,C247)</f>
        <v>0</v>
      </c>
      <c r="O247" s="1108">
        <f>+IF(OR($Q247=Parametres!$G$2,$Q247=Parametres!$G$3),J247,D247)</f>
        <v>317.22000000000003</v>
      </c>
      <c r="P247" s="155">
        <f>+IF(OR($Q247=Parametres!$G$2,$Q247=Parametres!$G$3),K247,E247)</f>
        <v>317.22000000000003</v>
      </c>
      <c r="Q247" s="154" t="str">
        <f t="shared" si="17"/>
        <v>7-Dépenses</v>
      </c>
      <c r="R247" s="153" t="str">
        <f t="shared" si="18"/>
        <v>6152</v>
      </c>
      <c r="S247" s="154">
        <f t="shared" si="19"/>
        <v>0</v>
      </c>
      <c r="T247" s="156">
        <f>+VLOOKUP($L247,Data_Validation!$A:$D,1,0)</f>
        <v>6252</v>
      </c>
      <c r="U247" s="156" t="str">
        <f>+VLOOKUP($L247,Data_Validation!$A:$D,3,0)</f>
        <v>Véhicules usagés</v>
      </c>
      <c r="V247" s="156" t="str">
        <f>+VLOOKUP($L247,Data_Validation!$A:$D,4,0)</f>
        <v>Papeterie</v>
      </c>
      <c r="W247" s="156" t="str">
        <f>+VLOOKUP($L247,Data_Validation!$A:$E,5,0)</f>
        <v>$</v>
      </c>
      <c r="X247" s="156">
        <f>+VLOOKUP($L247,Data_Validation!$A:$F,6,0)</f>
        <v>0</v>
      </c>
    </row>
    <row r="248" spans="1:24" ht="15" hidden="1" customHeight="1">
      <c r="A248" s="1163" t="s">
        <v>1154</v>
      </c>
      <c r="B248" s="1164">
        <v>6253</v>
      </c>
      <c r="C248" s="1165">
        <v>0</v>
      </c>
      <c r="D248" s="1165">
        <v>39.049999999999997</v>
      </c>
      <c r="E248" s="1165">
        <v>39.049999999999997</v>
      </c>
      <c r="F248" s="1163" t="s">
        <v>401</v>
      </c>
      <c r="G248" s="1163" t="s">
        <v>2587</v>
      </c>
      <c r="H248" s="1166"/>
      <c r="I248" s="1167"/>
      <c r="J248" s="1166"/>
      <c r="K248" s="1167"/>
      <c r="L248" s="153">
        <f t="shared" si="15"/>
        <v>6253</v>
      </c>
      <c r="M248" s="154" t="str">
        <f t="shared" si="16"/>
        <v>TELEPHONE ET TELEX</v>
      </c>
      <c r="N248" s="155">
        <f>+IF(OR($Q248=Parametres!$G$2,$Q248=Parametres!$G$3),I248,C248)</f>
        <v>0</v>
      </c>
      <c r="O248" s="1108">
        <f>+IF(OR($Q248=Parametres!$G$2,$Q248=Parametres!$G$3),J248,D248)</f>
        <v>39.049999999999997</v>
      </c>
      <c r="P248" s="155">
        <f>+IF(OR($Q248=Parametres!$G$2,$Q248=Parametres!$G$3),K248,E248)</f>
        <v>39.049999999999997</v>
      </c>
      <c r="Q248" s="154" t="str">
        <f t="shared" si="17"/>
        <v>7-Dépenses</v>
      </c>
      <c r="R248" s="153" t="str">
        <f t="shared" si="18"/>
        <v>6153</v>
      </c>
      <c r="S248" s="154">
        <f t="shared" si="19"/>
        <v>0</v>
      </c>
      <c r="T248" s="156">
        <f>+VLOOKUP($L248,Data_Validation!$A:$D,1,0)</f>
        <v>6253</v>
      </c>
      <c r="U248" s="156" t="str">
        <f>+VLOOKUP($L248,Data_Validation!$A:$D,3,0)</f>
        <v>Véhicules usagés</v>
      </c>
      <c r="V248" s="156" t="str">
        <f>+VLOOKUP($L248,Data_Validation!$A:$D,4,0)</f>
        <v>Téléphone</v>
      </c>
      <c r="W248" s="156" t="str">
        <f>+VLOOKUP($L248,Data_Validation!$A:$E,5,0)</f>
        <v>$</v>
      </c>
      <c r="X248" s="156">
        <f>+VLOOKUP($L248,Data_Validation!$A:$F,6,0)</f>
        <v>0</v>
      </c>
    </row>
    <row r="249" spans="1:24" ht="15" hidden="1" customHeight="1">
      <c r="A249" s="1163" t="s">
        <v>1237</v>
      </c>
      <c r="B249" s="1164">
        <v>6255</v>
      </c>
      <c r="C249" s="1167">
        <v>0</v>
      </c>
      <c r="D249" s="1167">
        <v>124.27</v>
      </c>
      <c r="E249" s="1167">
        <v>124.27</v>
      </c>
      <c r="F249" s="1163" t="s">
        <v>401</v>
      </c>
      <c r="G249" s="1163" t="s">
        <v>2632</v>
      </c>
      <c r="H249" s="1166"/>
      <c r="I249" s="1165"/>
      <c r="J249" s="1165"/>
      <c r="K249" s="1165"/>
      <c r="L249" s="153">
        <f t="shared" si="15"/>
        <v>6255</v>
      </c>
      <c r="M249" s="154" t="str">
        <f t="shared" si="16"/>
        <v>DEPENSES DIVERS</v>
      </c>
      <c r="N249" s="155">
        <f>+IF(OR($Q249=Parametres!$G$2,$Q249=Parametres!$G$3),I249,C249)</f>
        <v>0</v>
      </c>
      <c r="O249" s="1108">
        <f>+IF(OR($Q249=Parametres!$G$2,$Q249=Parametres!$G$3),J249,D249)</f>
        <v>124.27</v>
      </c>
      <c r="P249" s="155">
        <f>+IF(OR($Q249=Parametres!$G$2,$Q249=Parametres!$G$3),K249,E249)</f>
        <v>124.27</v>
      </c>
      <c r="Q249" s="154" t="str">
        <f t="shared" si="17"/>
        <v>7-Dépenses</v>
      </c>
      <c r="R249" s="153" t="str">
        <f t="shared" si="18"/>
        <v>6155</v>
      </c>
      <c r="S249" s="154">
        <f t="shared" si="19"/>
        <v>0</v>
      </c>
      <c r="T249" s="156">
        <f>+VLOOKUP($L249,Data_Validation!$A:$D,1,0)</f>
        <v>6255</v>
      </c>
      <c r="U249" s="156" t="str">
        <f>+VLOOKUP($L249,Data_Validation!$A:$D,3,0)</f>
        <v>Véhicules usagés</v>
      </c>
      <c r="V249" s="156" t="str">
        <f>+VLOOKUP($L249,Data_Validation!$A:$D,4,0)</f>
        <v>Divers</v>
      </c>
      <c r="W249" s="156" t="str">
        <f>+VLOOKUP($L249,Data_Validation!$A:$E,5,0)</f>
        <v>$</v>
      </c>
      <c r="X249" s="156">
        <f>+VLOOKUP($L249,Data_Validation!$A:$F,6,0)</f>
        <v>0</v>
      </c>
    </row>
    <row r="250" spans="1:24" ht="15" customHeight="1">
      <c r="A250" s="1163" t="s">
        <v>1247</v>
      </c>
      <c r="B250" s="1164">
        <v>6256</v>
      </c>
      <c r="C250" s="1165">
        <v>0</v>
      </c>
      <c r="D250" s="1165">
        <v>110.15</v>
      </c>
      <c r="E250" s="1165">
        <v>110.15</v>
      </c>
      <c r="F250" s="1163" t="s">
        <v>401</v>
      </c>
      <c r="G250" s="1163" t="s">
        <v>2465</v>
      </c>
      <c r="H250" s="1166"/>
      <c r="I250" s="1167"/>
      <c r="J250" s="1166"/>
      <c r="K250" s="1167"/>
      <c r="L250" s="153">
        <f t="shared" si="15"/>
        <v>6256</v>
      </c>
      <c r="M250" s="154" t="str">
        <f t="shared" si="16"/>
        <v>FRAIS REPRESENTATION - USAGE</v>
      </c>
      <c r="N250" s="155">
        <f>+IF(OR($Q250=Parametres!$G$2,$Q250=Parametres!$G$3),I250,C250)</f>
        <v>0</v>
      </c>
      <c r="O250" s="1108">
        <f>+IF(OR($Q250=Parametres!$G$2,$Q250=Parametres!$G$3),J250,D250)</f>
        <v>110.15</v>
      </c>
      <c r="P250" s="155">
        <f>+IF(OR($Q250=Parametres!$G$2,$Q250=Parametres!$G$3),K250,E250)</f>
        <v>110.15</v>
      </c>
      <c r="Q250" s="154" t="str">
        <f t="shared" si="17"/>
        <v>7-Dépenses</v>
      </c>
      <c r="R250" s="153" t="str">
        <f t="shared" si="18"/>
        <v>6156</v>
      </c>
      <c r="S250" s="154">
        <f t="shared" si="19"/>
        <v>0</v>
      </c>
      <c r="T250" s="156">
        <f>+VLOOKUP($L250,Data_Validation!$A:$D,1,0)</f>
        <v>6256</v>
      </c>
      <c r="U250" s="156" t="str">
        <f>+VLOOKUP($L250,Data_Validation!$A:$D,3,0)</f>
        <v>Véhicules usagés</v>
      </c>
      <c r="V250" s="156" t="str">
        <f>+VLOOKUP($L250,Data_Validation!$A:$D,4,0)</f>
        <v>Frais de déplacement</v>
      </c>
      <c r="W250" s="156" t="str">
        <f>+VLOOKUP($L250,Data_Validation!$A:$E,5,0)</f>
        <v>$</v>
      </c>
      <c r="X250" s="156">
        <f>+VLOOKUP($L250,Data_Validation!$A:$F,6,0)</f>
        <v>0</v>
      </c>
    </row>
    <row r="251" spans="1:24" ht="15" hidden="1" customHeight="1">
      <c r="A251" s="1163" t="s">
        <v>1308</v>
      </c>
      <c r="B251" s="1164">
        <v>6259</v>
      </c>
      <c r="C251" s="1167">
        <v>0</v>
      </c>
      <c r="D251" s="1167">
        <v>935.28</v>
      </c>
      <c r="E251" s="1167">
        <v>935.28</v>
      </c>
      <c r="F251" s="1163" t="s">
        <v>401</v>
      </c>
      <c r="G251" s="1163" t="s">
        <v>2657</v>
      </c>
      <c r="H251" s="1166"/>
      <c r="I251" s="1165"/>
      <c r="J251" s="1165"/>
      <c r="K251" s="1165"/>
      <c r="L251" s="153">
        <f t="shared" si="15"/>
        <v>6259</v>
      </c>
      <c r="M251" s="154" t="str">
        <f t="shared" si="16"/>
        <v>SERVICE EXTERIEUR</v>
      </c>
      <c r="N251" s="155">
        <f>+IF(OR($Q251=Parametres!$G$2,$Q251=Parametres!$G$3),I251,C251)</f>
        <v>0</v>
      </c>
      <c r="O251" s="1108">
        <f>+IF(OR($Q251=Parametres!$G$2,$Q251=Parametres!$G$3),J251,D251)</f>
        <v>935.28</v>
      </c>
      <c r="P251" s="155">
        <f>+IF(OR($Q251=Parametres!$G$2,$Q251=Parametres!$G$3),K251,E251)</f>
        <v>935.28</v>
      </c>
      <c r="Q251" s="154" t="str">
        <f t="shared" si="17"/>
        <v>7-Dépenses</v>
      </c>
      <c r="R251" s="153" t="str">
        <f t="shared" si="18"/>
        <v>6159</v>
      </c>
      <c r="S251" s="154">
        <f t="shared" si="19"/>
        <v>0</v>
      </c>
      <c r="T251" s="156">
        <f>+VLOOKUP($L251,Data_Validation!$A:$D,1,0)</f>
        <v>6259</v>
      </c>
      <c r="U251" s="156" t="str">
        <f>+VLOOKUP($L251,Data_Validation!$A:$D,3,0)</f>
        <v>Véhicules usagés</v>
      </c>
      <c r="V251" s="156" t="str">
        <f>+VLOOKUP($L251,Data_Validation!$A:$D,4,0)</f>
        <v>Services extérieurs</v>
      </c>
      <c r="W251" s="156" t="str">
        <f>+VLOOKUP($L251,Data_Validation!$A:$E,5,0)</f>
        <v>$</v>
      </c>
      <c r="X251" s="156">
        <f>+VLOOKUP($L251,Data_Validation!$A:$F,6,0)</f>
        <v>0</v>
      </c>
    </row>
    <row r="252" spans="1:24" ht="15.75" hidden="1" customHeight="1">
      <c r="A252" s="1163" t="s">
        <v>1333</v>
      </c>
      <c r="B252" s="1164">
        <v>6261</v>
      </c>
      <c r="C252" s="1165">
        <v>0</v>
      </c>
      <c r="D252" s="1165">
        <v>517.74</v>
      </c>
      <c r="E252" s="1165">
        <v>517.74</v>
      </c>
      <c r="F252" s="1163" t="s">
        <v>401</v>
      </c>
      <c r="G252" s="1163" t="s">
        <v>2648</v>
      </c>
      <c r="H252" s="1166"/>
      <c r="I252" s="1167"/>
      <c r="J252" s="1166"/>
      <c r="K252" s="1167"/>
      <c r="L252" s="153">
        <f t="shared" si="15"/>
        <v>6261</v>
      </c>
      <c r="M252" s="154" t="str">
        <f t="shared" si="16"/>
        <v>DEPRECIATION EQUIP. &amp; FIXTURES</v>
      </c>
      <c r="N252" s="155">
        <f>+IF(OR($Q252=Parametres!$G$2,$Q252=Parametres!$G$3),I252,C252)</f>
        <v>0</v>
      </c>
      <c r="O252" s="1108">
        <f>+IF(OR($Q252=Parametres!$G$2,$Q252=Parametres!$G$3),J252,D252)</f>
        <v>517.74</v>
      </c>
      <c r="P252" s="155">
        <f>+IF(OR($Q252=Parametres!$G$2,$Q252=Parametres!$G$3),K252,E252)</f>
        <v>517.74</v>
      </c>
      <c r="Q252" s="154" t="str">
        <f t="shared" si="17"/>
        <v>7-Dépenses</v>
      </c>
      <c r="R252" s="153" t="str">
        <f t="shared" si="18"/>
        <v>6161</v>
      </c>
      <c r="S252" s="154">
        <f t="shared" si="19"/>
        <v>0</v>
      </c>
      <c r="T252" s="156">
        <f>+VLOOKUP($L252,Data_Validation!$A:$D,1,0)</f>
        <v>6261</v>
      </c>
      <c r="U252" s="156" t="str">
        <f>+VLOOKUP($L252,Data_Validation!$A:$D,3,0)</f>
        <v>Véhicules usagés</v>
      </c>
      <c r="V252" s="156" t="str">
        <f>+VLOOKUP($L252,Data_Validation!$A:$D,4,0)</f>
        <v>Amortissement</v>
      </c>
      <c r="W252" s="156" t="str">
        <f>+VLOOKUP($L252,Data_Validation!$A:$E,5,0)</f>
        <v>$</v>
      </c>
      <c r="X252" s="156">
        <f>+VLOOKUP($L252,Data_Validation!$A:$F,6,0)</f>
        <v>0</v>
      </c>
    </row>
    <row r="253" spans="1:24" ht="15" hidden="1" customHeight="1">
      <c r="A253" s="1163" t="s">
        <v>1380</v>
      </c>
      <c r="B253" s="1164">
        <v>6281</v>
      </c>
      <c r="C253" s="1167">
        <v>0</v>
      </c>
      <c r="D253" s="1167">
        <v>414.73</v>
      </c>
      <c r="E253" s="1167">
        <v>414.73</v>
      </c>
      <c r="F253" s="1163" t="s">
        <v>401</v>
      </c>
      <c r="G253" s="1163" t="s">
        <v>2599</v>
      </c>
      <c r="H253" s="1166"/>
      <c r="I253" s="1165"/>
      <c r="J253" s="1165"/>
      <c r="K253" s="1165"/>
      <c r="L253" s="153">
        <f t="shared" si="15"/>
        <v>6281</v>
      </c>
      <c r="M253" s="154" t="str">
        <f t="shared" si="16"/>
        <v>CHAUFFAGE,ELECTRICITE,EAU-USAGE</v>
      </c>
      <c r="N253" s="155">
        <f>+IF(OR($Q253=Parametres!$G$2,$Q253=Parametres!$G$3),I253,C253)</f>
        <v>0</v>
      </c>
      <c r="O253" s="1108">
        <f>+IF(OR($Q253=Parametres!$G$2,$Q253=Parametres!$G$3),J253,D253)</f>
        <v>414.73</v>
      </c>
      <c r="P253" s="155">
        <f>+IF(OR($Q253=Parametres!$G$2,$Q253=Parametres!$G$3),K253,E253)</f>
        <v>414.73</v>
      </c>
      <c r="Q253" s="154" t="str">
        <f t="shared" si="17"/>
        <v>7-Dépenses</v>
      </c>
      <c r="R253" s="153" t="str">
        <f t="shared" si="18"/>
        <v>6181</v>
      </c>
      <c r="S253" s="154">
        <f t="shared" si="19"/>
        <v>0</v>
      </c>
      <c r="T253" s="156">
        <f>+VLOOKUP($L253,Data_Validation!$A:$D,1,0)</f>
        <v>6281</v>
      </c>
      <c r="U253" s="156" t="str">
        <f>+VLOOKUP($L253,Data_Validation!$A:$D,3,0)</f>
        <v>Véhicules usagés</v>
      </c>
      <c r="V253" s="156" t="str">
        <f>+VLOOKUP($L253,Data_Validation!$A:$D,4,0)</f>
        <v>Chauffage, éclairage</v>
      </c>
      <c r="W253" s="156" t="str">
        <f>+VLOOKUP($L253,Data_Validation!$A:$E,5,0)</f>
        <v>$</v>
      </c>
      <c r="X253" s="156">
        <f>+VLOOKUP($L253,Data_Validation!$A:$F,6,0)</f>
        <v>0</v>
      </c>
    </row>
    <row r="254" spans="1:24" ht="15" hidden="1" customHeight="1">
      <c r="A254" s="1163" t="s">
        <v>1462</v>
      </c>
      <c r="B254" s="1164">
        <v>6282</v>
      </c>
      <c r="C254" s="1165">
        <v>0</v>
      </c>
      <c r="D254" s="1165">
        <v>3120</v>
      </c>
      <c r="E254" s="1165">
        <v>3120</v>
      </c>
      <c r="F254" s="1163" t="s">
        <v>401</v>
      </c>
      <c r="G254" s="1163" t="s">
        <v>2704</v>
      </c>
      <c r="H254" s="1166"/>
      <c r="I254" s="1167"/>
      <c r="J254" s="1166"/>
      <c r="K254" s="1167"/>
      <c r="L254" s="153">
        <f t="shared" si="15"/>
        <v>6282</v>
      </c>
      <c r="M254" s="154" t="str">
        <f t="shared" si="16"/>
        <v>LOYER - USAGE</v>
      </c>
      <c r="N254" s="155">
        <f>+IF(OR($Q254=Parametres!$G$2,$Q254=Parametres!$G$3),I254,C254)</f>
        <v>0</v>
      </c>
      <c r="O254" s="1108">
        <f>+IF(OR($Q254=Parametres!$G$2,$Q254=Parametres!$G$3),J254,D254)</f>
        <v>3120</v>
      </c>
      <c r="P254" s="155">
        <f>+IF(OR($Q254=Parametres!$G$2,$Q254=Parametres!$G$3),K254,E254)</f>
        <v>3120</v>
      </c>
      <c r="Q254" s="154" t="str">
        <f t="shared" si="17"/>
        <v>7-Dépenses</v>
      </c>
      <c r="R254" s="153" t="str">
        <f t="shared" si="18"/>
        <v>6182</v>
      </c>
      <c r="S254" s="154">
        <f t="shared" si="19"/>
        <v>0</v>
      </c>
      <c r="T254" s="156">
        <f>+VLOOKUP($L254,Data_Validation!$A:$D,1,0)</f>
        <v>6282</v>
      </c>
      <c r="U254" s="156" t="str">
        <f>+VLOOKUP($L254,Data_Validation!$A:$D,3,0)</f>
        <v>Véhicules usagés</v>
      </c>
      <c r="V254" s="156" t="str">
        <f>+VLOOKUP($L254,Data_Validation!$A:$D,4,0)</f>
        <v>Loyer</v>
      </c>
      <c r="W254" s="156" t="str">
        <f>+VLOOKUP($L254,Data_Validation!$A:$E,5,0)</f>
        <v>$</v>
      </c>
      <c r="X254" s="156">
        <f>+VLOOKUP($L254,Data_Validation!$A:$F,6,0)</f>
        <v>0</v>
      </c>
    </row>
    <row r="255" spans="1:24" ht="15" hidden="1" customHeight="1">
      <c r="A255" s="1163" t="s">
        <v>1290</v>
      </c>
      <c r="B255" s="1164">
        <v>6286</v>
      </c>
      <c r="C255" s="1167">
        <v>0</v>
      </c>
      <c r="D255" s="1167">
        <v>512.52</v>
      </c>
      <c r="E255" s="1167">
        <v>512.52</v>
      </c>
      <c r="F255" s="1163" t="s">
        <v>401</v>
      </c>
      <c r="G255" s="1163" t="s">
        <v>2589</v>
      </c>
      <c r="H255" s="1166"/>
      <c r="I255" s="1165"/>
      <c r="J255" s="1165"/>
      <c r="K255" s="1165"/>
      <c r="L255" s="153">
        <f t="shared" si="15"/>
        <v>6286</v>
      </c>
      <c r="M255" s="154" t="str">
        <f t="shared" si="16"/>
        <v>ASSURANCE BATISSE &amp; AMEL.-USAGE</v>
      </c>
      <c r="N255" s="155">
        <f>+IF(OR($Q255=Parametres!$G$2,$Q255=Parametres!$G$3),I255,C255)</f>
        <v>0</v>
      </c>
      <c r="O255" s="1108">
        <f>+IF(OR($Q255=Parametres!$G$2,$Q255=Parametres!$G$3),J255,D255)</f>
        <v>512.52</v>
      </c>
      <c r="P255" s="155">
        <f>+IF(OR($Q255=Parametres!$G$2,$Q255=Parametres!$G$3),K255,E255)</f>
        <v>512.52</v>
      </c>
      <c r="Q255" s="154" t="str">
        <f t="shared" si="17"/>
        <v>7-Dépenses</v>
      </c>
      <c r="R255" s="153" t="str">
        <f t="shared" si="18"/>
        <v>6186</v>
      </c>
      <c r="S255" s="154">
        <f t="shared" si="19"/>
        <v>0</v>
      </c>
      <c r="T255" s="156">
        <f>+VLOOKUP($L255,Data_Validation!$A:$D,1,0)</f>
        <v>6286</v>
      </c>
      <c r="U255" s="156" t="str">
        <f>+VLOOKUP($L255,Data_Validation!$A:$D,3,0)</f>
        <v>Véhicules usagés</v>
      </c>
      <c r="V255" s="156" t="str">
        <f>+VLOOKUP($L255,Data_Validation!$A:$D,4,0)</f>
        <v>Assurances</v>
      </c>
      <c r="W255" s="156" t="str">
        <f>+VLOOKUP($L255,Data_Validation!$A:$E,5,0)</f>
        <v>$</v>
      </c>
      <c r="X255" s="156">
        <f>+VLOOKUP($L255,Data_Validation!$A:$F,6,0)</f>
        <v>0</v>
      </c>
    </row>
    <row r="256" spans="1:24" ht="15.75" hidden="1" customHeight="1">
      <c r="A256" s="1163" t="s">
        <v>1203</v>
      </c>
      <c r="B256" s="1164">
        <v>6287</v>
      </c>
      <c r="C256" s="1165">
        <v>0</v>
      </c>
      <c r="D256" s="1165">
        <v>591.6</v>
      </c>
      <c r="E256" s="1165">
        <v>591.6</v>
      </c>
      <c r="F256" s="1163" t="s">
        <v>401</v>
      </c>
      <c r="G256" s="1163" t="s">
        <v>2609</v>
      </c>
      <c r="H256" s="1166"/>
      <c r="I256" s="1167"/>
      <c r="J256" s="1166"/>
      <c r="K256" s="1167"/>
      <c r="L256" s="153">
        <f t="shared" si="15"/>
        <v>6287</v>
      </c>
      <c r="M256" s="154" t="str">
        <f t="shared" si="16"/>
        <v>TAXES FONCIERES - USAGE</v>
      </c>
      <c r="N256" s="155">
        <f>+IF(OR($Q256=Parametres!$G$2,$Q256=Parametres!$G$3),I256,C256)</f>
        <v>0</v>
      </c>
      <c r="O256" s="1108">
        <f>+IF(OR($Q256=Parametres!$G$2,$Q256=Parametres!$G$3),J256,D256)</f>
        <v>591.6</v>
      </c>
      <c r="P256" s="155">
        <f>+IF(OR($Q256=Parametres!$G$2,$Q256=Parametres!$G$3),K256,E256)</f>
        <v>591.6</v>
      </c>
      <c r="Q256" s="154" t="str">
        <f t="shared" si="17"/>
        <v>7-Dépenses</v>
      </c>
      <c r="R256" s="153" t="str">
        <f t="shared" si="18"/>
        <v>6187</v>
      </c>
      <c r="S256" s="154">
        <f t="shared" si="19"/>
        <v>0</v>
      </c>
      <c r="T256" s="156">
        <f>+VLOOKUP($L256,Data_Validation!$A:$D,1,0)</f>
        <v>6287</v>
      </c>
      <c r="U256" s="156" t="str">
        <f>+VLOOKUP($L256,Data_Validation!$A:$D,3,0)</f>
        <v>Véhicules usagés</v>
      </c>
      <c r="V256" s="156" t="str">
        <f>+VLOOKUP($L256,Data_Validation!$A:$D,4,0)</f>
        <v>Taxes foncières</v>
      </c>
      <c r="W256" s="156" t="str">
        <f>+VLOOKUP($L256,Data_Validation!$A:$E,5,0)</f>
        <v>$</v>
      </c>
      <c r="X256" s="156">
        <f>+VLOOKUP($L256,Data_Validation!$A:$F,6,0)</f>
        <v>0</v>
      </c>
    </row>
    <row r="257" spans="1:24" ht="15" hidden="1" customHeight="1">
      <c r="A257" s="1163" t="s">
        <v>1393</v>
      </c>
      <c r="B257" s="1164">
        <v>6293</v>
      </c>
      <c r="C257" s="1165">
        <v>0</v>
      </c>
      <c r="D257" s="1165">
        <v>393.6</v>
      </c>
      <c r="E257" s="1165">
        <v>393.6</v>
      </c>
      <c r="F257" s="1163" t="s">
        <v>401</v>
      </c>
      <c r="G257" s="1163" t="s">
        <v>2592</v>
      </c>
      <c r="H257" s="1171"/>
      <c r="I257" s="1172"/>
      <c r="J257" s="1171"/>
      <c r="K257" s="1172"/>
      <c r="L257" s="153">
        <f t="shared" si="15"/>
        <v>6293</v>
      </c>
      <c r="M257" s="154" t="str">
        <f t="shared" si="16"/>
        <v>AUTRE TAXES - USAGES</v>
      </c>
      <c r="N257" s="155">
        <f>+IF(OR($Q257=Parametres!$G$2,$Q257=Parametres!$G$3),I257,C257)</f>
        <v>0</v>
      </c>
      <c r="O257" s="1108">
        <f>+IF(OR($Q257=Parametres!$G$2,$Q257=Parametres!$G$3),J257,D257)</f>
        <v>393.6</v>
      </c>
      <c r="P257" s="155">
        <f>+IF(OR($Q257=Parametres!$G$2,$Q257=Parametres!$G$3),K257,E257)</f>
        <v>393.6</v>
      </c>
      <c r="Q257" s="154" t="str">
        <f t="shared" si="17"/>
        <v>7-Dépenses</v>
      </c>
      <c r="R257" s="153" t="str">
        <f t="shared" si="18"/>
        <v>6193</v>
      </c>
      <c r="S257" s="154">
        <f t="shared" si="19"/>
        <v>0</v>
      </c>
      <c r="T257" s="156">
        <f>+VLOOKUP($L257,Data_Validation!$A:$D,1,0)</f>
        <v>6293</v>
      </c>
      <c r="U257" s="156" t="str">
        <f>+VLOOKUP($L257,Data_Validation!$A:$D,3,0)</f>
        <v>Véhicules usagés</v>
      </c>
      <c r="V257" s="156" t="str">
        <f>+VLOOKUP($L257,Data_Validation!$A:$D,4,0)</f>
        <v>Taxes d`affaires</v>
      </c>
      <c r="W257" s="156" t="str">
        <f>+VLOOKUP($L257,Data_Validation!$A:$E,5,0)</f>
        <v>$</v>
      </c>
      <c r="X257" s="156">
        <f>+VLOOKUP($L257,Data_Validation!$A:$F,6,0)</f>
        <v>0</v>
      </c>
    </row>
    <row r="258" spans="1:24" ht="15" hidden="1" customHeight="1">
      <c r="A258" s="1163" t="s">
        <v>1318</v>
      </c>
      <c r="B258" s="1164">
        <v>6294</v>
      </c>
      <c r="C258" s="1165">
        <v>0</v>
      </c>
      <c r="D258" s="1165">
        <v>734.8</v>
      </c>
      <c r="E258" s="1165">
        <v>734.8</v>
      </c>
      <c r="F258" s="1163" t="s">
        <v>401</v>
      </c>
      <c r="G258" s="1163" t="s">
        <v>2630</v>
      </c>
      <c r="H258" s="1171"/>
      <c r="I258" s="1172"/>
      <c r="J258" s="1171"/>
      <c r="K258" s="1172"/>
      <c r="L258" s="153">
        <f t="shared" ref="L258:L321" si="20">+B258</f>
        <v>6294</v>
      </c>
      <c r="M258" s="154" t="str">
        <f t="shared" ref="M258:M321" si="21">+A258</f>
        <v>FRAIS PROFESSIONNEL-USAGE</v>
      </c>
      <c r="N258" s="155">
        <f>+IF(OR($Q258=Parametres!$G$2,$Q258=Parametres!$G$3),I258,C258)</f>
        <v>0</v>
      </c>
      <c r="O258" s="1108">
        <f>+IF(OR($Q258=Parametres!$G$2,$Q258=Parametres!$G$3),J258,D258)</f>
        <v>734.8</v>
      </c>
      <c r="P258" s="155">
        <f>+IF(OR($Q258=Parametres!$G$2,$Q258=Parametres!$G$3),K258,E258)</f>
        <v>734.8</v>
      </c>
      <c r="Q258" s="154" t="str">
        <f t="shared" ref="Q258:Q321" si="22">+F258</f>
        <v>7-Dépenses</v>
      </c>
      <c r="R258" s="153" t="str">
        <f t="shared" ref="R258:R321" si="23">+G258</f>
        <v>6194</v>
      </c>
      <c r="S258" s="154">
        <f t="shared" ref="S258:S321" si="24">+H258</f>
        <v>0</v>
      </c>
      <c r="T258" s="156">
        <f>+VLOOKUP($L258,Data_Validation!$A:$D,1,0)</f>
        <v>6294</v>
      </c>
      <c r="U258" s="156" t="str">
        <f>+VLOOKUP($L258,Data_Validation!$A:$D,3,0)</f>
        <v>Véhicules usagés</v>
      </c>
      <c r="V258" s="156" t="str">
        <f>+VLOOKUP($L258,Data_Validation!$A:$D,4,0)</f>
        <v>Honoraires</v>
      </c>
      <c r="W258" s="156" t="str">
        <f>+VLOOKUP($L258,Data_Validation!$A:$E,5,0)</f>
        <v>$</v>
      </c>
      <c r="X258" s="156">
        <f>+VLOOKUP($L258,Data_Validation!$A:$F,6,0)</f>
        <v>0</v>
      </c>
    </row>
    <row r="259" spans="1:24" ht="15" hidden="1" customHeight="1">
      <c r="A259" s="1163" t="s">
        <v>1403</v>
      </c>
      <c r="B259" s="1164">
        <v>6403</v>
      </c>
      <c r="C259" s="1165">
        <v>0</v>
      </c>
      <c r="D259" s="1165">
        <v>2022.16</v>
      </c>
      <c r="E259" s="1165">
        <v>2022.16</v>
      </c>
      <c r="F259" s="1163" t="s">
        <v>401</v>
      </c>
      <c r="G259" s="1163" t="s">
        <v>2462</v>
      </c>
      <c r="H259" s="1171"/>
      <c r="I259" s="1172"/>
      <c r="J259" s="1171"/>
      <c r="K259" s="1172"/>
      <c r="L259" s="153">
        <f t="shared" si="20"/>
        <v>6403</v>
      </c>
      <c r="M259" s="154" t="str">
        <f t="shared" si="21"/>
        <v>RELAT. A LA CLIENTELE &amp; AJUST</v>
      </c>
      <c r="N259" s="155">
        <f>+IF(OR($Q259=Parametres!$G$2,$Q259=Parametres!$G$3),I259,C259)</f>
        <v>0</v>
      </c>
      <c r="O259" s="1106">
        <f>+IF(OR($Q259=Parametres!$G$2,$Q259=Parametres!$G$3),J259,D259)</f>
        <v>2022.16</v>
      </c>
      <c r="P259" s="155">
        <f>+IF(OR($Q259=Parametres!$G$2,$Q259=Parametres!$G$3),K259,E259)</f>
        <v>2022.16</v>
      </c>
      <c r="Q259" s="154" t="str">
        <f t="shared" si="22"/>
        <v>7-Dépenses</v>
      </c>
      <c r="R259" s="153" t="str">
        <f t="shared" si="23"/>
        <v>6112</v>
      </c>
      <c r="S259" s="154">
        <f t="shared" si="24"/>
        <v>0</v>
      </c>
      <c r="T259" s="156">
        <f>+VLOOKUP($L259,Data_Validation!$A:$D,1,0)</f>
        <v>6403</v>
      </c>
      <c r="U259" s="156" t="str">
        <f>+VLOOKUP($L259,Data_Validation!$A:$D,3,0)</f>
        <v>Service</v>
      </c>
      <c r="V259" s="156" t="str">
        <f>+VLOOKUP($L259,Data_Validation!$A:$D,4,0)</f>
        <v>Service gratuit 2</v>
      </c>
      <c r="W259" s="156" t="str">
        <f>+VLOOKUP($L259,Data_Validation!$A:$E,5,0)</f>
        <v>$</v>
      </c>
      <c r="X259" s="156">
        <f>+VLOOKUP($L259,Data_Validation!$A:$F,6,0)</f>
        <v>0</v>
      </c>
    </row>
    <row r="260" spans="1:24" ht="15" hidden="1" customHeight="1">
      <c r="A260" s="1163" t="s">
        <v>1450</v>
      </c>
      <c r="B260" s="1164">
        <v>6412</v>
      </c>
      <c r="C260" s="1165">
        <v>0</v>
      </c>
      <c r="D260" s="1165">
        <v>24.09</v>
      </c>
      <c r="E260" s="1165">
        <v>24.09</v>
      </c>
      <c r="F260" s="1163" t="s">
        <v>401</v>
      </c>
      <c r="G260" s="1163" t="s">
        <v>2462</v>
      </c>
      <c r="H260" s="1171"/>
      <c r="I260" s="1172"/>
      <c r="J260" s="1171"/>
      <c r="K260" s="1172"/>
      <c r="L260" s="153">
        <f t="shared" si="20"/>
        <v>6412</v>
      </c>
      <c r="M260" s="154" t="str">
        <f t="shared" si="21"/>
        <v>AUTORISATION &amp; GAR./VEH. USA</v>
      </c>
      <c r="N260" s="155">
        <f>+IF(OR($Q260=Parametres!$G$2,$Q260=Parametres!$G$3),I260,C260)</f>
        <v>0</v>
      </c>
      <c r="O260" s="1108">
        <f>+IF(OR($Q260=Parametres!$G$2,$Q260=Parametres!$G$3),J260,D260)</f>
        <v>24.09</v>
      </c>
      <c r="P260" s="155">
        <f>+IF(OR($Q260=Parametres!$G$2,$Q260=Parametres!$G$3),K260,E260)</f>
        <v>24.09</v>
      </c>
      <c r="Q260" s="154" t="str">
        <f t="shared" si="22"/>
        <v>7-Dépenses</v>
      </c>
      <c r="R260" s="153" t="str">
        <f t="shared" si="23"/>
        <v>6112</v>
      </c>
      <c r="S260" s="154">
        <f t="shared" si="24"/>
        <v>0</v>
      </c>
      <c r="T260" s="156">
        <f>+VLOOKUP($L260,Data_Validation!$A:$D,1,0)</f>
        <v>6412</v>
      </c>
      <c r="U260" s="156" t="str">
        <f>+VLOOKUP($L260,Data_Validation!$A:$D,3,0)</f>
        <v>Service</v>
      </c>
      <c r="V260" s="156" t="str">
        <f>+VLOOKUP($L260,Data_Validation!$A:$D,4,0)</f>
        <v>Service gratuit 2</v>
      </c>
      <c r="W260" s="156" t="str">
        <f>+VLOOKUP($L260,Data_Validation!$A:$E,5,0)</f>
        <v>$</v>
      </c>
      <c r="X260" s="156">
        <f>+VLOOKUP($L260,Data_Validation!$A:$F,6,0)</f>
        <v>0</v>
      </c>
    </row>
    <row r="261" spans="1:24" ht="15" hidden="1" customHeight="1">
      <c r="A261" s="1163" t="s">
        <v>1374</v>
      </c>
      <c r="B261" s="1164">
        <v>6414</v>
      </c>
      <c r="C261" s="1165">
        <v>0</v>
      </c>
      <c r="D261" s="1165">
        <v>6918.89</v>
      </c>
      <c r="E261" s="1165">
        <v>6918.89</v>
      </c>
      <c r="F261" s="1163" t="s">
        <v>401</v>
      </c>
      <c r="G261" s="1163" t="s">
        <v>2110</v>
      </c>
      <c r="H261" s="1168"/>
      <c r="I261" s="1174"/>
      <c r="J261" s="1174"/>
      <c r="K261" s="1174"/>
      <c r="L261" s="153">
        <f t="shared" si="20"/>
        <v>6414</v>
      </c>
      <c r="M261" s="154" t="str">
        <f t="shared" si="21"/>
        <v>PUBLICITE</v>
      </c>
      <c r="N261" s="155">
        <f>+IF(OR($Q261=Parametres!$G$2,$Q261=Parametres!$G$3),I261,C261)</f>
        <v>0</v>
      </c>
      <c r="O261" s="1108">
        <f>+IF(OR($Q261=Parametres!$G$2,$Q261=Parametres!$G$3),J261,D261)</f>
        <v>6918.89</v>
      </c>
      <c r="P261" s="155">
        <f>+IF(OR($Q261=Parametres!$G$2,$Q261=Parametres!$G$3),K261,E261)</f>
        <v>6918.89</v>
      </c>
      <c r="Q261" s="154" t="str">
        <f t="shared" si="22"/>
        <v>7-Dépenses</v>
      </c>
      <c r="R261" s="153" t="str">
        <f t="shared" si="23"/>
        <v>6114</v>
      </c>
      <c r="S261" s="154">
        <f t="shared" si="24"/>
        <v>0</v>
      </c>
      <c r="T261" s="156">
        <f>+VLOOKUP($L261,Data_Validation!$A:$D,1,0)</f>
        <v>6414</v>
      </c>
      <c r="U261" s="156" t="str">
        <f>+VLOOKUP($L261,Data_Validation!$A:$D,3,0)</f>
        <v>Service</v>
      </c>
      <c r="V261" s="156" t="str">
        <f>+VLOOKUP($L261,Data_Validation!$A:$D,4,0)</f>
        <v>Publicité 2</v>
      </c>
      <c r="W261" s="156" t="str">
        <f>+VLOOKUP($L261,Data_Validation!$A:$E,5,0)</f>
        <v>$</v>
      </c>
      <c r="X261" s="156">
        <f>+VLOOKUP($L261,Data_Validation!$A:$F,6,0)</f>
        <v>0</v>
      </c>
    </row>
    <row r="262" spans="1:24" ht="15.75" hidden="1" customHeight="1">
      <c r="A262" s="1163" t="s">
        <v>1259</v>
      </c>
      <c r="B262" s="1164">
        <v>6421</v>
      </c>
      <c r="C262" s="1165">
        <v>0</v>
      </c>
      <c r="D262" s="1165">
        <v>3384.86</v>
      </c>
      <c r="E262" s="1165">
        <v>3384.86</v>
      </c>
      <c r="F262" s="1163" t="s">
        <v>401</v>
      </c>
      <c r="G262" s="1163" t="s">
        <v>2643</v>
      </c>
      <c r="H262" s="1168"/>
      <c r="I262" s="1169"/>
      <c r="J262" s="1170"/>
      <c r="K262" s="1169"/>
      <c r="L262" s="153">
        <f t="shared" si="20"/>
        <v>6421</v>
      </c>
      <c r="M262" s="154" t="str">
        <f t="shared" si="21"/>
        <v>SALAIRES - PROPRIETAIRES</v>
      </c>
      <c r="N262" s="155">
        <f>+IF(OR($Q262=Parametres!$G$2,$Q262=Parametres!$G$3),I262,C262)</f>
        <v>0</v>
      </c>
      <c r="O262" s="1108">
        <f>+IF(OR($Q262=Parametres!$G$2,$Q262=Parametres!$G$3),J262,D262)</f>
        <v>3384.86</v>
      </c>
      <c r="P262" s="155">
        <f>+IF(OR($Q262=Parametres!$G$2,$Q262=Parametres!$G$3),K262,E262)</f>
        <v>3384.86</v>
      </c>
      <c r="Q262" s="154" t="str">
        <f t="shared" si="22"/>
        <v>7-Dépenses</v>
      </c>
      <c r="R262" s="153" t="str">
        <f t="shared" si="23"/>
        <v>6121</v>
      </c>
      <c r="S262" s="154">
        <f t="shared" si="24"/>
        <v>0</v>
      </c>
      <c r="T262" s="156">
        <f>+VLOOKUP($L262,Data_Validation!$A:$D,1,0)</f>
        <v>6421</v>
      </c>
      <c r="U262" s="156" t="str">
        <f>+VLOOKUP($L262,Data_Validation!$A:$D,3,0)</f>
        <v>Service</v>
      </c>
      <c r="V262" s="156" t="str">
        <f>+VLOOKUP($L262,Data_Validation!$A:$D,4,0)</f>
        <v>Salaires propriétaire</v>
      </c>
      <c r="W262" s="156" t="str">
        <f>+VLOOKUP($L262,Data_Validation!$A:$E,5,0)</f>
        <v>$</v>
      </c>
      <c r="X262" s="156">
        <f>+VLOOKUP($L262,Data_Validation!$A:$F,6,0)</f>
        <v>0</v>
      </c>
    </row>
    <row r="263" spans="1:24" ht="15" hidden="1" customHeight="1">
      <c r="A263" s="1163" t="s">
        <v>2619</v>
      </c>
      <c r="B263" s="1164">
        <v>6422</v>
      </c>
      <c r="C263" s="1165">
        <v>0</v>
      </c>
      <c r="D263" s="1165">
        <v>11297.58</v>
      </c>
      <c r="E263" s="1165">
        <v>11297.58</v>
      </c>
      <c r="F263" s="1163" t="s">
        <v>401</v>
      </c>
      <c r="G263" s="1163" t="s">
        <v>2621</v>
      </c>
      <c r="H263" s="1171"/>
      <c r="I263" s="1172"/>
      <c r="J263" s="1171"/>
      <c r="K263" s="1172"/>
      <c r="L263" s="153">
        <f t="shared" si="20"/>
        <v>6422</v>
      </c>
      <c r="M263" s="154" t="str">
        <f t="shared" si="21"/>
        <v>SAL SUPERVISION / GERANT</v>
      </c>
      <c r="N263" s="155">
        <f>+IF(OR($Q263=Parametres!$G$2,$Q263=Parametres!$G$3),I263,C263)</f>
        <v>0</v>
      </c>
      <c r="O263" s="1108">
        <f>+IF(OR($Q263=Parametres!$G$2,$Q263=Parametres!$G$3),J263,D263)</f>
        <v>11297.58</v>
      </c>
      <c r="P263" s="155">
        <f>+IF(OR($Q263=Parametres!$G$2,$Q263=Parametres!$G$3),K263,E263)</f>
        <v>11297.58</v>
      </c>
      <c r="Q263" s="154" t="str">
        <f t="shared" si="22"/>
        <v>7-Dépenses</v>
      </c>
      <c r="R263" s="153" t="str">
        <f t="shared" si="23"/>
        <v>6122</v>
      </c>
      <c r="S263" s="154">
        <f t="shared" si="24"/>
        <v>0</v>
      </c>
      <c r="T263" s="156">
        <f>+VLOOKUP($L263,Data_Validation!$A:$D,1,0)</f>
        <v>6422</v>
      </c>
      <c r="U263" s="156" t="str">
        <f>+VLOOKUP($L263,Data_Validation!$A:$D,3,0)</f>
        <v>Service</v>
      </c>
      <c r="V263" s="156" t="str">
        <f>+VLOOKUP($L263,Data_Validation!$A:$D,4,0)</f>
        <v>Salaires cadres</v>
      </c>
      <c r="W263" s="156" t="str">
        <f>+VLOOKUP($L263,Data_Validation!$A:$E,5,0)</f>
        <v>$</v>
      </c>
      <c r="X263" s="156">
        <f>+VLOOKUP($L263,Data_Validation!$A:$F,6,0)</f>
        <v>0</v>
      </c>
    </row>
    <row r="264" spans="1:24" ht="15" hidden="1" customHeight="1">
      <c r="A264" s="1163" t="s">
        <v>1266</v>
      </c>
      <c r="B264" s="1164">
        <v>6423</v>
      </c>
      <c r="C264" s="1165">
        <v>0</v>
      </c>
      <c r="D264" s="1165">
        <v>7868.75</v>
      </c>
      <c r="E264" s="1165">
        <v>7868.75</v>
      </c>
      <c r="F264" s="1163" t="s">
        <v>401</v>
      </c>
      <c r="G264" s="1163" t="s">
        <v>2674</v>
      </c>
      <c r="H264" s="1171"/>
      <c r="I264" s="1173"/>
      <c r="J264" s="1173"/>
      <c r="K264" s="1173"/>
      <c r="L264" s="153">
        <f t="shared" si="20"/>
        <v>6423</v>
      </c>
      <c r="M264" s="154" t="str">
        <f t="shared" si="21"/>
        <v>SAL. &amp; RENUM. CLERICAL</v>
      </c>
      <c r="N264" s="155">
        <f>+IF(OR($Q264=Parametres!$G$2,$Q264=Parametres!$G$3),I264,C264)</f>
        <v>0</v>
      </c>
      <c r="O264" s="1106">
        <f>+IF(OR($Q264=Parametres!$G$2,$Q264=Parametres!$G$3),J264,D264)</f>
        <v>7868.75</v>
      </c>
      <c r="P264" s="155">
        <f>+IF(OR($Q264=Parametres!$G$2,$Q264=Parametres!$G$3),K264,E264)</f>
        <v>7868.75</v>
      </c>
      <c r="Q264" s="154" t="str">
        <f t="shared" si="22"/>
        <v>7-Dépenses</v>
      </c>
      <c r="R264" s="153" t="str">
        <f t="shared" si="23"/>
        <v>6123</v>
      </c>
      <c r="S264" s="154">
        <f t="shared" si="24"/>
        <v>0</v>
      </c>
      <c r="T264" s="156">
        <f>+VLOOKUP($L264,Data_Validation!$A:$D,1,0)</f>
        <v>6423</v>
      </c>
      <c r="U264" s="156" t="str">
        <f>+VLOOKUP($L264,Data_Validation!$A:$D,3,0)</f>
        <v>Service</v>
      </c>
      <c r="V264" s="156" t="str">
        <f>+VLOOKUP($L264,Data_Validation!$A:$D,4,0)</f>
        <v>Salaires commis</v>
      </c>
      <c r="W264" s="156" t="str">
        <f>+VLOOKUP($L264,Data_Validation!$A:$E,5,0)</f>
        <v>$</v>
      </c>
      <c r="X264" s="156">
        <f>+VLOOKUP($L264,Data_Validation!$A:$F,6,0)</f>
        <v>0</v>
      </c>
    </row>
    <row r="265" spans="1:24" ht="15" hidden="1" customHeight="1">
      <c r="A265" s="1163" t="s">
        <v>1249</v>
      </c>
      <c r="B265" s="1164">
        <v>6424</v>
      </c>
      <c r="C265" s="1165">
        <v>0</v>
      </c>
      <c r="D265" s="1165">
        <v>15758.61</v>
      </c>
      <c r="E265" s="1165">
        <v>15758.61</v>
      </c>
      <c r="F265" s="1163" t="s">
        <v>401</v>
      </c>
      <c r="G265" s="1163" t="s">
        <v>2730</v>
      </c>
      <c r="H265" s="1171"/>
      <c r="I265" s="1171"/>
      <c r="J265" s="1171"/>
      <c r="K265" s="1171"/>
      <c r="L265" s="153">
        <f t="shared" si="20"/>
        <v>6424</v>
      </c>
      <c r="M265" s="154" t="str">
        <f t="shared" si="21"/>
        <v>SALAIRES &amp; RENUM. - AUTRES</v>
      </c>
      <c r="N265" s="155">
        <f>+IF(OR($Q265=Parametres!$G$2,$Q265=Parametres!$G$3),I265,C265)</f>
        <v>0</v>
      </c>
      <c r="O265" s="1106">
        <f>+IF(OR($Q265=Parametres!$G$2,$Q265=Parametres!$G$3),J265,D265)</f>
        <v>15758.61</v>
      </c>
      <c r="P265" s="155">
        <f>+IF(OR($Q265=Parametres!$G$2,$Q265=Parametres!$G$3),K265,E265)</f>
        <v>15758.61</v>
      </c>
      <c r="Q265" s="154" t="str">
        <f t="shared" si="22"/>
        <v>7-Dépenses</v>
      </c>
      <c r="R265" s="153" t="str">
        <f t="shared" si="23"/>
        <v>6124</v>
      </c>
      <c r="S265" s="154">
        <f t="shared" si="24"/>
        <v>0</v>
      </c>
      <c r="T265" s="156">
        <f>+VLOOKUP($L265,Data_Validation!$A:$D,1,0)</f>
        <v>6424</v>
      </c>
      <c r="U265" s="156" t="str">
        <f>+VLOOKUP($L265,Data_Validation!$A:$D,3,0)</f>
        <v>Service</v>
      </c>
      <c r="V265" s="156" t="str">
        <f>+VLOOKUP($L265,Data_Validation!$A:$D,4,0)</f>
        <v>Salaires autres</v>
      </c>
      <c r="W265" s="156" t="str">
        <f>+VLOOKUP($L265,Data_Validation!$A:$E,5,0)</f>
        <v>$</v>
      </c>
      <c r="X265" s="156">
        <f>+VLOOKUP($L265,Data_Validation!$A:$F,6,0)</f>
        <v>0</v>
      </c>
    </row>
    <row r="266" spans="1:24" ht="15" hidden="1" customHeight="1">
      <c r="A266" s="1163" t="s">
        <v>1330</v>
      </c>
      <c r="B266" s="1164">
        <v>6425</v>
      </c>
      <c r="C266" s="1165">
        <v>0</v>
      </c>
      <c r="D266" s="1165">
        <v>19008.14</v>
      </c>
      <c r="E266" s="1165">
        <v>19008.14</v>
      </c>
      <c r="F266" s="1163" t="s">
        <v>401</v>
      </c>
      <c r="G266" s="1163" t="s">
        <v>2716</v>
      </c>
      <c r="H266" s="1171"/>
      <c r="I266" s="1172"/>
      <c r="J266" s="1171"/>
      <c r="K266" s="1172"/>
      <c r="L266" s="153">
        <f t="shared" si="20"/>
        <v>6425</v>
      </c>
      <c r="M266" s="154" t="str">
        <f t="shared" si="21"/>
        <v>SALAIRE SPECIALISTES</v>
      </c>
      <c r="N266" s="155">
        <f>+IF(OR($Q266=Parametres!$G$2,$Q266=Parametres!$G$3),I266,C266)</f>
        <v>0</v>
      </c>
      <c r="O266" s="1108">
        <f>+IF(OR($Q266=Parametres!$G$2,$Q266=Parametres!$G$3),J266,D266)</f>
        <v>19008.14</v>
      </c>
      <c r="P266" s="155">
        <f>+IF(OR($Q266=Parametres!$G$2,$Q266=Parametres!$G$3),K266,E266)</f>
        <v>19008.14</v>
      </c>
      <c r="Q266" s="154" t="str">
        <f t="shared" si="22"/>
        <v>7-Dépenses</v>
      </c>
      <c r="R266" s="153" t="str">
        <f t="shared" si="23"/>
        <v>6125</v>
      </c>
      <c r="S266" s="154">
        <f t="shared" si="24"/>
        <v>0</v>
      </c>
      <c r="T266" s="156">
        <f>+VLOOKUP($L266,Data_Validation!$A:$D,1,0)</f>
        <v>6425</v>
      </c>
      <c r="U266" s="156" t="str">
        <f>+VLOOKUP($L266,Data_Validation!$A:$D,3,0)</f>
        <v>Service</v>
      </c>
      <c r="V266" s="156" t="str">
        <f>+VLOOKUP($L266,Data_Validation!$A:$D,4,0)</f>
        <v>Salaires spécialistes</v>
      </c>
      <c r="W266" s="156" t="str">
        <f>+VLOOKUP($L266,Data_Validation!$A:$E,5,0)</f>
        <v>$</v>
      </c>
      <c r="X266" s="156">
        <f>+VLOOKUP($L266,Data_Validation!$A:$F,6,0)</f>
        <v>0</v>
      </c>
    </row>
    <row r="267" spans="1:24" ht="15" hidden="1" customHeight="1">
      <c r="A267" s="1163" t="s">
        <v>1448</v>
      </c>
      <c r="B267" s="1164">
        <v>6429</v>
      </c>
      <c r="C267" s="1165">
        <v>0</v>
      </c>
      <c r="D267" s="1165">
        <v>15629.74</v>
      </c>
      <c r="E267" s="1165">
        <v>15629.74</v>
      </c>
      <c r="F267" s="1163" t="s">
        <v>401</v>
      </c>
      <c r="G267" s="1163" t="s">
        <v>2636</v>
      </c>
      <c r="H267" s="1171"/>
      <c r="I267" s="1171"/>
      <c r="J267" s="1171"/>
      <c r="K267" s="1171"/>
      <c r="L267" s="153">
        <f t="shared" si="20"/>
        <v>6429</v>
      </c>
      <c r="M267" s="154" t="str">
        <f t="shared" si="21"/>
        <v>SAL.,VACANCE, &amp; SAL. JOURS FER</v>
      </c>
      <c r="N267" s="155">
        <f>+IF(OR($Q267=Parametres!$G$2,$Q267=Parametres!$G$3),I267,C267)</f>
        <v>0</v>
      </c>
      <c r="O267" s="1108">
        <f>+IF(OR($Q267=Parametres!$G$2,$Q267=Parametres!$G$3),J267,D267)</f>
        <v>15629.74</v>
      </c>
      <c r="P267" s="155">
        <f>+IF(OR($Q267=Parametres!$G$2,$Q267=Parametres!$G$3),K267,E267)</f>
        <v>15629.74</v>
      </c>
      <c r="Q267" s="154" t="str">
        <f t="shared" si="22"/>
        <v>7-Dépenses</v>
      </c>
      <c r="R267" s="153" t="str">
        <f t="shared" si="23"/>
        <v>6129</v>
      </c>
      <c r="S267" s="154">
        <f t="shared" si="24"/>
        <v>0</v>
      </c>
      <c r="T267" s="156">
        <f>+VLOOKUP($L267,Data_Validation!$A:$D,1,0)</f>
        <v>6429</v>
      </c>
      <c r="U267" s="156" t="str">
        <f>+VLOOKUP($L267,Data_Validation!$A:$D,3,0)</f>
        <v>Service</v>
      </c>
      <c r="V267" s="156" t="str">
        <f>+VLOOKUP($L267,Data_Validation!$A:$D,4,0)</f>
        <v>Salaires en absences</v>
      </c>
      <c r="W267" s="156" t="str">
        <f>+VLOOKUP($L267,Data_Validation!$A:$E,5,0)</f>
        <v>$</v>
      </c>
      <c r="X267" s="156">
        <f>+VLOOKUP($L267,Data_Validation!$A:$F,6,0)</f>
        <v>0</v>
      </c>
    </row>
    <row r="268" spans="1:24" ht="15" hidden="1" customHeight="1">
      <c r="A268" s="1163" t="s">
        <v>1252</v>
      </c>
      <c r="B268" s="1164">
        <v>6431</v>
      </c>
      <c r="C268" s="1165">
        <v>0</v>
      </c>
      <c r="D268" s="1165">
        <v>4298.3</v>
      </c>
      <c r="E268" s="1165">
        <v>4298.3</v>
      </c>
      <c r="F268" s="1163" t="s">
        <v>401</v>
      </c>
      <c r="G268" s="1163" t="s">
        <v>2581</v>
      </c>
      <c r="H268" s="1171"/>
      <c r="I268" s="1173"/>
      <c r="J268" s="1173"/>
      <c r="K268" s="1173"/>
      <c r="L268" s="153">
        <f t="shared" si="20"/>
        <v>6431</v>
      </c>
      <c r="M268" s="154" t="str">
        <f t="shared" si="21"/>
        <v>CSST</v>
      </c>
      <c r="N268" s="155">
        <f>+IF(OR($Q268=Parametres!$G$2,$Q268=Parametres!$G$3),I268,C268)</f>
        <v>0</v>
      </c>
      <c r="O268" s="1108">
        <f>+IF(OR($Q268=Parametres!$G$2,$Q268=Parametres!$G$3),J268,D268)</f>
        <v>4298.3</v>
      </c>
      <c r="P268" s="155">
        <f>+IF(OR($Q268=Parametres!$G$2,$Q268=Parametres!$G$3),K268,E268)</f>
        <v>4298.3</v>
      </c>
      <c r="Q268" s="154" t="str">
        <f t="shared" si="22"/>
        <v>7-Dépenses</v>
      </c>
      <c r="R268" s="153" t="str">
        <f t="shared" si="23"/>
        <v>6131</v>
      </c>
      <c r="S268" s="154">
        <f t="shared" si="24"/>
        <v>0</v>
      </c>
      <c r="T268" s="156">
        <f>+VLOOKUP($L268,Data_Validation!$A:$D,1,0)</f>
        <v>6431</v>
      </c>
      <c r="U268" s="156" t="str">
        <f>+VLOOKUP($L268,Data_Validation!$A:$D,3,0)</f>
        <v>Service</v>
      </c>
      <c r="V268" s="156" t="str">
        <f>+VLOOKUP($L268,Data_Validation!$A:$D,4,0)</f>
        <v>Csst</v>
      </c>
      <c r="W268" s="156" t="str">
        <f>+VLOOKUP($L268,Data_Validation!$A:$E,5,0)</f>
        <v>$</v>
      </c>
      <c r="X268" s="156">
        <f>+VLOOKUP($L268,Data_Validation!$A:$F,6,0)</f>
        <v>0</v>
      </c>
    </row>
    <row r="269" spans="1:24" ht="15" hidden="1" customHeight="1">
      <c r="A269" s="1163" t="s">
        <v>1283</v>
      </c>
      <c r="B269" s="1164">
        <v>6432</v>
      </c>
      <c r="C269" s="1165">
        <v>0</v>
      </c>
      <c r="D269" s="1165">
        <v>14850.73</v>
      </c>
      <c r="E269" s="1165">
        <v>14850.73</v>
      </c>
      <c r="F269" s="1163" t="s">
        <v>401</v>
      </c>
      <c r="G269" s="1163" t="s">
        <v>2680</v>
      </c>
      <c r="H269" s="1168"/>
      <c r="I269" s="1174"/>
      <c r="J269" s="1174"/>
      <c r="K269" s="1174"/>
      <c r="L269" s="153">
        <f t="shared" si="20"/>
        <v>6432</v>
      </c>
      <c r="M269" s="154" t="str">
        <f t="shared" si="21"/>
        <v>RRQ RAMQ AC</v>
      </c>
      <c r="N269" s="155">
        <f>+IF(OR($Q269=Parametres!$G$2,$Q269=Parametres!$G$3),I269,C269)</f>
        <v>0</v>
      </c>
      <c r="O269" s="1108">
        <f>+IF(OR($Q269=Parametres!$G$2,$Q269=Parametres!$G$3),J269,D269)</f>
        <v>14850.73</v>
      </c>
      <c r="P269" s="155">
        <f>+IF(OR($Q269=Parametres!$G$2,$Q269=Parametres!$G$3),K269,E269)</f>
        <v>14850.73</v>
      </c>
      <c r="Q269" s="154" t="str">
        <f t="shared" si="22"/>
        <v>7-Dépenses</v>
      </c>
      <c r="R269" s="153" t="str">
        <f t="shared" si="23"/>
        <v>6132</v>
      </c>
      <c r="S269" s="154">
        <f t="shared" si="24"/>
        <v>0</v>
      </c>
      <c r="T269" s="156">
        <f>+VLOOKUP($L269,Data_Validation!$A:$D,1,0)</f>
        <v>6432</v>
      </c>
      <c r="U269" s="156" t="str">
        <f>+VLOOKUP($L269,Data_Validation!$A:$D,3,0)</f>
        <v>Service</v>
      </c>
      <c r="V269" s="156" t="str">
        <f>+VLOOKUP($L269,Data_Validation!$A:$D,4,0)</f>
        <v>Déduction à la source</v>
      </c>
      <c r="W269" s="156" t="str">
        <f>+VLOOKUP($L269,Data_Validation!$A:$E,5,0)</f>
        <v>$</v>
      </c>
      <c r="X269" s="156">
        <f>+VLOOKUP($L269,Data_Validation!$A:$F,6,0)</f>
        <v>0</v>
      </c>
    </row>
    <row r="270" spans="1:24" ht="15" hidden="1" customHeight="1">
      <c r="A270" s="1163" t="s">
        <v>1220</v>
      </c>
      <c r="B270" s="1164">
        <v>6433</v>
      </c>
      <c r="C270" s="1165">
        <v>0</v>
      </c>
      <c r="D270" s="1165">
        <v>217.99</v>
      </c>
      <c r="E270" s="1165">
        <v>217.99</v>
      </c>
      <c r="F270" s="1163" t="s">
        <v>401</v>
      </c>
      <c r="G270" s="1163" t="s">
        <v>2574</v>
      </c>
      <c r="H270" s="1168"/>
      <c r="I270" s="1174"/>
      <c r="J270" s="1174"/>
      <c r="K270" s="1174"/>
      <c r="L270" s="153">
        <f t="shared" si="20"/>
        <v>6433</v>
      </c>
      <c r="M270" s="154" t="str">
        <f t="shared" si="21"/>
        <v>FOND PENSION - SERVICE</v>
      </c>
      <c r="N270" s="155">
        <f>+IF(OR($Q270=Parametres!$G$2,$Q270=Parametres!$G$3),I270,C270)</f>
        <v>0</v>
      </c>
      <c r="O270" s="1108">
        <f>+IF(OR($Q270=Parametres!$G$2,$Q270=Parametres!$G$3),J270,D270)</f>
        <v>217.99</v>
      </c>
      <c r="P270" s="155">
        <f>+IF(OR($Q270=Parametres!$G$2,$Q270=Parametres!$G$3),K270,E270)</f>
        <v>217.99</v>
      </c>
      <c r="Q270" s="154" t="str">
        <f t="shared" si="22"/>
        <v>7-Dépenses</v>
      </c>
      <c r="R270" s="153" t="str">
        <f t="shared" si="23"/>
        <v>6133</v>
      </c>
      <c r="S270" s="154">
        <f t="shared" si="24"/>
        <v>0</v>
      </c>
      <c r="T270" s="156">
        <f>+VLOOKUP($L270,Data_Validation!$A:$D,1,0)</f>
        <v>6433</v>
      </c>
      <c r="U270" s="156" t="str">
        <f>+VLOOKUP($L270,Data_Validation!$A:$D,3,0)</f>
        <v>Service</v>
      </c>
      <c r="V270" s="156" t="str">
        <f>+VLOOKUP($L270,Data_Validation!$A:$D,4,0)</f>
        <v>Bénéfices marginaux</v>
      </c>
      <c r="W270" s="156" t="str">
        <f>+VLOOKUP($L270,Data_Validation!$A:$E,5,0)</f>
        <v>$</v>
      </c>
      <c r="X270" s="156">
        <f>+VLOOKUP($L270,Data_Validation!$A:$F,6,0)</f>
        <v>0</v>
      </c>
    </row>
    <row r="271" spans="1:24" ht="15" hidden="1" customHeight="1">
      <c r="A271" s="1163" t="s">
        <v>1305</v>
      </c>
      <c r="B271" s="1164">
        <v>6439</v>
      </c>
      <c r="C271" s="1165">
        <v>0</v>
      </c>
      <c r="D271" s="1165">
        <v>7711.7</v>
      </c>
      <c r="E271" s="1165">
        <v>7711.7</v>
      </c>
      <c r="F271" s="1163" t="s">
        <v>401</v>
      </c>
      <c r="G271" s="1163" t="s">
        <v>2689</v>
      </c>
      <c r="H271" s="1175"/>
      <c r="I271" s="1183"/>
      <c r="J271" s="1175"/>
      <c r="K271" s="1183"/>
      <c r="L271" s="153">
        <f t="shared" si="20"/>
        <v>6439</v>
      </c>
      <c r="M271" s="154" t="str">
        <f t="shared" si="21"/>
        <v>ASSURANCE GROUPE</v>
      </c>
      <c r="N271" s="155">
        <f>+IF(OR($Q271=Parametres!$G$2,$Q271=Parametres!$G$3),I271,C271)</f>
        <v>0</v>
      </c>
      <c r="O271" s="1108">
        <f>+IF(OR($Q271=Parametres!$G$2,$Q271=Parametres!$G$3),J271,D271)</f>
        <v>7711.7</v>
      </c>
      <c r="P271" s="155">
        <f>+IF(OR($Q271=Parametres!$G$2,$Q271=Parametres!$G$3),K271,E271)</f>
        <v>7711.7</v>
      </c>
      <c r="Q271" s="154" t="str">
        <f t="shared" si="22"/>
        <v>7-Dépenses</v>
      </c>
      <c r="R271" s="153" t="str">
        <f t="shared" si="23"/>
        <v>6139</v>
      </c>
      <c r="S271" s="154">
        <f t="shared" si="24"/>
        <v>0</v>
      </c>
      <c r="T271" s="156">
        <f>+VLOOKUP($L271,Data_Validation!$A:$D,1,0)</f>
        <v>6439</v>
      </c>
      <c r="U271" s="156" t="str">
        <f>+VLOOKUP($L271,Data_Validation!$A:$D,3,0)</f>
        <v>Service</v>
      </c>
      <c r="V271" s="156" t="str">
        <f>+VLOOKUP($L271,Data_Validation!$A:$D,4,0)</f>
        <v>Bénéfices marginaux</v>
      </c>
      <c r="W271" s="156" t="str">
        <f>+VLOOKUP($L271,Data_Validation!$A:$E,5,0)</f>
        <v>$</v>
      </c>
      <c r="X271" s="156">
        <f>+VLOOKUP($L271,Data_Validation!$A:$F,6,0)</f>
        <v>0</v>
      </c>
    </row>
    <row r="272" spans="1:24" ht="15.75" hidden="1" customHeight="1">
      <c r="A272" s="1163" t="s">
        <v>1157</v>
      </c>
      <c r="B272" s="1164">
        <v>6442</v>
      </c>
      <c r="C272" s="1165">
        <v>0</v>
      </c>
      <c r="D272" s="1165">
        <v>2303.73</v>
      </c>
      <c r="E272" s="1165">
        <v>2303.73</v>
      </c>
      <c r="F272" s="1163" t="s">
        <v>401</v>
      </c>
      <c r="G272" s="1163" t="s">
        <v>2558</v>
      </c>
      <c r="H272" s="1168"/>
      <c r="I272" s="1170"/>
      <c r="J272" s="1170"/>
      <c r="K272" s="1170"/>
      <c r="L272" s="153">
        <f t="shared" si="20"/>
        <v>6442</v>
      </c>
      <c r="M272" s="154" t="str">
        <f t="shared" si="21"/>
        <v>FOURNITURES &amp; PETITS OUTILS</v>
      </c>
      <c r="N272" s="155">
        <f>+IF(OR($Q272=Parametres!$G$2,$Q272=Parametres!$G$3),I272,C272)</f>
        <v>0</v>
      </c>
      <c r="O272" s="1108">
        <f>+IF(OR($Q272=Parametres!$G$2,$Q272=Parametres!$G$3),J272,D272)</f>
        <v>2303.73</v>
      </c>
      <c r="P272" s="155">
        <f>+IF(OR($Q272=Parametres!$G$2,$Q272=Parametres!$G$3),K272,E272)</f>
        <v>2303.73</v>
      </c>
      <c r="Q272" s="154" t="str">
        <f t="shared" si="22"/>
        <v>7-Dépenses</v>
      </c>
      <c r="R272" s="153" t="str">
        <f t="shared" si="23"/>
        <v>6142</v>
      </c>
      <c r="S272" s="154">
        <f t="shared" si="24"/>
        <v>0</v>
      </c>
      <c r="T272" s="156">
        <f>+VLOOKUP($L272,Data_Validation!$A:$D,1,0)</f>
        <v>6442</v>
      </c>
      <c r="U272" s="156" t="str">
        <f>+VLOOKUP($L272,Data_Validation!$A:$D,3,0)</f>
        <v>Service</v>
      </c>
      <c r="V272" s="156" t="str">
        <f>+VLOOKUP($L272,Data_Validation!$A:$D,4,0)</f>
        <v>Fournitures autres</v>
      </c>
      <c r="W272" s="156" t="str">
        <f>+VLOOKUP($L272,Data_Validation!$A:$E,5,0)</f>
        <v>$</v>
      </c>
      <c r="X272" s="156">
        <f>+VLOOKUP($L272,Data_Validation!$A:$F,6,0)</f>
        <v>0</v>
      </c>
    </row>
    <row r="273" spans="1:24" ht="15" hidden="1" customHeight="1">
      <c r="A273" s="1163" t="s">
        <v>932</v>
      </c>
      <c r="B273" s="1164">
        <v>6443</v>
      </c>
      <c r="C273" s="1165">
        <v>0</v>
      </c>
      <c r="D273" s="1165">
        <v>635.27</v>
      </c>
      <c r="E273" s="1165">
        <v>635.27</v>
      </c>
      <c r="F273" s="1163" t="s">
        <v>401</v>
      </c>
      <c r="G273" s="1163" t="s">
        <v>2156</v>
      </c>
      <c r="H273" s="1175"/>
      <c r="I273" s="1175"/>
      <c r="J273" s="1175"/>
      <c r="K273" s="1175"/>
      <c r="L273" s="153">
        <f t="shared" si="20"/>
        <v>6443</v>
      </c>
      <c r="M273" s="154" t="str">
        <f t="shared" si="21"/>
        <v>UNIFORMES &amp; LESSIVE</v>
      </c>
      <c r="N273" s="155">
        <f>+IF(OR($Q273=Parametres!$G$2,$Q273=Parametres!$G$3),I273,C273)</f>
        <v>0</v>
      </c>
      <c r="O273" s="1106">
        <f>+IF(OR($Q273=Parametres!$G$2,$Q273=Parametres!$G$3),J273,D273)</f>
        <v>635.27</v>
      </c>
      <c r="P273" s="155">
        <f>+IF(OR($Q273=Parametres!$G$2,$Q273=Parametres!$G$3),K273,E273)</f>
        <v>635.27</v>
      </c>
      <c r="Q273" s="154" t="str">
        <f t="shared" si="22"/>
        <v>7-Dépenses</v>
      </c>
      <c r="R273" s="153" t="str">
        <f t="shared" si="23"/>
        <v>6143</v>
      </c>
      <c r="S273" s="154">
        <f t="shared" si="24"/>
        <v>0</v>
      </c>
      <c r="T273" s="156">
        <f>+VLOOKUP($L273,Data_Validation!$A:$D,1,0)</f>
        <v>6443</v>
      </c>
      <c r="U273" s="156" t="str">
        <f>+VLOOKUP($L273,Data_Validation!$A:$D,3,0)</f>
        <v>Service</v>
      </c>
      <c r="V273" s="156" t="str">
        <f>+VLOOKUP($L273,Data_Validation!$A:$D,4,0)</f>
        <v>Uniformes</v>
      </c>
      <c r="W273" s="156" t="str">
        <f>+VLOOKUP($L273,Data_Validation!$A:$E,5,0)</f>
        <v>$</v>
      </c>
      <c r="X273" s="156">
        <f>+VLOOKUP($L273,Data_Validation!$A:$F,6,0)</f>
        <v>0</v>
      </c>
    </row>
    <row r="274" spans="1:24" ht="15" hidden="1" customHeight="1">
      <c r="A274" s="1163" t="s">
        <v>934</v>
      </c>
      <c r="B274" s="1164">
        <v>6444</v>
      </c>
      <c r="C274" s="1165">
        <v>0</v>
      </c>
      <c r="D274" s="1165">
        <v>76.56</v>
      </c>
      <c r="E274" s="1165">
        <v>76.56</v>
      </c>
      <c r="F274" s="1163" t="s">
        <v>401</v>
      </c>
      <c r="G274" s="1163" t="s">
        <v>2556</v>
      </c>
      <c r="H274" s="1171"/>
      <c r="I274" s="1173"/>
      <c r="J274" s="1173"/>
      <c r="K274" s="1173"/>
      <c r="L274" s="153">
        <f t="shared" si="20"/>
        <v>6444</v>
      </c>
      <c r="M274" s="154" t="str">
        <f t="shared" si="21"/>
        <v>FORMATION</v>
      </c>
      <c r="N274" s="155">
        <f>+IF(OR($Q274=Parametres!$G$2,$Q274=Parametres!$G$3),I274,C274)</f>
        <v>0</v>
      </c>
      <c r="O274" s="1108">
        <f>+IF(OR($Q274=Parametres!$G$2,$Q274=Parametres!$G$3),J274,D274)</f>
        <v>76.56</v>
      </c>
      <c r="P274" s="155">
        <f>+IF(OR($Q274=Parametres!$G$2,$Q274=Parametres!$G$3),K274,E274)</f>
        <v>76.56</v>
      </c>
      <c r="Q274" s="154" t="str">
        <f t="shared" si="22"/>
        <v>7-Dépenses</v>
      </c>
      <c r="R274" s="153" t="str">
        <f t="shared" si="23"/>
        <v>6144</v>
      </c>
      <c r="S274" s="154">
        <f t="shared" si="24"/>
        <v>0</v>
      </c>
      <c r="T274" s="156">
        <f>+VLOOKUP($L274,Data_Validation!$A:$D,1,0)</f>
        <v>6444</v>
      </c>
      <c r="U274" s="156" t="str">
        <f>+VLOOKUP($L274,Data_Validation!$A:$D,3,0)</f>
        <v>Service</v>
      </c>
      <c r="V274" s="156" t="str">
        <f>+VLOOKUP($L274,Data_Validation!$A:$D,4,0)</f>
        <v>Formation</v>
      </c>
      <c r="W274" s="156" t="str">
        <f>+VLOOKUP($L274,Data_Validation!$A:$E,5,0)</f>
        <v>$</v>
      </c>
      <c r="X274" s="156">
        <f>+VLOOKUP($L274,Data_Validation!$A:$F,6,0)</f>
        <v>0</v>
      </c>
    </row>
    <row r="275" spans="1:24" ht="15" hidden="1" customHeight="1">
      <c r="A275" s="1163" t="s">
        <v>1527</v>
      </c>
      <c r="B275" s="1164">
        <v>6445</v>
      </c>
      <c r="C275" s="1165">
        <v>0</v>
      </c>
      <c r="D275" s="1165">
        <v>8878.3700000000008</v>
      </c>
      <c r="E275" s="1165">
        <v>8878.3700000000008</v>
      </c>
      <c r="F275" s="1163" t="s">
        <v>401</v>
      </c>
      <c r="G275" s="1163" t="s">
        <v>2627</v>
      </c>
      <c r="H275" s="1171"/>
      <c r="I275" s="1172"/>
      <c r="J275" s="1171"/>
      <c r="K275" s="1172"/>
      <c r="L275" s="153">
        <f t="shared" si="20"/>
        <v>6445</v>
      </c>
      <c r="M275" s="154" t="str">
        <f t="shared" si="21"/>
        <v>LOCATION COURTOISIE</v>
      </c>
      <c r="N275" s="155">
        <f>+IF(OR($Q275=Parametres!$G$2,$Q275=Parametres!$G$3),I275,C275)</f>
        <v>0</v>
      </c>
      <c r="O275" s="1106">
        <f>+IF(OR($Q275=Parametres!$G$2,$Q275=Parametres!$G$3),J275,D275)</f>
        <v>8878.3700000000008</v>
      </c>
      <c r="P275" s="155">
        <f>+IF(OR($Q275=Parametres!$G$2,$Q275=Parametres!$G$3),K275,E275)</f>
        <v>8878.3700000000008</v>
      </c>
      <c r="Q275" s="154" t="str">
        <f t="shared" si="22"/>
        <v>7-Dépenses</v>
      </c>
      <c r="R275" s="153" t="str">
        <f t="shared" si="23"/>
        <v>6145</v>
      </c>
      <c r="S275" s="154">
        <f t="shared" si="24"/>
        <v>0</v>
      </c>
      <c r="T275" s="156">
        <f>+VLOOKUP($L275,Data_Validation!$A:$D,1,0)</f>
        <v>6445</v>
      </c>
      <c r="U275" s="156" t="str">
        <f>+VLOOKUP($L275,Data_Validation!$A:$D,3,0)</f>
        <v>Service</v>
      </c>
      <c r="V275" s="156" t="str">
        <f>+VLOOKUP($L275,Data_Validation!$A:$D,4,0)</f>
        <v>Frais véhicules de cie</v>
      </c>
      <c r="W275" s="156" t="str">
        <f>+VLOOKUP($L275,Data_Validation!$A:$E,5,0)</f>
        <v>$</v>
      </c>
      <c r="X275" s="156">
        <f>+VLOOKUP($L275,Data_Validation!$A:$F,6,0)</f>
        <v>0</v>
      </c>
    </row>
    <row r="276" spans="1:24" ht="15" hidden="1" customHeight="1">
      <c r="A276" s="1163" t="s">
        <v>1180</v>
      </c>
      <c r="B276" s="1164">
        <v>6447</v>
      </c>
      <c r="C276" s="1165">
        <v>0</v>
      </c>
      <c r="D276" s="1165">
        <v>36.42</v>
      </c>
      <c r="E276" s="1165">
        <v>36.42</v>
      </c>
      <c r="F276" s="1163" t="s">
        <v>401</v>
      </c>
      <c r="G276" s="1163" t="s">
        <v>2576</v>
      </c>
      <c r="H276" s="1171"/>
      <c r="I276" s="1173"/>
      <c r="J276" s="1173"/>
      <c r="K276" s="1173"/>
      <c r="L276" s="153">
        <f t="shared" si="20"/>
        <v>6447</v>
      </c>
      <c r="M276" s="154" t="str">
        <f t="shared" si="21"/>
        <v>FRET/EXPRESS/TRANS. PAR CAMION</v>
      </c>
      <c r="N276" s="155">
        <f>+IF(OR($Q276=Parametres!$G$2,$Q276=Parametres!$G$3),I276,C276)</f>
        <v>0</v>
      </c>
      <c r="O276" s="1106">
        <f>+IF(OR($Q276=Parametres!$G$2,$Q276=Parametres!$G$3),J276,D276)</f>
        <v>36.42</v>
      </c>
      <c r="P276" s="155">
        <f>+IF(OR($Q276=Parametres!$G$2,$Q276=Parametres!$G$3),K276,E276)</f>
        <v>36.42</v>
      </c>
      <c r="Q276" s="154" t="str">
        <f t="shared" si="22"/>
        <v>7-Dépenses</v>
      </c>
      <c r="R276" s="153" t="str">
        <f t="shared" si="23"/>
        <v>6147</v>
      </c>
      <c r="S276" s="154">
        <f t="shared" si="24"/>
        <v>0</v>
      </c>
      <c r="T276" s="156">
        <f>+VLOOKUP($L276,Data_Validation!$A:$D,1,0)</f>
        <v>6447</v>
      </c>
      <c r="U276" s="156" t="str">
        <f>+VLOOKUP($L276,Data_Validation!$A:$D,3,0)</f>
        <v>Service</v>
      </c>
      <c r="V276" s="156" t="str">
        <f>+VLOOKUP($L276,Data_Validation!$A:$D,4,0)</f>
        <v>Frais postaux</v>
      </c>
      <c r="W276" s="156" t="str">
        <f>+VLOOKUP($L276,Data_Validation!$A:$E,5,0)</f>
        <v>$</v>
      </c>
      <c r="X276" s="156">
        <f>+VLOOKUP($L276,Data_Validation!$A:$F,6,0)</f>
        <v>0</v>
      </c>
    </row>
    <row r="277" spans="1:24" ht="15" hidden="1" customHeight="1">
      <c r="A277" s="1163" t="s">
        <v>1286</v>
      </c>
      <c r="B277" s="1164">
        <v>6451</v>
      </c>
      <c r="C277" s="1165">
        <v>0</v>
      </c>
      <c r="D277" s="1165">
        <v>5969.17</v>
      </c>
      <c r="E277" s="1165">
        <v>5969.17</v>
      </c>
      <c r="F277" s="1163" t="s">
        <v>401</v>
      </c>
      <c r="G277" s="1163" t="s">
        <v>2697</v>
      </c>
      <c r="H277" s="1168"/>
      <c r="I277" s="1170"/>
      <c r="J277" s="1170"/>
      <c r="K277" s="1170"/>
      <c r="L277" s="153">
        <f t="shared" si="20"/>
        <v>6451</v>
      </c>
      <c r="M277" s="154" t="str">
        <f t="shared" si="21"/>
        <v>DEP. DU TRAITEMENT DES DONNEES</v>
      </c>
      <c r="N277" s="155">
        <f>+IF(OR($Q277=Parametres!$G$2,$Q277=Parametres!$G$3),I277,C277)</f>
        <v>0</v>
      </c>
      <c r="O277" s="1108">
        <f>+IF(OR($Q277=Parametres!$G$2,$Q277=Parametres!$G$3),J277,D277)</f>
        <v>5969.17</v>
      </c>
      <c r="P277" s="155">
        <f>+IF(OR($Q277=Parametres!$G$2,$Q277=Parametres!$G$3),K277,E277)</f>
        <v>5969.17</v>
      </c>
      <c r="Q277" s="154" t="str">
        <f t="shared" si="22"/>
        <v>7-Dépenses</v>
      </c>
      <c r="R277" s="153" t="str">
        <f t="shared" si="23"/>
        <v>6151</v>
      </c>
      <c r="S277" s="154">
        <f t="shared" si="24"/>
        <v>0</v>
      </c>
      <c r="T277" s="156">
        <f>+VLOOKUP($L277,Data_Validation!$A:$D,1,0)</f>
        <v>6451</v>
      </c>
      <c r="U277" s="156" t="str">
        <f>+VLOOKUP($L277,Data_Validation!$A:$D,3,0)</f>
        <v>Service</v>
      </c>
      <c r="V277" s="156" t="str">
        <f>+VLOOKUP($L277,Data_Validation!$A:$D,4,0)</f>
        <v>Informatique</v>
      </c>
      <c r="W277" s="156" t="str">
        <f>+VLOOKUP($L277,Data_Validation!$A:$E,5,0)</f>
        <v>$</v>
      </c>
      <c r="X277" s="156">
        <f>+VLOOKUP($L277,Data_Validation!$A:$F,6,0)</f>
        <v>0</v>
      </c>
    </row>
    <row r="278" spans="1:24" ht="15" hidden="1" customHeight="1">
      <c r="A278" s="1163" t="s">
        <v>1206</v>
      </c>
      <c r="B278" s="1164">
        <v>6452</v>
      </c>
      <c r="C278" s="1165">
        <v>0</v>
      </c>
      <c r="D278" s="1165">
        <v>634.44000000000005</v>
      </c>
      <c r="E278" s="1165">
        <v>634.44000000000005</v>
      </c>
      <c r="F278" s="1163" t="s">
        <v>401</v>
      </c>
      <c r="G278" s="1163" t="s">
        <v>2583</v>
      </c>
      <c r="H278" s="1175"/>
      <c r="I278" s="1178"/>
      <c r="J278" s="1178"/>
      <c r="K278" s="1178"/>
      <c r="L278" s="153">
        <f t="shared" si="20"/>
        <v>6452</v>
      </c>
      <c r="M278" s="154" t="str">
        <f t="shared" si="21"/>
        <v>PAPETERIE</v>
      </c>
      <c r="N278" s="155">
        <f>+IF(OR($Q278=Parametres!$G$2,$Q278=Parametres!$G$3),I278,C278)</f>
        <v>0</v>
      </c>
      <c r="O278" s="1108">
        <f>+IF(OR($Q278=Parametres!$G$2,$Q278=Parametres!$G$3),J278,D278)</f>
        <v>634.44000000000005</v>
      </c>
      <c r="P278" s="155">
        <f>+IF(OR($Q278=Parametres!$G$2,$Q278=Parametres!$G$3),K278,E278)</f>
        <v>634.44000000000005</v>
      </c>
      <c r="Q278" s="154" t="str">
        <f t="shared" si="22"/>
        <v>7-Dépenses</v>
      </c>
      <c r="R278" s="153" t="str">
        <f t="shared" si="23"/>
        <v>6152</v>
      </c>
      <c r="S278" s="154">
        <f t="shared" si="24"/>
        <v>0</v>
      </c>
      <c r="T278" s="156">
        <f>+VLOOKUP($L278,Data_Validation!$A:$D,1,0)</f>
        <v>6452</v>
      </c>
      <c r="U278" s="156" t="str">
        <f>+VLOOKUP($L278,Data_Validation!$A:$D,3,0)</f>
        <v>Service</v>
      </c>
      <c r="V278" s="156" t="str">
        <f>+VLOOKUP($L278,Data_Validation!$A:$D,4,0)</f>
        <v>Papeterie</v>
      </c>
      <c r="W278" s="156" t="str">
        <f>+VLOOKUP($L278,Data_Validation!$A:$E,5,0)</f>
        <v>$</v>
      </c>
      <c r="X278" s="156">
        <f>+VLOOKUP($L278,Data_Validation!$A:$F,6,0)</f>
        <v>0</v>
      </c>
    </row>
    <row r="279" spans="1:24" ht="15.75" hidden="1" customHeight="1">
      <c r="A279" s="1163" t="s">
        <v>1154</v>
      </c>
      <c r="B279" s="1164">
        <v>6453</v>
      </c>
      <c r="C279" s="1165">
        <v>0</v>
      </c>
      <c r="D279" s="1165">
        <v>255.6</v>
      </c>
      <c r="E279" s="1165">
        <v>255.6</v>
      </c>
      <c r="F279" s="1163" t="s">
        <v>401</v>
      </c>
      <c r="G279" s="1163" t="s">
        <v>2587</v>
      </c>
      <c r="H279" s="1171"/>
      <c r="I279" s="1173"/>
      <c r="J279" s="1173"/>
      <c r="K279" s="1173"/>
      <c r="L279" s="153">
        <f t="shared" si="20"/>
        <v>6453</v>
      </c>
      <c r="M279" s="154" t="str">
        <f t="shared" si="21"/>
        <v>TELEPHONE ET TELEX</v>
      </c>
      <c r="N279" s="155">
        <f>+IF(OR($Q279=Parametres!$G$2,$Q279=Parametres!$G$3),I279,C279)</f>
        <v>0</v>
      </c>
      <c r="O279" s="1108">
        <f>+IF(OR($Q279=Parametres!$G$2,$Q279=Parametres!$G$3),J279,D279)</f>
        <v>255.6</v>
      </c>
      <c r="P279" s="155">
        <f>+IF(OR($Q279=Parametres!$G$2,$Q279=Parametres!$G$3),K279,E279)</f>
        <v>255.6</v>
      </c>
      <c r="Q279" s="154" t="str">
        <f t="shared" si="22"/>
        <v>7-Dépenses</v>
      </c>
      <c r="R279" s="153" t="str">
        <f t="shared" si="23"/>
        <v>6153</v>
      </c>
      <c r="S279" s="154">
        <f t="shared" si="24"/>
        <v>0</v>
      </c>
      <c r="T279" s="156">
        <f>+VLOOKUP($L279,Data_Validation!$A:$D,1,0)</f>
        <v>6453</v>
      </c>
      <c r="U279" s="156" t="str">
        <f>+VLOOKUP($L279,Data_Validation!$A:$D,3,0)</f>
        <v>Service</v>
      </c>
      <c r="V279" s="156" t="str">
        <f>+VLOOKUP($L279,Data_Validation!$A:$D,4,0)</f>
        <v>Téléphone</v>
      </c>
      <c r="W279" s="156" t="str">
        <f>+VLOOKUP($L279,Data_Validation!$A:$E,5,0)</f>
        <v>$</v>
      </c>
      <c r="X279" s="156">
        <f>+VLOOKUP($L279,Data_Validation!$A:$F,6,0)</f>
        <v>0</v>
      </c>
    </row>
    <row r="280" spans="1:24" ht="15" hidden="1" customHeight="1">
      <c r="A280" s="1163" t="s">
        <v>1237</v>
      </c>
      <c r="B280" s="1164">
        <v>6455</v>
      </c>
      <c r="C280" s="1165">
        <v>0</v>
      </c>
      <c r="D280" s="1165">
        <v>248.54</v>
      </c>
      <c r="E280" s="1165">
        <v>248.54</v>
      </c>
      <c r="F280" s="1163" t="s">
        <v>401</v>
      </c>
      <c r="G280" s="1163" t="s">
        <v>2632</v>
      </c>
      <c r="H280" s="1168"/>
      <c r="I280" s="1170"/>
      <c r="J280" s="1170"/>
      <c r="K280" s="1170"/>
      <c r="L280" s="153">
        <f t="shared" si="20"/>
        <v>6455</v>
      </c>
      <c r="M280" s="154" t="str">
        <f t="shared" si="21"/>
        <v>DEPENSES DIVERS</v>
      </c>
      <c r="N280" s="155">
        <f>+IF(OR($Q280=Parametres!$G$2,$Q280=Parametres!$G$3),I280,C280)</f>
        <v>0</v>
      </c>
      <c r="O280" s="1108">
        <f>+IF(OR($Q280=Parametres!$G$2,$Q280=Parametres!$G$3),J280,D280)</f>
        <v>248.54</v>
      </c>
      <c r="P280" s="155">
        <f>+IF(OR($Q280=Parametres!$G$2,$Q280=Parametres!$G$3),K280,E280)</f>
        <v>248.54</v>
      </c>
      <c r="Q280" s="154" t="str">
        <f t="shared" si="22"/>
        <v>7-Dépenses</v>
      </c>
      <c r="R280" s="153" t="str">
        <f t="shared" si="23"/>
        <v>6155</v>
      </c>
      <c r="S280" s="154">
        <f t="shared" si="24"/>
        <v>0</v>
      </c>
      <c r="T280" s="156">
        <f>+VLOOKUP($L280,Data_Validation!$A:$D,1,0)</f>
        <v>6455</v>
      </c>
      <c r="U280" s="156" t="str">
        <f>+VLOOKUP($L280,Data_Validation!$A:$D,3,0)</f>
        <v>Service</v>
      </c>
      <c r="V280" s="156" t="str">
        <f>+VLOOKUP($L280,Data_Validation!$A:$D,4,0)</f>
        <v>Divers</v>
      </c>
      <c r="W280" s="156" t="str">
        <f>+VLOOKUP($L280,Data_Validation!$A:$E,5,0)</f>
        <v>$</v>
      </c>
      <c r="X280" s="156">
        <f>+VLOOKUP($L280,Data_Validation!$A:$F,6,0)</f>
        <v>0</v>
      </c>
    </row>
    <row r="281" spans="1:24" ht="15" customHeight="1">
      <c r="A281" s="1163" t="s">
        <v>1292</v>
      </c>
      <c r="B281" s="1164">
        <v>6456</v>
      </c>
      <c r="C281" s="1165">
        <v>0</v>
      </c>
      <c r="D281" s="1165">
        <v>220.32</v>
      </c>
      <c r="E281" s="1165">
        <v>220.32</v>
      </c>
      <c r="F281" s="1163" t="s">
        <v>401</v>
      </c>
      <c r="G281" s="1163" t="s">
        <v>2465</v>
      </c>
      <c r="H281" s="1171"/>
      <c r="I281" s="1172"/>
      <c r="J281" s="1171"/>
      <c r="K281" s="1172"/>
      <c r="L281" s="153">
        <f t="shared" si="20"/>
        <v>6456</v>
      </c>
      <c r="M281" s="154" t="str">
        <f t="shared" si="21"/>
        <v>FRAIS REPRESENTATION - SERVICE</v>
      </c>
      <c r="N281" s="155">
        <f>+IF(OR($Q281=Parametres!$G$2,$Q281=Parametres!$G$3),I281,C281)</f>
        <v>0</v>
      </c>
      <c r="O281" s="1108">
        <f>+IF(OR($Q281=Parametres!$G$2,$Q281=Parametres!$G$3),J281,D281)</f>
        <v>220.32</v>
      </c>
      <c r="P281" s="155">
        <f>+IF(OR($Q281=Parametres!$G$2,$Q281=Parametres!$G$3),K281,E281)</f>
        <v>220.32</v>
      </c>
      <c r="Q281" s="154" t="str">
        <f t="shared" si="22"/>
        <v>7-Dépenses</v>
      </c>
      <c r="R281" s="153" t="str">
        <f t="shared" si="23"/>
        <v>6156</v>
      </c>
      <c r="S281" s="154">
        <f t="shared" si="24"/>
        <v>0</v>
      </c>
      <c r="T281" s="156">
        <f>+VLOOKUP($L281,Data_Validation!$A:$D,1,0)</f>
        <v>6456</v>
      </c>
      <c r="U281" s="156" t="str">
        <f>+VLOOKUP($L281,Data_Validation!$A:$D,3,0)</f>
        <v>Service</v>
      </c>
      <c r="V281" s="156" t="str">
        <f>+VLOOKUP($L281,Data_Validation!$A:$D,4,0)</f>
        <v>Frais de déplacement</v>
      </c>
      <c r="W281" s="156" t="str">
        <f>+VLOOKUP($L281,Data_Validation!$A:$E,5,0)</f>
        <v>$</v>
      </c>
      <c r="X281" s="156">
        <f>+VLOOKUP($L281,Data_Validation!$A:$F,6,0)</f>
        <v>0</v>
      </c>
    </row>
    <row r="282" spans="1:24" ht="15" hidden="1" customHeight="1">
      <c r="A282" s="1163" t="s">
        <v>1308</v>
      </c>
      <c r="B282" s="1164">
        <v>6459</v>
      </c>
      <c r="C282" s="1165">
        <v>0</v>
      </c>
      <c r="D282" s="1165">
        <v>3066.56</v>
      </c>
      <c r="E282" s="1165">
        <v>3066.56</v>
      </c>
      <c r="F282" s="1163" t="s">
        <v>401</v>
      </c>
      <c r="G282" s="1163" t="s">
        <v>2657</v>
      </c>
      <c r="H282" s="1171"/>
      <c r="I282" s="1173"/>
      <c r="J282" s="1173"/>
      <c r="K282" s="1173"/>
      <c r="L282" s="153">
        <f t="shared" si="20"/>
        <v>6459</v>
      </c>
      <c r="M282" s="154" t="str">
        <f t="shared" si="21"/>
        <v>SERVICE EXTERIEUR</v>
      </c>
      <c r="N282" s="155">
        <f>+IF(OR($Q282=Parametres!$G$2,$Q282=Parametres!$G$3),I282,C282)</f>
        <v>0</v>
      </c>
      <c r="O282" s="1108">
        <f>+IF(OR($Q282=Parametres!$G$2,$Q282=Parametres!$G$3),J282,D282)</f>
        <v>3066.56</v>
      </c>
      <c r="P282" s="155">
        <f>+IF(OR($Q282=Parametres!$G$2,$Q282=Parametres!$G$3),K282,E282)</f>
        <v>3066.56</v>
      </c>
      <c r="Q282" s="154" t="str">
        <f t="shared" si="22"/>
        <v>7-Dépenses</v>
      </c>
      <c r="R282" s="153" t="str">
        <f t="shared" si="23"/>
        <v>6159</v>
      </c>
      <c r="S282" s="154">
        <f t="shared" si="24"/>
        <v>0</v>
      </c>
      <c r="T282" s="156">
        <f>+VLOOKUP($L282,Data_Validation!$A:$D,1,0)</f>
        <v>6459</v>
      </c>
      <c r="U282" s="156" t="str">
        <f>+VLOOKUP($L282,Data_Validation!$A:$D,3,0)</f>
        <v>Service</v>
      </c>
      <c r="V282" s="156" t="str">
        <f>+VLOOKUP($L282,Data_Validation!$A:$D,4,0)</f>
        <v>Services extérieurs</v>
      </c>
      <c r="W282" s="156" t="str">
        <f>+VLOOKUP($L282,Data_Validation!$A:$E,5,0)</f>
        <v>$</v>
      </c>
      <c r="X282" s="156">
        <f>+VLOOKUP($L282,Data_Validation!$A:$F,6,0)</f>
        <v>0</v>
      </c>
    </row>
    <row r="283" spans="1:24" ht="15.75" hidden="1" customHeight="1">
      <c r="A283" s="1163" t="s">
        <v>1333</v>
      </c>
      <c r="B283" s="1164">
        <v>6461</v>
      </c>
      <c r="C283" s="1165">
        <v>0</v>
      </c>
      <c r="D283" s="1165">
        <v>1035.48</v>
      </c>
      <c r="E283" s="1165">
        <v>1035.48</v>
      </c>
      <c r="F283" s="1163" t="s">
        <v>401</v>
      </c>
      <c r="G283" s="1163" t="s">
        <v>2648</v>
      </c>
      <c r="H283" s="1168"/>
      <c r="I283" s="1170"/>
      <c r="J283" s="1170"/>
      <c r="K283" s="1170"/>
      <c r="L283" s="153">
        <f t="shared" si="20"/>
        <v>6461</v>
      </c>
      <c r="M283" s="154" t="str">
        <f t="shared" si="21"/>
        <v>DEPRECIATION EQUIP. &amp; FIXTURES</v>
      </c>
      <c r="N283" s="155">
        <f>+IF(OR($Q283=Parametres!$G$2,$Q283=Parametres!$G$3),I283,C283)</f>
        <v>0</v>
      </c>
      <c r="O283" s="1108">
        <f>+IF(OR($Q283=Parametres!$G$2,$Q283=Parametres!$G$3),J283,D283)</f>
        <v>1035.48</v>
      </c>
      <c r="P283" s="155">
        <f>+IF(OR($Q283=Parametres!$G$2,$Q283=Parametres!$G$3),K283,E283)</f>
        <v>1035.48</v>
      </c>
      <c r="Q283" s="154" t="str">
        <f t="shared" si="22"/>
        <v>7-Dépenses</v>
      </c>
      <c r="R283" s="153" t="str">
        <f t="shared" si="23"/>
        <v>6161</v>
      </c>
      <c r="S283" s="154">
        <f t="shared" si="24"/>
        <v>0</v>
      </c>
      <c r="T283" s="156">
        <f>+VLOOKUP($L283,Data_Validation!$A:$D,1,0)</f>
        <v>6461</v>
      </c>
      <c r="U283" s="156" t="str">
        <f>+VLOOKUP($L283,Data_Validation!$A:$D,3,0)</f>
        <v>Service</v>
      </c>
      <c r="V283" s="156" t="str">
        <f>+VLOOKUP($L283,Data_Validation!$A:$D,4,0)</f>
        <v>Amortissement</v>
      </c>
      <c r="W283" s="156" t="str">
        <f>+VLOOKUP($L283,Data_Validation!$A:$E,5,0)</f>
        <v>$</v>
      </c>
      <c r="X283" s="156">
        <f>+VLOOKUP($L283,Data_Validation!$A:$F,6,0)</f>
        <v>0</v>
      </c>
    </row>
    <row r="284" spans="1:24" ht="15" hidden="1" customHeight="1">
      <c r="A284" s="1163" t="s">
        <v>1168</v>
      </c>
      <c r="B284" s="1164">
        <v>6463</v>
      </c>
      <c r="C284" s="1165">
        <v>0</v>
      </c>
      <c r="D284" s="1165">
        <v>1704.54</v>
      </c>
      <c r="E284" s="1165">
        <v>1704.54</v>
      </c>
      <c r="F284" s="1163" t="s">
        <v>401</v>
      </c>
      <c r="G284" s="1163" t="s">
        <v>2634</v>
      </c>
      <c r="H284" s="1171"/>
      <c r="I284" s="1171"/>
      <c r="J284" s="1171"/>
      <c r="K284" s="1172"/>
      <c r="L284" s="153">
        <f t="shared" si="20"/>
        <v>6463</v>
      </c>
      <c r="M284" s="154" t="str">
        <f t="shared" si="21"/>
        <v>REPARATION &amp; ENT. - EQUIP.</v>
      </c>
      <c r="N284" s="155">
        <f>+IF(OR($Q284=Parametres!$G$2,$Q284=Parametres!$G$3),I284,C284)</f>
        <v>0</v>
      </c>
      <c r="O284" s="1106">
        <f>+IF(OR($Q284=Parametres!$G$2,$Q284=Parametres!$G$3),J284,D284)</f>
        <v>1704.54</v>
      </c>
      <c r="P284" s="155">
        <f>+IF(OR($Q284=Parametres!$G$2,$Q284=Parametres!$G$3),K284,E284)</f>
        <v>1704.54</v>
      </c>
      <c r="Q284" s="154" t="str">
        <f t="shared" si="22"/>
        <v>7-Dépenses</v>
      </c>
      <c r="R284" s="153" t="str">
        <f t="shared" si="23"/>
        <v>6163</v>
      </c>
      <c r="S284" s="154">
        <f t="shared" si="24"/>
        <v>0</v>
      </c>
      <c r="T284" s="156">
        <f>+VLOOKUP($L284,Data_Validation!$A:$D,1,0)</f>
        <v>6463</v>
      </c>
      <c r="U284" s="156" t="str">
        <f>+VLOOKUP($L284,Data_Validation!$A:$D,3,0)</f>
        <v>Service</v>
      </c>
      <c r="V284" s="156" t="str">
        <f>+VLOOKUP($L284,Data_Validation!$A:$D,4,0)</f>
        <v>Réparation équipement</v>
      </c>
      <c r="W284" s="156" t="str">
        <f>+VLOOKUP($L284,Data_Validation!$A:$E,5,0)</f>
        <v>$</v>
      </c>
      <c r="X284" s="156">
        <f>+VLOOKUP($L284,Data_Validation!$A:$F,6,0)</f>
        <v>0</v>
      </c>
    </row>
    <row r="285" spans="1:24" ht="15" hidden="1" customHeight="1">
      <c r="A285" s="1163" t="s">
        <v>1311</v>
      </c>
      <c r="B285" s="1164">
        <v>6481</v>
      </c>
      <c r="C285" s="1165">
        <v>0</v>
      </c>
      <c r="D285" s="1165">
        <v>829.46</v>
      </c>
      <c r="E285" s="1165">
        <v>829.46</v>
      </c>
      <c r="F285" s="1163" t="s">
        <v>401</v>
      </c>
      <c r="G285" s="1163" t="s">
        <v>2599</v>
      </c>
      <c r="H285" s="1171"/>
      <c r="I285" s="1173"/>
      <c r="J285" s="1173"/>
      <c r="K285" s="1173"/>
      <c r="L285" s="153">
        <f t="shared" si="20"/>
        <v>6481</v>
      </c>
      <c r="M285" s="154" t="str">
        <f t="shared" si="21"/>
        <v>CHAUFFAGE,ELECTRICITE,EAU-SERVICE</v>
      </c>
      <c r="N285" s="155">
        <f>+IF(OR($Q285=Parametres!$G$2,$Q285=Parametres!$G$3),I285,C285)</f>
        <v>0</v>
      </c>
      <c r="O285" s="1108">
        <f>+IF(OR($Q285=Parametres!$G$2,$Q285=Parametres!$G$3),J285,D285)</f>
        <v>829.46</v>
      </c>
      <c r="P285" s="155">
        <f>+IF(OR($Q285=Parametres!$G$2,$Q285=Parametres!$G$3),K285,E285)</f>
        <v>829.46</v>
      </c>
      <c r="Q285" s="154" t="str">
        <f t="shared" si="22"/>
        <v>7-Dépenses</v>
      </c>
      <c r="R285" s="153" t="str">
        <f t="shared" si="23"/>
        <v>6181</v>
      </c>
      <c r="S285" s="154">
        <f t="shared" si="24"/>
        <v>0</v>
      </c>
      <c r="T285" s="156">
        <f>+VLOOKUP($L285,Data_Validation!$A:$D,1,0)</f>
        <v>6481</v>
      </c>
      <c r="U285" s="156" t="str">
        <f>+VLOOKUP($L285,Data_Validation!$A:$D,3,0)</f>
        <v>Service</v>
      </c>
      <c r="V285" s="156" t="str">
        <f>+VLOOKUP($L285,Data_Validation!$A:$D,4,0)</f>
        <v>Chauffage, éclairage</v>
      </c>
      <c r="W285" s="156" t="str">
        <f>+VLOOKUP($L285,Data_Validation!$A:$E,5,0)</f>
        <v>$</v>
      </c>
      <c r="X285" s="156">
        <f>+VLOOKUP($L285,Data_Validation!$A:$F,6,0)</f>
        <v>0</v>
      </c>
    </row>
    <row r="286" spans="1:24" ht="15" hidden="1" customHeight="1">
      <c r="A286" s="1163" t="s">
        <v>1452</v>
      </c>
      <c r="B286" s="1164">
        <v>6482</v>
      </c>
      <c r="C286" s="1165">
        <v>0</v>
      </c>
      <c r="D286" s="1165">
        <v>6240</v>
      </c>
      <c r="E286" s="1165">
        <v>6240</v>
      </c>
      <c r="F286" s="1163" t="s">
        <v>401</v>
      </c>
      <c r="G286" s="1163" t="s">
        <v>2704</v>
      </c>
      <c r="H286" s="1171"/>
      <c r="I286" s="1173"/>
      <c r="J286" s="1173"/>
      <c r="K286" s="1173"/>
      <c r="L286" s="153">
        <f t="shared" si="20"/>
        <v>6482</v>
      </c>
      <c r="M286" s="154" t="str">
        <f t="shared" si="21"/>
        <v>LOYER - SERVICE</v>
      </c>
      <c r="N286" s="155">
        <f>+IF(OR($Q286=Parametres!$G$2,$Q286=Parametres!$G$3),I286,C286)</f>
        <v>0</v>
      </c>
      <c r="O286" s="1106">
        <f>+IF(OR($Q286=Parametres!$G$2,$Q286=Parametres!$G$3),J286,D286)</f>
        <v>6240</v>
      </c>
      <c r="P286" s="155">
        <f>+IF(OR($Q286=Parametres!$G$2,$Q286=Parametres!$G$3),K286,E286)</f>
        <v>6240</v>
      </c>
      <c r="Q286" s="154" t="str">
        <f t="shared" si="22"/>
        <v>7-Dépenses</v>
      </c>
      <c r="R286" s="153" t="str">
        <f t="shared" si="23"/>
        <v>6182</v>
      </c>
      <c r="S286" s="154">
        <f t="shared" si="24"/>
        <v>0</v>
      </c>
      <c r="T286" s="156">
        <f>+VLOOKUP($L286,Data_Validation!$A:$D,1,0)</f>
        <v>6482</v>
      </c>
      <c r="U286" s="156" t="str">
        <f>+VLOOKUP($L286,Data_Validation!$A:$D,3,0)</f>
        <v>Service</v>
      </c>
      <c r="V286" s="156" t="str">
        <f>+VLOOKUP($L286,Data_Validation!$A:$D,4,0)</f>
        <v>Loyer</v>
      </c>
      <c r="W286" s="156" t="str">
        <f>+VLOOKUP($L286,Data_Validation!$A:$E,5,0)</f>
        <v>$</v>
      </c>
      <c r="X286" s="156">
        <f>+VLOOKUP($L286,Data_Validation!$A:$F,6,0)</f>
        <v>0</v>
      </c>
    </row>
    <row r="287" spans="1:24" ht="15.75" hidden="1" customHeight="1">
      <c r="A287" s="1163" t="s">
        <v>1347</v>
      </c>
      <c r="B287" s="1164">
        <v>6486</v>
      </c>
      <c r="C287" s="1165">
        <v>0</v>
      </c>
      <c r="D287" s="1165">
        <v>1025.04</v>
      </c>
      <c r="E287" s="1165">
        <v>1025.04</v>
      </c>
      <c r="F287" s="1163" t="s">
        <v>401</v>
      </c>
      <c r="G287" s="1163" t="s">
        <v>2589</v>
      </c>
      <c r="H287" s="1168"/>
      <c r="I287" s="1174"/>
      <c r="J287" s="1174"/>
      <c r="K287" s="1174"/>
      <c r="L287" s="153">
        <f t="shared" si="20"/>
        <v>6486</v>
      </c>
      <c r="M287" s="154" t="str">
        <f t="shared" si="21"/>
        <v>ASSURANCE BATISSE &amp; AMEL.-SERVICE</v>
      </c>
      <c r="N287" s="155">
        <f>+IF(OR($Q287=Parametres!$G$2,$Q287=Parametres!$G$3),I287,C287)</f>
        <v>0</v>
      </c>
      <c r="O287" s="1108">
        <f>+IF(OR($Q287=Parametres!$G$2,$Q287=Parametres!$G$3),J287,D287)</f>
        <v>1025.04</v>
      </c>
      <c r="P287" s="155">
        <f>+IF(OR($Q287=Parametres!$G$2,$Q287=Parametres!$G$3),K287,E287)</f>
        <v>1025.04</v>
      </c>
      <c r="Q287" s="154" t="str">
        <f t="shared" si="22"/>
        <v>7-Dépenses</v>
      </c>
      <c r="R287" s="153" t="str">
        <f t="shared" si="23"/>
        <v>6186</v>
      </c>
      <c r="S287" s="154">
        <f t="shared" si="24"/>
        <v>0</v>
      </c>
      <c r="T287" s="156">
        <f>+VLOOKUP($L287,Data_Validation!$A:$D,1,0)</f>
        <v>6486</v>
      </c>
      <c r="U287" s="156" t="str">
        <f>+VLOOKUP($L287,Data_Validation!$A:$D,3,0)</f>
        <v>Service</v>
      </c>
      <c r="V287" s="156" t="str">
        <f>+VLOOKUP($L287,Data_Validation!$A:$D,4,0)</f>
        <v>Assurances</v>
      </c>
      <c r="W287" s="156" t="str">
        <f>+VLOOKUP($L287,Data_Validation!$A:$E,5,0)</f>
        <v>$</v>
      </c>
      <c r="X287" s="156">
        <f>+VLOOKUP($L287,Data_Validation!$A:$F,6,0)</f>
        <v>0</v>
      </c>
    </row>
    <row r="288" spans="1:24" ht="15" hidden="1" customHeight="1">
      <c r="A288" s="1163" t="s">
        <v>1340</v>
      </c>
      <c r="B288" s="1164">
        <v>6487</v>
      </c>
      <c r="C288" s="1165">
        <v>0</v>
      </c>
      <c r="D288" s="1165">
        <v>1183.2</v>
      </c>
      <c r="E288" s="1165">
        <v>1183.2</v>
      </c>
      <c r="F288" s="1163" t="s">
        <v>401</v>
      </c>
      <c r="G288" s="1163" t="s">
        <v>2609</v>
      </c>
      <c r="H288" s="1168"/>
      <c r="I288" s="1170"/>
      <c r="J288" s="1170"/>
      <c r="K288" s="1170"/>
      <c r="L288" s="153">
        <f t="shared" si="20"/>
        <v>6487</v>
      </c>
      <c r="M288" s="154" t="str">
        <f t="shared" si="21"/>
        <v>TAXES FONCIERES - SERVICE</v>
      </c>
      <c r="N288" s="155">
        <f>+IF(OR($Q288=Parametres!$G$2,$Q288=Parametres!$G$3),I288,C288)</f>
        <v>0</v>
      </c>
      <c r="O288" s="1108">
        <f>+IF(OR($Q288=Parametres!$G$2,$Q288=Parametres!$G$3),J288,D288)</f>
        <v>1183.2</v>
      </c>
      <c r="P288" s="155">
        <f>+IF(OR($Q288=Parametres!$G$2,$Q288=Parametres!$G$3),K288,E288)</f>
        <v>1183.2</v>
      </c>
      <c r="Q288" s="154" t="str">
        <f t="shared" si="22"/>
        <v>7-Dépenses</v>
      </c>
      <c r="R288" s="153" t="str">
        <f t="shared" si="23"/>
        <v>6187</v>
      </c>
      <c r="S288" s="154">
        <f t="shared" si="24"/>
        <v>0</v>
      </c>
      <c r="T288" s="156">
        <f>+VLOOKUP($L288,Data_Validation!$A:$D,1,0)</f>
        <v>6487</v>
      </c>
      <c r="U288" s="156" t="str">
        <f>+VLOOKUP($L288,Data_Validation!$A:$D,3,0)</f>
        <v>Service</v>
      </c>
      <c r="V288" s="156" t="str">
        <f>+VLOOKUP($L288,Data_Validation!$A:$D,4,0)</f>
        <v>Taxes foncières</v>
      </c>
      <c r="W288" s="156" t="str">
        <f>+VLOOKUP($L288,Data_Validation!$A:$E,5,0)</f>
        <v>$</v>
      </c>
      <c r="X288" s="156">
        <f>+VLOOKUP($L288,Data_Validation!$A:$F,6,0)</f>
        <v>0</v>
      </c>
    </row>
    <row r="289" spans="1:24" ht="15" hidden="1" customHeight="1">
      <c r="A289" s="1163" t="s">
        <v>1274</v>
      </c>
      <c r="B289" s="1164">
        <v>6493</v>
      </c>
      <c r="C289" s="1165">
        <v>0</v>
      </c>
      <c r="D289" s="1165">
        <v>787.2</v>
      </c>
      <c r="E289" s="1165">
        <v>787.2</v>
      </c>
      <c r="F289" s="1163" t="s">
        <v>401</v>
      </c>
      <c r="G289" s="1163" t="s">
        <v>2592</v>
      </c>
      <c r="H289" s="1171"/>
      <c r="I289" s="1172"/>
      <c r="J289" s="1171"/>
      <c r="K289" s="1172"/>
      <c r="L289" s="153">
        <f t="shared" si="20"/>
        <v>6493</v>
      </c>
      <c r="M289" s="154" t="str">
        <f t="shared" si="21"/>
        <v>AUTRE TAXES-SERVICE</v>
      </c>
      <c r="N289" s="155">
        <f>+IF(OR($Q289=Parametres!$G$2,$Q289=Parametres!$G$3),I289,C289)</f>
        <v>0</v>
      </c>
      <c r="O289" s="1108">
        <f>+IF(OR($Q289=Parametres!$G$2,$Q289=Parametres!$G$3),J289,D289)</f>
        <v>787.2</v>
      </c>
      <c r="P289" s="155">
        <f>+IF(OR($Q289=Parametres!$G$2,$Q289=Parametres!$G$3),K289,E289)</f>
        <v>787.2</v>
      </c>
      <c r="Q289" s="154" t="str">
        <f t="shared" si="22"/>
        <v>7-Dépenses</v>
      </c>
      <c r="R289" s="153" t="str">
        <f t="shared" si="23"/>
        <v>6193</v>
      </c>
      <c r="S289" s="154">
        <f t="shared" si="24"/>
        <v>0</v>
      </c>
      <c r="T289" s="156">
        <f>+VLOOKUP($L289,Data_Validation!$A:$D,1,0)</f>
        <v>6493</v>
      </c>
      <c r="U289" s="156" t="str">
        <f>+VLOOKUP($L289,Data_Validation!$A:$D,3,0)</f>
        <v>Service</v>
      </c>
      <c r="V289" s="156" t="str">
        <f>+VLOOKUP($L289,Data_Validation!$A:$D,4,0)</f>
        <v>Taxes d`affaires</v>
      </c>
      <c r="W289" s="156" t="str">
        <f>+VLOOKUP($L289,Data_Validation!$A:$E,5,0)</f>
        <v>$</v>
      </c>
      <c r="X289" s="156">
        <f>+VLOOKUP($L289,Data_Validation!$A:$F,6,0)</f>
        <v>0</v>
      </c>
    </row>
    <row r="290" spans="1:24" ht="15" hidden="1" customHeight="1">
      <c r="A290" s="1163" t="s">
        <v>1367</v>
      </c>
      <c r="B290" s="1164">
        <v>6494</v>
      </c>
      <c r="C290" s="1165">
        <v>0</v>
      </c>
      <c r="D290" s="1165">
        <v>1469.6</v>
      </c>
      <c r="E290" s="1165">
        <v>1469.6</v>
      </c>
      <c r="F290" s="1163" t="s">
        <v>401</v>
      </c>
      <c r="G290" s="1163" t="s">
        <v>2630</v>
      </c>
      <c r="H290" s="1171"/>
      <c r="I290" s="1173"/>
      <c r="J290" s="1173"/>
      <c r="K290" s="1173"/>
      <c r="L290" s="153">
        <f t="shared" si="20"/>
        <v>6494</v>
      </c>
      <c r="M290" s="154" t="str">
        <f t="shared" si="21"/>
        <v>FRAIS PROFESSIONNEL-SERVICE</v>
      </c>
      <c r="N290" s="155">
        <f>+IF(OR($Q290=Parametres!$G$2,$Q290=Parametres!$G$3),I290,C290)</f>
        <v>0</v>
      </c>
      <c r="O290" s="1108">
        <f>+IF(OR($Q290=Parametres!$G$2,$Q290=Parametres!$G$3),J290,D290)</f>
        <v>1469.6</v>
      </c>
      <c r="P290" s="155">
        <f>+IF(OR($Q290=Parametres!$G$2,$Q290=Parametres!$G$3),K290,E290)</f>
        <v>1469.6</v>
      </c>
      <c r="Q290" s="154" t="str">
        <f t="shared" si="22"/>
        <v>7-Dépenses</v>
      </c>
      <c r="R290" s="153" t="str">
        <f t="shared" si="23"/>
        <v>6194</v>
      </c>
      <c r="S290" s="154">
        <f t="shared" si="24"/>
        <v>0</v>
      </c>
      <c r="T290" s="156">
        <f>+VLOOKUP($L290,Data_Validation!$A:$D,1,0)</f>
        <v>6494</v>
      </c>
      <c r="U290" s="156" t="str">
        <f>+VLOOKUP($L290,Data_Validation!$A:$D,3,0)</f>
        <v>Service</v>
      </c>
      <c r="V290" s="156" t="str">
        <f>+VLOOKUP($L290,Data_Validation!$A:$D,4,0)</f>
        <v>Honoraires</v>
      </c>
      <c r="W290" s="156" t="str">
        <f>+VLOOKUP($L290,Data_Validation!$A:$E,5,0)</f>
        <v>$</v>
      </c>
      <c r="X290" s="156">
        <f>+VLOOKUP($L290,Data_Validation!$A:$F,6,0)</f>
        <v>0</v>
      </c>
    </row>
    <row r="291" spans="1:24" ht="15.75" hidden="1" customHeight="1">
      <c r="A291" s="1163" t="s">
        <v>399</v>
      </c>
      <c r="B291" s="1164">
        <v>6503</v>
      </c>
      <c r="C291" s="1165">
        <v>0</v>
      </c>
      <c r="D291" s="1165">
        <v>439.94</v>
      </c>
      <c r="E291" s="1165">
        <v>439.94</v>
      </c>
      <c r="F291" s="1163" t="s">
        <v>401</v>
      </c>
      <c r="G291" s="1163" t="s">
        <v>2462</v>
      </c>
      <c r="H291" s="1171"/>
      <c r="I291" s="1171"/>
      <c r="J291" s="1171"/>
      <c r="K291" s="1172"/>
      <c r="L291" s="153">
        <f t="shared" si="20"/>
        <v>6503</v>
      </c>
      <c r="M291" s="154" t="str">
        <f t="shared" si="21"/>
        <v>RELAT. A LA CLIENTELE &amp; AJUST.</v>
      </c>
      <c r="N291" s="155">
        <f>+IF(OR($Q291=Parametres!$G$2,$Q291=Parametres!$G$3),I291,C291)</f>
        <v>0</v>
      </c>
      <c r="O291" s="1109">
        <f>+IF(OR($Q291=Parametres!$G$2,$Q291=Parametres!$G$3),J291,D291)</f>
        <v>439.94</v>
      </c>
      <c r="P291" s="155">
        <f>+IF(OR($Q291=Parametres!$G$2,$Q291=Parametres!$G$3),K291,E291)</f>
        <v>439.94</v>
      </c>
      <c r="Q291" s="154" t="str">
        <f t="shared" si="22"/>
        <v>7-Dépenses</v>
      </c>
      <c r="R291" s="153" t="str">
        <f t="shared" si="23"/>
        <v>6112</v>
      </c>
      <c r="S291" s="154">
        <f t="shared" si="24"/>
        <v>0</v>
      </c>
      <c r="T291" s="156">
        <f>+VLOOKUP($L291,Data_Validation!$A:$D,1,0)</f>
        <v>6503</v>
      </c>
      <c r="U291" s="156" t="str">
        <f>+VLOOKUP($L291,Data_Validation!$A:$D,3,0)</f>
        <v>Carrosserie</v>
      </c>
      <c r="V291" s="156" t="str">
        <f>+VLOOKUP($L291,Data_Validation!$A:$D,4,0)</f>
        <v>Service gratuit 2</v>
      </c>
      <c r="W291" s="156" t="str">
        <f>+VLOOKUP($L291,Data_Validation!$A:$E,5,0)</f>
        <v>$</v>
      </c>
      <c r="X291" s="156">
        <f>+VLOOKUP($L291,Data_Validation!$A:$F,6,0)</f>
        <v>0</v>
      </c>
    </row>
    <row r="292" spans="1:24" ht="15" hidden="1" customHeight="1">
      <c r="A292" s="1163" t="s">
        <v>1374</v>
      </c>
      <c r="B292" s="1164">
        <v>6514</v>
      </c>
      <c r="C292" s="1165">
        <v>0</v>
      </c>
      <c r="D292" s="1165">
        <v>7.0000000000000007E-2</v>
      </c>
      <c r="E292" s="1165">
        <v>7.0000000000000007E-2</v>
      </c>
      <c r="F292" s="1163" t="s">
        <v>401</v>
      </c>
      <c r="G292" s="1163" t="s">
        <v>2110</v>
      </c>
      <c r="H292" s="1171"/>
      <c r="I292" s="1173"/>
      <c r="J292" s="1173"/>
      <c r="K292" s="1173"/>
      <c r="L292" s="153">
        <f t="shared" si="20"/>
        <v>6514</v>
      </c>
      <c r="M292" s="154" t="str">
        <f t="shared" si="21"/>
        <v>PUBLICITE</v>
      </c>
      <c r="N292" s="155">
        <f>+IF(OR($Q292=Parametres!$G$2,$Q292=Parametres!$G$3),I292,C292)</f>
        <v>0</v>
      </c>
      <c r="O292" s="1108">
        <f>+IF(OR($Q292=Parametres!$G$2,$Q292=Parametres!$G$3),J292,D292)</f>
        <v>7.0000000000000007E-2</v>
      </c>
      <c r="P292" s="155">
        <f>+IF(OR($Q292=Parametres!$G$2,$Q292=Parametres!$G$3),K292,E292)</f>
        <v>7.0000000000000007E-2</v>
      </c>
      <c r="Q292" s="154" t="str">
        <f t="shared" si="22"/>
        <v>7-Dépenses</v>
      </c>
      <c r="R292" s="153" t="str">
        <f t="shared" si="23"/>
        <v>6114</v>
      </c>
      <c r="S292" s="154">
        <f t="shared" si="24"/>
        <v>0</v>
      </c>
      <c r="T292" s="156">
        <f>+VLOOKUP($L292,Data_Validation!$A:$D,1,0)</f>
        <v>6514</v>
      </c>
      <c r="U292" s="156" t="str">
        <f>+VLOOKUP($L292,Data_Validation!$A:$D,3,0)</f>
        <v>Carrosserie</v>
      </c>
      <c r="V292" s="156" t="str">
        <f>+VLOOKUP($L292,Data_Validation!$A:$D,4,0)</f>
        <v>Publicité 2</v>
      </c>
      <c r="W292" s="156" t="str">
        <f>+VLOOKUP($L292,Data_Validation!$A:$E,5,0)</f>
        <v>$</v>
      </c>
      <c r="X292" s="156">
        <f>+VLOOKUP($L292,Data_Validation!$A:$F,6,0)</f>
        <v>0</v>
      </c>
    </row>
    <row r="293" spans="1:24" ht="15" hidden="1" customHeight="1">
      <c r="A293" s="1163" t="s">
        <v>1259</v>
      </c>
      <c r="B293" s="1164">
        <v>6521</v>
      </c>
      <c r="C293" s="1165">
        <v>0</v>
      </c>
      <c r="D293" s="1165">
        <v>376.11</v>
      </c>
      <c r="E293" s="1165">
        <v>376.11</v>
      </c>
      <c r="F293" s="1163" t="s">
        <v>401</v>
      </c>
      <c r="G293" s="1163" t="s">
        <v>2643</v>
      </c>
      <c r="H293" s="1171"/>
      <c r="I293" s="1171"/>
      <c r="J293" s="1171"/>
      <c r="K293" s="1171"/>
      <c r="L293" s="153">
        <f t="shared" si="20"/>
        <v>6521</v>
      </c>
      <c r="M293" s="154" t="str">
        <f t="shared" si="21"/>
        <v>SALAIRES - PROPRIETAIRES</v>
      </c>
      <c r="N293" s="155">
        <f>+IF(OR($Q293=Parametres!$G$2,$Q293=Parametres!$G$3),I293,C293)</f>
        <v>0</v>
      </c>
      <c r="O293" s="1108">
        <f>+IF(OR($Q293=Parametres!$G$2,$Q293=Parametres!$G$3),J293,D293)</f>
        <v>376.11</v>
      </c>
      <c r="P293" s="155">
        <f>+IF(OR($Q293=Parametres!$G$2,$Q293=Parametres!$G$3),K293,E293)</f>
        <v>376.11</v>
      </c>
      <c r="Q293" s="154" t="str">
        <f t="shared" si="22"/>
        <v>7-Dépenses</v>
      </c>
      <c r="R293" s="153" t="str">
        <f t="shared" si="23"/>
        <v>6121</v>
      </c>
      <c r="S293" s="154">
        <f t="shared" si="24"/>
        <v>0</v>
      </c>
      <c r="T293" s="156">
        <f>+VLOOKUP($L293,Data_Validation!$A:$D,1,0)</f>
        <v>6521</v>
      </c>
      <c r="U293" s="156" t="str">
        <f>+VLOOKUP($L293,Data_Validation!$A:$D,3,0)</f>
        <v>Carrosserie</v>
      </c>
      <c r="V293" s="156" t="str">
        <f>+VLOOKUP($L293,Data_Validation!$A:$D,4,0)</f>
        <v>Salaires propriétaire</v>
      </c>
      <c r="W293" s="156" t="str">
        <f>+VLOOKUP($L293,Data_Validation!$A:$E,5,0)</f>
        <v>$</v>
      </c>
      <c r="X293" s="156">
        <f>+VLOOKUP($L293,Data_Validation!$A:$F,6,0)</f>
        <v>0</v>
      </c>
    </row>
    <row r="294" spans="1:24" ht="15" hidden="1" customHeight="1">
      <c r="A294" s="1163" t="s">
        <v>2619</v>
      </c>
      <c r="B294" s="1164">
        <v>6522</v>
      </c>
      <c r="C294" s="1165">
        <v>0</v>
      </c>
      <c r="D294" s="1165">
        <v>1401.88</v>
      </c>
      <c r="E294" s="1165">
        <v>1401.88</v>
      </c>
      <c r="F294" s="1163" t="s">
        <v>401</v>
      </c>
      <c r="G294" s="1163" t="s">
        <v>2621</v>
      </c>
      <c r="H294" s="1171"/>
      <c r="I294" s="1171"/>
      <c r="J294" s="1171"/>
      <c r="K294" s="1171"/>
      <c r="L294" s="153">
        <f t="shared" si="20"/>
        <v>6522</v>
      </c>
      <c r="M294" s="154" t="str">
        <f t="shared" si="21"/>
        <v>SAL SUPERVISION / GERANT</v>
      </c>
      <c r="N294" s="155">
        <f>+IF(OR($Q294=Parametres!$G$2,$Q294=Parametres!$G$3),I294,C294)</f>
        <v>0</v>
      </c>
      <c r="O294" s="1108">
        <f>+IF(OR($Q294=Parametres!$G$2,$Q294=Parametres!$G$3),J294,D294)</f>
        <v>1401.88</v>
      </c>
      <c r="P294" s="155">
        <f>+IF(OR($Q294=Parametres!$G$2,$Q294=Parametres!$G$3),K294,E294)</f>
        <v>1401.88</v>
      </c>
      <c r="Q294" s="154" t="str">
        <f t="shared" si="22"/>
        <v>7-Dépenses</v>
      </c>
      <c r="R294" s="153" t="str">
        <f t="shared" si="23"/>
        <v>6122</v>
      </c>
      <c r="S294" s="154">
        <f t="shared" si="24"/>
        <v>0</v>
      </c>
      <c r="T294" s="156">
        <f>+VLOOKUP($L294,Data_Validation!$A:$D,1,0)</f>
        <v>6522</v>
      </c>
      <c r="U294" s="156" t="str">
        <f>+VLOOKUP($L294,Data_Validation!$A:$D,3,0)</f>
        <v>Carrosserie</v>
      </c>
      <c r="V294" s="156" t="str">
        <f>+VLOOKUP($L294,Data_Validation!$A:$D,4,0)</f>
        <v>Salaires cadres</v>
      </c>
      <c r="W294" s="156" t="str">
        <f>+VLOOKUP($L294,Data_Validation!$A:$E,5,0)</f>
        <v>$</v>
      </c>
      <c r="X294" s="156">
        <f>+VLOOKUP($L294,Data_Validation!$A:$F,6,0)</f>
        <v>0</v>
      </c>
    </row>
    <row r="295" spans="1:24" ht="15" hidden="1" customHeight="1">
      <c r="A295" s="1163" t="s">
        <v>1266</v>
      </c>
      <c r="B295" s="1164">
        <v>6523</v>
      </c>
      <c r="C295" s="1165">
        <v>0</v>
      </c>
      <c r="D295" s="1165">
        <v>443.57</v>
      </c>
      <c r="E295" s="1165">
        <v>443.57</v>
      </c>
      <c r="F295" s="1163" t="s">
        <v>401</v>
      </c>
      <c r="G295" s="1163" t="s">
        <v>2674</v>
      </c>
      <c r="H295" s="1168"/>
      <c r="I295" s="1170"/>
      <c r="J295" s="1170"/>
      <c r="K295" s="1170"/>
      <c r="L295" s="153">
        <f t="shared" si="20"/>
        <v>6523</v>
      </c>
      <c r="M295" s="154" t="str">
        <f t="shared" si="21"/>
        <v>SAL. &amp; RENUM. CLERICAL</v>
      </c>
      <c r="N295" s="155">
        <f>+IF(OR($Q295=Parametres!$G$2,$Q295=Parametres!$G$3),I295,C295)</f>
        <v>0</v>
      </c>
      <c r="O295" s="1108">
        <f>+IF(OR($Q295=Parametres!$G$2,$Q295=Parametres!$G$3),J295,D295)</f>
        <v>443.57</v>
      </c>
      <c r="P295" s="155">
        <f>+IF(OR($Q295=Parametres!$G$2,$Q295=Parametres!$G$3),K295,E295)</f>
        <v>443.57</v>
      </c>
      <c r="Q295" s="154" t="str">
        <f t="shared" si="22"/>
        <v>7-Dépenses</v>
      </c>
      <c r="R295" s="153" t="str">
        <f t="shared" si="23"/>
        <v>6123</v>
      </c>
      <c r="S295" s="154">
        <f t="shared" si="24"/>
        <v>0</v>
      </c>
      <c r="T295" s="156">
        <f>+VLOOKUP($L295,Data_Validation!$A:$D,1,0)</f>
        <v>6523</v>
      </c>
      <c r="U295" s="156" t="str">
        <f>+VLOOKUP($L295,Data_Validation!$A:$D,3,0)</f>
        <v>Carrosserie</v>
      </c>
      <c r="V295" s="156" t="str">
        <f>+VLOOKUP($L295,Data_Validation!$A:$D,4,0)</f>
        <v>Salaires commis</v>
      </c>
      <c r="W295" s="156" t="str">
        <f>+VLOOKUP($L295,Data_Validation!$A:$E,5,0)</f>
        <v>$</v>
      </c>
      <c r="X295" s="156">
        <f>+VLOOKUP($L295,Data_Validation!$A:$F,6,0)</f>
        <v>0</v>
      </c>
    </row>
    <row r="296" spans="1:24" ht="15" hidden="1" customHeight="1">
      <c r="A296" s="1163" t="s">
        <v>1249</v>
      </c>
      <c r="B296" s="1164">
        <v>6524</v>
      </c>
      <c r="C296" s="1165">
        <v>0</v>
      </c>
      <c r="D296" s="1165">
        <v>3271.37</v>
      </c>
      <c r="E296" s="1165">
        <v>3271.37</v>
      </c>
      <c r="F296" s="1163" t="s">
        <v>401</v>
      </c>
      <c r="G296" s="1163" t="s">
        <v>2730</v>
      </c>
      <c r="H296" s="1175"/>
      <c r="I296" s="1178"/>
      <c r="J296" s="1178"/>
      <c r="K296" s="1178"/>
      <c r="L296" s="153">
        <f t="shared" si="20"/>
        <v>6524</v>
      </c>
      <c r="M296" s="154" t="str">
        <f t="shared" si="21"/>
        <v>SALAIRES &amp; RENUM. - AUTRES</v>
      </c>
      <c r="N296" s="155">
        <f>+IF(OR($Q296=Parametres!$G$2,$Q296=Parametres!$G$3),I296,C296)</f>
        <v>0</v>
      </c>
      <c r="O296" s="1108">
        <f>+IF(OR($Q296=Parametres!$G$2,$Q296=Parametres!$G$3),J296,D296)</f>
        <v>3271.37</v>
      </c>
      <c r="P296" s="155">
        <f>+IF(OR($Q296=Parametres!$G$2,$Q296=Parametres!$G$3),K296,E296)</f>
        <v>3271.37</v>
      </c>
      <c r="Q296" s="154" t="str">
        <f t="shared" si="22"/>
        <v>7-Dépenses</v>
      </c>
      <c r="R296" s="153" t="str">
        <f t="shared" si="23"/>
        <v>6124</v>
      </c>
      <c r="S296" s="154">
        <f t="shared" si="24"/>
        <v>0</v>
      </c>
      <c r="T296" s="156">
        <f>+VLOOKUP($L296,Data_Validation!$A:$D,1,0)</f>
        <v>6524</v>
      </c>
      <c r="U296" s="156" t="str">
        <f>+VLOOKUP($L296,Data_Validation!$A:$D,3,0)</f>
        <v>Carrosserie</v>
      </c>
      <c r="V296" s="156" t="str">
        <f>+VLOOKUP($L296,Data_Validation!$A:$D,4,0)</f>
        <v>Salaires autres</v>
      </c>
      <c r="W296" s="156" t="str">
        <f>+VLOOKUP($L296,Data_Validation!$A:$E,5,0)</f>
        <v>$</v>
      </c>
      <c r="X296" s="156">
        <f>+VLOOKUP($L296,Data_Validation!$A:$F,6,0)</f>
        <v>0</v>
      </c>
    </row>
    <row r="297" spans="1:24" ht="15.75" hidden="1" customHeight="1">
      <c r="A297" s="1163" t="s">
        <v>1330</v>
      </c>
      <c r="B297" s="1164">
        <v>6525</v>
      </c>
      <c r="C297" s="1165">
        <v>0</v>
      </c>
      <c r="D297" s="1165">
        <v>150</v>
      </c>
      <c r="E297" s="1165">
        <v>150</v>
      </c>
      <c r="F297" s="1163" t="s">
        <v>401</v>
      </c>
      <c r="G297" s="1163" t="s">
        <v>2716</v>
      </c>
      <c r="H297" s="1168"/>
      <c r="I297" s="1170"/>
      <c r="J297" s="1170"/>
      <c r="K297" s="1170"/>
      <c r="L297" s="153">
        <f t="shared" si="20"/>
        <v>6525</v>
      </c>
      <c r="M297" s="154" t="str">
        <f t="shared" si="21"/>
        <v>SALAIRE SPECIALISTES</v>
      </c>
      <c r="N297" s="155">
        <f>+IF(OR($Q297=Parametres!$G$2,$Q297=Parametres!$G$3),I297,C297)</f>
        <v>0</v>
      </c>
      <c r="O297" s="1108">
        <f>+IF(OR($Q297=Parametres!$G$2,$Q297=Parametres!$G$3),J297,D297)</f>
        <v>150</v>
      </c>
      <c r="P297" s="155">
        <f>+IF(OR($Q297=Parametres!$G$2,$Q297=Parametres!$G$3),K297,E297)</f>
        <v>150</v>
      </c>
      <c r="Q297" s="154" t="str">
        <f t="shared" si="22"/>
        <v>7-Dépenses</v>
      </c>
      <c r="R297" s="153" t="str">
        <f t="shared" si="23"/>
        <v>6125</v>
      </c>
      <c r="S297" s="154">
        <f t="shared" si="24"/>
        <v>0</v>
      </c>
      <c r="T297" s="156">
        <f>+VLOOKUP($L297,Data_Validation!$A:$D,1,0)</f>
        <v>6525</v>
      </c>
      <c r="U297" s="156" t="str">
        <f>+VLOOKUP($L297,Data_Validation!$A:$D,3,0)</f>
        <v>Carrosserie</v>
      </c>
      <c r="V297" s="156" t="str">
        <f>+VLOOKUP($L297,Data_Validation!$A:$D,4,0)</f>
        <v>Salaires spécialistes</v>
      </c>
      <c r="W297" s="156" t="str">
        <f>+VLOOKUP($L297,Data_Validation!$A:$E,5,0)</f>
        <v>$</v>
      </c>
      <c r="X297" s="156">
        <f>+VLOOKUP($L297,Data_Validation!$A:$F,6,0)</f>
        <v>0</v>
      </c>
    </row>
    <row r="298" spans="1:24" ht="15" hidden="1" customHeight="1">
      <c r="A298" s="1163" t="s">
        <v>1211</v>
      </c>
      <c r="B298" s="1164">
        <v>6529</v>
      </c>
      <c r="C298" s="1165">
        <v>0</v>
      </c>
      <c r="D298" s="1165">
        <v>657.69</v>
      </c>
      <c r="E298" s="1165">
        <v>657.69</v>
      </c>
      <c r="F298" s="1163" t="s">
        <v>401</v>
      </c>
      <c r="G298" s="1163" t="s">
        <v>2636</v>
      </c>
      <c r="H298" s="1177"/>
      <c r="I298" s="1177"/>
      <c r="J298" s="1177"/>
      <c r="K298" s="1177"/>
      <c r="L298" s="153">
        <f t="shared" si="20"/>
        <v>6529</v>
      </c>
      <c r="M298" s="154" t="str">
        <f t="shared" si="21"/>
        <v>ABS.,VACANCES &amp; SAL. JOURS FER</v>
      </c>
      <c r="N298" s="155">
        <f>+IF(OR($Q298=Parametres!$G$2,$Q298=Parametres!$G$3),I298,C298)</f>
        <v>0</v>
      </c>
      <c r="O298" s="1108">
        <f>+IF(OR($Q298=Parametres!$G$2,$Q298=Parametres!$G$3),J298,D298)</f>
        <v>657.69</v>
      </c>
      <c r="P298" s="155">
        <f>+IF(OR($Q298=Parametres!$G$2,$Q298=Parametres!$G$3),K298,E298)</f>
        <v>657.69</v>
      </c>
      <c r="Q298" s="154" t="str">
        <f t="shared" si="22"/>
        <v>7-Dépenses</v>
      </c>
      <c r="R298" s="153" t="str">
        <f t="shared" si="23"/>
        <v>6129</v>
      </c>
      <c r="S298" s="154">
        <f t="shared" si="24"/>
        <v>0</v>
      </c>
      <c r="T298" s="156">
        <f>+VLOOKUP($L298,Data_Validation!$A:$D,1,0)</f>
        <v>6529</v>
      </c>
      <c r="U298" s="156" t="str">
        <f>+VLOOKUP($L298,Data_Validation!$A:$D,3,0)</f>
        <v>Carrosserie</v>
      </c>
      <c r="V298" s="156" t="str">
        <f>+VLOOKUP($L298,Data_Validation!$A:$D,4,0)</f>
        <v>Salaires en absences</v>
      </c>
      <c r="W298" s="156" t="str">
        <f>+VLOOKUP($L298,Data_Validation!$A:$E,5,0)</f>
        <v>$</v>
      </c>
      <c r="X298" s="156">
        <f>+VLOOKUP($L298,Data_Validation!$A:$F,6,0)</f>
        <v>0</v>
      </c>
    </row>
    <row r="299" spans="1:24" ht="15" hidden="1" customHeight="1">
      <c r="A299" s="1163" t="s">
        <v>1252</v>
      </c>
      <c r="B299" s="1164">
        <v>6531</v>
      </c>
      <c r="C299" s="1165">
        <v>0</v>
      </c>
      <c r="D299" s="1165">
        <v>198</v>
      </c>
      <c r="E299" s="1165">
        <v>198</v>
      </c>
      <c r="F299" s="1163" t="s">
        <v>401</v>
      </c>
      <c r="G299" s="1163" t="s">
        <v>2581</v>
      </c>
      <c r="H299" s="1177"/>
      <c r="I299" s="1177"/>
      <c r="J299" s="1177"/>
      <c r="K299" s="1177"/>
      <c r="L299" s="153">
        <f t="shared" si="20"/>
        <v>6531</v>
      </c>
      <c r="M299" s="154" t="str">
        <f t="shared" si="21"/>
        <v>CSST</v>
      </c>
      <c r="N299" s="155">
        <f>+IF(OR($Q299=Parametres!$G$2,$Q299=Parametres!$G$3),I299,C299)</f>
        <v>0</v>
      </c>
      <c r="O299" s="1108">
        <f>+IF(OR($Q299=Parametres!$G$2,$Q299=Parametres!$G$3),J299,D299)</f>
        <v>198</v>
      </c>
      <c r="P299" s="155">
        <f>+IF(OR($Q299=Parametres!$G$2,$Q299=Parametres!$G$3),K299,E299)</f>
        <v>198</v>
      </c>
      <c r="Q299" s="154" t="str">
        <f t="shared" si="22"/>
        <v>7-Dépenses</v>
      </c>
      <c r="R299" s="153" t="str">
        <f t="shared" si="23"/>
        <v>6131</v>
      </c>
      <c r="S299" s="154">
        <f t="shared" si="24"/>
        <v>0</v>
      </c>
      <c r="T299" s="156">
        <f>+VLOOKUP($L299,Data_Validation!$A:$D,1,0)</f>
        <v>6531</v>
      </c>
      <c r="U299" s="156" t="str">
        <f>+VLOOKUP($L299,Data_Validation!$A:$D,3,0)</f>
        <v>Carrosserie</v>
      </c>
      <c r="V299" s="156" t="str">
        <f>+VLOOKUP($L299,Data_Validation!$A:$D,4,0)</f>
        <v>Csst</v>
      </c>
      <c r="W299" s="156" t="str">
        <f>+VLOOKUP($L299,Data_Validation!$A:$E,5,0)</f>
        <v>$</v>
      </c>
      <c r="X299" s="156">
        <f>+VLOOKUP($L299,Data_Validation!$A:$F,6,0)</f>
        <v>0</v>
      </c>
    </row>
    <row r="300" spans="1:24" ht="15" hidden="1" customHeight="1">
      <c r="A300" s="1163" t="s">
        <v>1283</v>
      </c>
      <c r="B300" s="1164">
        <v>6532</v>
      </c>
      <c r="C300" s="1165">
        <v>0</v>
      </c>
      <c r="D300" s="1165">
        <v>683.05</v>
      </c>
      <c r="E300" s="1165">
        <v>683.05</v>
      </c>
      <c r="F300" s="1163" t="s">
        <v>401</v>
      </c>
      <c r="G300" s="1163" t="s">
        <v>2680</v>
      </c>
      <c r="H300" s="1171"/>
      <c r="I300" s="1171"/>
      <c r="J300" s="1171"/>
      <c r="K300" s="1172"/>
      <c r="L300" s="153">
        <f t="shared" si="20"/>
        <v>6532</v>
      </c>
      <c r="M300" s="154" t="str">
        <f t="shared" si="21"/>
        <v>RRQ RAMQ AC</v>
      </c>
      <c r="N300" s="155">
        <f>+IF(OR($Q300=Parametres!$G$2,$Q300=Parametres!$G$3),I300,C300)</f>
        <v>0</v>
      </c>
      <c r="O300" s="1108">
        <f>+IF(OR($Q300=Parametres!$G$2,$Q300=Parametres!$G$3),J300,D300)</f>
        <v>683.05</v>
      </c>
      <c r="P300" s="155">
        <f>+IF(OR($Q300=Parametres!$G$2,$Q300=Parametres!$G$3),K300,E300)</f>
        <v>683.05</v>
      </c>
      <c r="Q300" s="154" t="str">
        <f t="shared" si="22"/>
        <v>7-Dépenses</v>
      </c>
      <c r="R300" s="153" t="str">
        <f t="shared" si="23"/>
        <v>6132</v>
      </c>
      <c r="S300" s="154">
        <f t="shared" si="24"/>
        <v>0</v>
      </c>
      <c r="T300" s="156">
        <f>+VLOOKUP($L300,Data_Validation!$A:$D,1,0)</f>
        <v>6532</v>
      </c>
      <c r="U300" s="156" t="str">
        <f>+VLOOKUP($L300,Data_Validation!$A:$D,3,0)</f>
        <v>Carrosserie</v>
      </c>
      <c r="V300" s="156" t="str">
        <f>+VLOOKUP($L300,Data_Validation!$A:$D,4,0)</f>
        <v>Déduction à la source</v>
      </c>
      <c r="W300" s="156" t="str">
        <f>+VLOOKUP($L300,Data_Validation!$A:$E,5,0)</f>
        <v>$</v>
      </c>
      <c r="X300" s="156">
        <f>+VLOOKUP($L300,Data_Validation!$A:$F,6,0)</f>
        <v>0</v>
      </c>
    </row>
    <row r="301" spans="1:24" ht="15.75" hidden="1" customHeight="1">
      <c r="A301" s="1163" t="s">
        <v>1305</v>
      </c>
      <c r="B301" s="1164">
        <v>6539</v>
      </c>
      <c r="C301" s="1165">
        <v>0</v>
      </c>
      <c r="D301" s="1165">
        <v>364.79</v>
      </c>
      <c r="E301" s="1165">
        <v>364.79</v>
      </c>
      <c r="F301" s="1163" t="s">
        <v>401</v>
      </c>
      <c r="G301" s="1163" t="s">
        <v>2689</v>
      </c>
      <c r="H301" s="1171"/>
      <c r="I301" s="1173"/>
      <c r="J301" s="1173"/>
      <c r="K301" s="1173"/>
      <c r="L301" s="153">
        <f t="shared" si="20"/>
        <v>6539</v>
      </c>
      <c r="M301" s="154" t="str">
        <f t="shared" si="21"/>
        <v>ASSURANCE GROUPE</v>
      </c>
      <c r="N301" s="155">
        <f>+IF(OR($Q301=Parametres!$G$2,$Q301=Parametres!$G$3),I301,C301)</f>
        <v>0</v>
      </c>
      <c r="O301" s="1108">
        <f>+IF(OR($Q301=Parametres!$G$2,$Q301=Parametres!$G$3),J301,D301)</f>
        <v>364.79</v>
      </c>
      <c r="P301" s="155">
        <f>+IF(OR($Q301=Parametres!$G$2,$Q301=Parametres!$G$3),K301,E301)</f>
        <v>364.79</v>
      </c>
      <c r="Q301" s="154" t="str">
        <f t="shared" si="22"/>
        <v>7-Dépenses</v>
      </c>
      <c r="R301" s="153" t="str">
        <f t="shared" si="23"/>
        <v>6139</v>
      </c>
      <c r="S301" s="154">
        <f t="shared" si="24"/>
        <v>0</v>
      </c>
      <c r="T301" s="156">
        <f>+VLOOKUP($L301,Data_Validation!$A:$D,1,0)</f>
        <v>6539</v>
      </c>
      <c r="U301" s="156" t="str">
        <f>+VLOOKUP($L301,Data_Validation!$A:$D,3,0)</f>
        <v>Carrosserie</v>
      </c>
      <c r="V301" s="156" t="str">
        <f>+VLOOKUP($L301,Data_Validation!$A:$D,4,0)</f>
        <v>Bénéfices marginaux</v>
      </c>
      <c r="W301" s="156" t="str">
        <f>+VLOOKUP($L301,Data_Validation!$A:$E,5,0)</f>
        <v>$</v>
      </c>
      <c r="X301" s="156">
        <f>+VLOOKUP($L301,Data_Validation!$A:$F,6,0)</f>
        <v>0</v>
      </c>
    </row>
    <row r="302" spans="1:24" ht="15" hidden="1" customHeight="1">
      <c r="A302" s="1163" t="s">
        <v>1157</v>
      </c>
      <c r="B302" s="1164">
        <v>6542</v>
      </c>
      <c r="C302" s="1165">
        <v>0</v>
      </c>
      <c r="D302" s="1165">
        <v>2.1</v>
      </c>
      <c r="E302" s="1165">
        <v>2.1</v>
      </c>
      <c r="F302" s="1163" t="s">
        <v>401</v>
      </c>
      <c r="G302" s="1163" t="s">
        <v>2558</v>
      </c>
      <c r="H302" s="1168"/>
      <c r="I302" s="1170"/>
      <c r="J302" s="1170"/>
      <c r="K302" s="1170"/>
      <c r="L302" s="153">
        <f t="shared" si="20"/>
        <v>6542</v>
      </c>
      <c r="M302" s="154" t="str">
        <f t="shared" si="21"/>
        <v>FOURNITURES &amp; PETITS OUTILS</v>
      </c>
      <c r="N302" s="155">
        <f>+IF(OR($Q302=Parametres!$G$2,$Q302=Parametres!$G$3),I302,C302)</f>
        <v>0</v>
      </c>
      <c r="O302" s="1108">
        <f>+IF(OR($Q302=Parametres!$G$2,$Q302=Parametres!$G$3),J302,D302)</f>
        <v>2.1</v>
      </c>
      <c r="P302" s="155">
        <f>+IF(OR($Q302=Parametres!$G$2,$Q302=Parametres!$G$3),K302,E302)</f>
        <v>2.1</v>
      </c>
      <c r="Q302" s="154" t="str">
        <f t="shared" si="22"/>
        <v>7-Dépenses</v>
      </c>
      <c r="R302" s="153" t="str">
        <f t="shared" si="23"/>
        <v>6142</v>
      </c>
      <c r="S302" s="154">
        <f t="shared" si="24"/>
        <v>0</v>
      </c>
      <c r="T302" s="156">
        <f>+VLOOKUP($L302,Data_Validation!$A:$D,1,0)</f>
        <v>6542</v>
      </c>
      <c r="U302" s="156" t="str">
        <f>+VLOOKUP($L302,Data_Validation!$A:$D,3,0)</f>
        <v>Carrosserie</v>
      </c>
      <c r="V302" s="156" t="str">
        <f>+VLOOKUP($L302,Data_Validation!$A:$D,4,0)</f>
        <v>Fournitures autres</v>
      </c>
      <c r="W302" s="156" t="str">
        <f>+VLOOKUP($L302,Data_Validation!$A:$E,5,0)</f>
        <v>$</v>
      </c>
      <c r="X302" s="156">
        <f>+VLOOKUP($L302,Data_Validation!$A:$F,6,0)</f>
        <v>0</v>
      </c>
    </row>
    <row r="303" spans="1:24" ht="15" hidden="1" customHeight="1">
      <c r="A303" s="1163" t="s">
        <v>934</v>
      </c>
      <c r="B303" s="1164">
        <v>6544</v>
      </c>
      <c r="C303" s="1165">
        <v>0</v>
      </c>
      <c r="D303" s="1165">
        <v>22.33</v>
      </c>
      <c r="E303" s="1165">
        <v>22.33</v>
      </c>
      <c r="F303" s="1163" t="s">
        <v>401</v>
      </c>
      <c r="G303" s="1163" t="s">
        <v>2556</v>
      </c>
      <c r="H303" s="1168"/>
      <c r="I303" s="1174"/>
      <c r="J303" s="1174"/>
      <c r="K303" s="1174"/>
      <c r="L303" s="153">
        <f t="shared" si="20"/>
        <v>6544</v>
      </c>
      <c r="M303" s="154" t="str">
        <f t="shared" si="21"/>
        <v>FORMATION</v>
      </c>
      <c r="N303" s="155">
        <f>+IF(OR($Q303=Parametres!$G$2,$Q303=Parametres!$G$3),I303,C303)</f>
        <v>0</v>
      </c>
      <c r="O303" s="1108">
        <f>+IF(OR($Q303=Parametres!$G$2,$Q303=Parametres!$G$3),J303,D303)</f>
        <v>22.33</v>
      </c>
      <c r="P303" s="155">
        <f>+IF(OR($Q303=Parametres!$G$2,$Q303=Parametres!$G$3),K303,E303)</f>
        <v>22.33</v>
      </c>
      <c r="Q303" s="154" t="str">
        <f t="shared" si="22"/>
        <v>7-Dépenses</v>
      </c>
      <c r="R303" s="153" t="str">
        <f t="shared" si="23"/>
        <v>6144</v>
      </c>
      <c r="S303" s="154">
        <f t="shared" si="24"/>
        <v>0</v>
      </c>
      <c r="T303" s="156">
        <f>+VLOOKUP($L303,Data_Validation!$A:$D,1,0)</f>
        <v>6544</v>
      </c>
      <c r="U303" s="156" t="str">
        <f>+VLOOKUP($L303,Data_Validation!$A:$D,3,0)</f>
        <v>Carrosserie</v>
      </c>
      <c r="V303" s="156" t="str">
        <f>+VLOOKUP($L303,Data_Validation!$A:$D,4,0)</f>
        <v>Formation</v>
      </c>
      <c r="W303" s="156" t="str">
        <f>+VLOOKUP($L303,Data_Validation!$A:$E,5,0)</f>
        <v>$</v>
      </c>
      <c r="X303" s="156">
        <f>+VLOOKUP($L303,Data_Validation!$A:$F,6,0)</f>
        <v>0</v>
      </c>
    </row>
    <row r="304" spans="1:24" ht="15" hidden="1" customHeight="1">
      <c r="A304" s="1163" t="s">
        <v>1186</v>
      </c>
      <c r="B304" s="1164">
        <v>6545</v>
      </c>
      <c r="C304" s="1165">
        <v>0</v>
      </c>
      <c r="D304" s="1165">
        <v>667.66</v>
      </c>
      <c r="E304" s="1165">
        <v>667.66</v>
      </c>
      <c r="F304" s="1163" t="s">
        <v>401</v>
      </c>
      <c r="G304" s="1163" t="s">
        <v>2627</v>
      </c>
      <c r="H304" s="1168"/>
      <c r="I304" s="1174"/>
      <c r="J304" s="1174"/>
      <c r="K304" s="1174"/>
      <c r="L304" s="153">
        <f t="shared" si="20"/>
        <v>6545</v>
      </c>
      <c r="M304" s="154" t="str">
        <f t="shared" si="21"/>
        <v>VEHICULE DE COMPAGNIE - DEPENS</v>
      </c>
      <c r="N304" s="155">
        <f>+IF(OR($Q304=Parametres!$G$2,$Q304=Parametres!$G$3),I304,C304)</f>
        <v>0</v>
      </c>
      <c r="O304" s="1108">
        <f>+IF(OR($Q304=Parametres!$G$2,$Q304=Parametres!$G$3),J304,D304)</f>
        <v>667.66</v>
      </c>
      <c r="P304" s="155">
        <f>+IF(OR($Q304=Parametres!$G$2,$Q304=Parametres!$G$3),K304,E304)</f>
        <v>667.66</v>
      </c>
      <c r="Q304" s="154" t="str">
        <f t="shared" si="22"/>
        <v>7-Dépenses</v>
      </c>
      <c r="R304" s="153" t="str">
        <f t="shared" si="23"/>
        <v>6145</v>
      </c>
      <c r="S304" s="154">
        <f t="shared" si="24"/>
        <v>0</v>
      </c>
      <c r="T304" s="156">
        <f>+VLOOKUP($L304,Data_Validation!$A:$D,1,0)</f>
        <v>6545</v>
      </c>
      <c r="U304" s="156" t="str">
        <f>+VLOOKUP($L304,Data_Validation!$A:$D,3,0)</f>
        <v>Carrosserie</v>
      </c>
      <c r="V304" s="156" t="str">
        <f>+VLOOKUP($L304,Data_Validation!$A:$D,4,0)</f>
        <v>Frais véhicules de cie</v>
      </c>
      <c r="W304" s="156" t="str">
        <f>+VLOOKUP($L304,Data_Validation!$A:$E,5,0)</f>
        <v>$</v>
      </c>
      <c r="X304" s="156">
        <f>+VLOOKUP($L304,Data_Validation!$A:$F,6,0)</f>
        <v>0</v>
      </c>
    </row>
    <row r="305" spans="1:24" ht="15.75" hidden="1" customHeight="1">
      <c r="A305" s="1163" t="s">
        <v>1180</v>
      </c>
      <c r="B305" s="1164">
        <v>6547</v>
      </c>
      <c r="C305" s="1165">
        <v>0</v>
      </c>
      <c r="D305" s="1165">
        <v>10.63</v>
      </c>
      <c r="E305" s="1165">
        <v>10.63</v>
      </c>
      <c r="F305" s="1163" t="s">
        <v>401</v>
      </c>
      <c r="G305" s="1163" t="s">
        <v>2576</v>
      </c>
      <c r="H305" s="1168"/>
      <c r="I305" s="1170"/>
      <c r="J305" s="1170"/>
      <c r="K305" s="1170"/>
      <c r="L305" s="153">
        <f t="shared" si="20"/>
        <v>6547</v>
      </c>
      <c r="M305" s="154" t="str">
        <f t="shared" si="21"/>
        <v>FRET/EXPRESS/TRANS. PAR CAMION</v>
      </c>
      <c r="N305" s="155">
        <f>+IF(OR($Q305=Parametres!$G$2,$Q305=Parametres!$G$3),I305,C305)</f>
        <v>0</v>
      </c>
      <c r="O305" s="1108">
        <f>+IF(OR($Q305=Parametres!$G$2,$Q305=Parametres!$G$3),J305,D305)</f>
        <v>10.63</v>
      </c>
      <c r="P305" s="155">
        <f>+IF(OR($Q305=Parametres!$G$2,$Q305=Parametres!$G$3),K305,E305)</f>
        <v>10.63</v>
      </c>
      <c r="Q305" s="154" t="str">
        <f t="shared" si="22"/>
        <v>7-Dépenses</v>
      </c>
      <c r="R305" s="153" t="str">
        <f t="shared" si="23"/>
        <v>6147</v>
      </c>
      <c r="S305" s="154">
        <f t="shared" si="24"/>
        <v>0</v>
      </c>
      <c r="T305" s="156">
        <f>+VLOOKUP($L305,Data_Validation!$A:$D,1,0)</f>
        <v>6547</v>
      </c>
      <c r="U305" s="156" t="str">
        <f>+VLOOKUP($L305,Data_Validation!$A:$D,3,0)</f>
        <v>Carrosserie</v>
      </c>
      <c r="V305" s="156" t="str">
        <f>+VLOOKUP($L305,Data_Validation!$A:$D,4,0)</f>
        <v>Frais postaux</v>
      </c>
      <c r="W305" s="156" t="str">
        <f>+VLOOKUP($L305,Data_Validation!$A:$E,5,0)</f>
        <v>$</v>
      </c>
      <c r="X305" s="156">
        <f>+VLOOKUP($L305,Data_Validation!$A:$F,6,0)</f>
        <v>0</v>
      </c>
    </row>
    <row r="306" spans="1:24" ht="15" hidden="1" customHeight="1">
      <c r="A306" s="1163" t="s">
        <v>1286</v>
      </c>
      <c r="B306" s="1164">
        <v>6551</v>
      </c>
      <c r="C306" s="1165">
        <v>0</v>
      </c>
      <c r="D306" s="1165">
        <v>1307.8499999999999</v>
      </c>
      <c r="E306" s="1165">
        <v>1307.8499999999999</v>
      </c>
      <c r="F306" s="1163" t="s">
        <v>401</v>
      </c>
      <c r="G306" s="1163" t="s">
        <v>2697</v>
      </c>
      <c r="H306" s="1171"/>
      <c r="I306" s="1172"/>
      <c r="J306" s="1171"/>
      <c r="K306" s="1172"/>
      <c r="L306" s="153">
        <f t="shared" si="20"/>
        <v>6551</v>
      </c>
      <c r="M306" s="154" t="str">
        <f t="shared" si="21"/>
        <v>DEP. DU TRAITEMENT DES DONNEES</v>
      </c>
      <c r="N306" s="155">
        <f>+IF(OR($Q306=Parametres!$G$2,$Q306=Parametres!$G$3),I306,C306)</f>
        <v>0</v>
      </c>
      <c r="O306" s="1106">
        <f>+IF(OR($Q306=Parametres!$G$2,$Q306=Parametres!$G$3),J306,D306)</f>
        <v>1307.8499999999999</v>
      </c>
      <c r="P306" s="155">
        <f>+IF(OR($Q306=Parametres!$G$2,$Q306=Parametres!$G$3),K306,E306)</f>
        <v>1307.8499999999999</v>
      </c>
      <c r="Q306" s="154" t="str">
        <f t="shared" si="22"/>
        <v>7-Dépenses</v>
      </c>
      <c r="R306" s="153" t="str">
        <f t="shared" si="23"/>
        <v>6151</v>
      </c>
      <c r="S306" s="154">
        <f t="shared" si="24"/>
        <v>0</v>
      </c>
      <c r="T306" s="156">
        <f>+VLOOKUP($L306,Data_Validation!$A:$D,1,0)</f>
        <v>6551</v>
      </c>
      <c r="U306" s="156" t="str">
        <f>+VLOOKUP($L306,Data_Validation!$A:$D,3,0)</f>
        <v>Carrosserie</v>
      </c>
      <c r="V306" s="156" t="str">
        <f>+VLOOKUP($L306,Data_Validation!$A:$D,4,0)</f>
        <v>Informatique</v>
      </c>
      <c r="W306" s="156" t="str">
        <f>+VLOOKUP($L306,Data_Validation!$A:$E,5,0)</f>
        <v>$</v>
      </c>
      <c r="X306" s="156">
        <f>+VLOOKUP($L306,Data_Validation!$A:$F,6,0)</f>
        <v>0</v>
      </c>
    </row>
    <row r="307" spans="1:24" ht="15" hidden="1" customHeight="1">
      <c r="A307" s="1163" t="s">
        <v>1206</v>
      </c>
      <c r="B307" s="1164">
        <v>6552</v>
      </c>
      <c r="C307" s="1165">
        <v>0</v>
      </c>
      <c r="D307" s="1165">
        <v>185.05</v>
      </c>
      <c r="E307" s="1165">
        <v>185.05</v>
      </c>
      <c r="F307" s="1163" t="s">
        <v>401</v>
      </c>
      <c r="G307" s="1163" t="s">
        <v>2583</v>
      </c>
      <c r="H307" s="1171"/>
      <c r="I307" s="1171"/>
      <c r="J307" s="1171"/>
      <c r="K307" s="1171"/>
      <c r="L307" s="153">
        <f t="shared" si="20"/>
        <v>6552</v>
      </c>
      <c r="M307" s="154" t="str">
        <f t="shared" si="21"/>
        <v>PAPETERIE</v>
      </c>
      <c r="N307" s="155">
        <f>+IF(OR($Q307=Parametres!$G$2,$Q307=Parametres!$G$3),I307,C307)</f>
        <v>0</v>
      </c>
      <c r="O307" s="1106">
        <f>+IF(OR($Q307=Parametres!$G$2,$Q307=Parametres!$G$3),J307,D307)</f>
        <v>185.05</v>
      </c>
      <c r="P307" s="155">
        <f>+IF(OR($Q307=Parametres!$G$2,$Q307=Parametres!$G$3),K307,E307)</f>
        <v>185.05</v>
      </c>
      <c r="Q307" s="154" t="str">
        <f t="shared" si="22"/>
        <v>7-Dépenses</v>
      </c>
      <c r="R307" s="153" t="str">
        <f t="shared" si="23"/>
        <v>6152</v>
      </c>
      <c r="S307" s="154">
        <f t="shared" si="24"/>
        <v>0</v>
      </c>
      <c r="T307" s="156">
        <f>+VLOOKUP($L307,Data_Validation!$A:$D,1,0)</f>
        <v>6552</v>
      </c>
      <c r="U307" s="156" t="str">
        <f>+VLOOKUP($L307,Data_Validation!$A:$D,3,0)</f>
        <v>Carrosserie</v>
      </c>
      <c r="V307" s="156" t="str">
        <f>+VLOOKUP($L307,Data_Validation!$A:$D,4,0)</f>
        <v>Papeterie</v>
      </c>
      <c r="W307" s="156" t="str">
        <f>+VLOOKUP($L307,Data_Validation!$A:$E,5,0)</f>
        <v>$</v>
      </c>
      <c r="X307" s="156">
        <f>+VLOOKUP($L307,Data_Validation!$A:$F,6,0)</f>
        <v>0</v>
      </c>
    </row>
    <row r="308" spans="1:24" ht="15" hidden="1" customHeight="1">
      <c r="A308" s="1163" t="s">
        <v>1154</v>
      </c>
      <c r="B308" s="1164">
        <v>6553</v>
      </c>
      <c r="C308" s="1165">
        <v>0</v>
      </c>
      <c r="D308" s="1165">
        <v>57.25</v>
      </c>
      <c r="E308" s="1165">
        <v>57.25</v>
      </c>
      <c r="F308" s="1163" t="s">
        <v>401</v>
      </c>
      <c r="G308" s="1163" t="s">
        <v>2587</v>
      </c>
      <c r="H308" s="1175"/>
      <c r="I308" s="1178"/>
      <c r="J308" s="1178"/>
      <c r="K308" s="1178"/>
      <c r="L308" s="153">
        <f t="shared" si="20"/>
        <v>6553</v>
      </c>
      <c r="M308" s="154" t="str">
        <f t="shared" si="21"/>
        <v>TELEPHONE ET TELEX</v>
      </c>
      <c r="N308" s="155">
        <f>+IF(OR($Q308=Parametres!$G$2,$Q308=Parametres!$G$3),I308,C308)</f>
        <v>0</v>
      </c>
      <c r="O308" s="1108">
        <f>+IF(OR($Q308=Parametres!$G$2,$Q308=Parametres!$G$3),J308,D308)</f>
        <v>57.25</v>
      </c>
      <c r="P308" s="155">
        <f>+IF(OR($Q308=Parametres!$G$2,$Q308=Parametres!$G$3),K308,E308)</f>
        <v>57.25</v>
      </c>
      <c r="Q308" s="154" t="str">
        <f t="shared" si="22"/>
        <v>7-Dépenses</v>
      </c>
      <c r="R308" s="153" t="str">
        <f t="shared" si="23"/>
        <v>6153</v>
      </c>
      <c r="S308" s="154">
        <f t="shared" si="24"/>
        <v>0</v>
      </c>
      <c r="T308" s="156">
        <f>+VLOOKUP($L308,Data_Validation!$A:$D,1,0)</f>
        <v>6553</v>
      </c>
      <c r="U308" s="156" t="str">
        <f>+VLOOKUP($L308,Data_Validation!$A:$D,3,0)</f>
        <v>Carrosserie</v>
      </c>
      <c r="V308" s="156" t="str">
        <f>+VLOOKUP($L308,Data_Validation!$A:$D,4,0)</f>
        <v>Téléphone</v>
      </c>
      <c r="W308" s="156" t="str">
        <f>+VLOOKUP($L308,Data_Validation!$A:$E,5,0)</f>
        <v>$</v>
      </c>
      <c r="X308" s="156">
        <f>+VLOOKUP($L308,Data_Validation!$A:$F,6,0)</f>
        <v>0</v>
      </c>
    </row>
    <row r="309" spans="1:24" ht="15.75" hidden="1" customHeight="1">
      <c r="A309" s="1163" t="s">
        <v>1237</v>
      </c>
      <c r="B309" s="1164">
        <v>6555</v>
      </c>
      <c r="C309" s="1165">
        <v>0</v>
      </c>
      <c r="D309" s="1165">
        <v>72.5</v>
      </c>
      <c r="E309" s="1165">
        <v>72.5</v>
      </c>
      <c r="F309" s="1163" t="s">
        <v>401</v>
      </c>
      <c r="G309" s="1163" t="s">
        <v>2632</v>
      </c>
      <c r="H309" s="1168"/>
      <c r="I309" s="1170"/>
      <c r="J309" s="1170"/>
      <c r="K309" s="1170"/>
      <c r="L309" s="153">
        <f t="shared" si="20"/>
        <v>6555</v>
      </c>
      <c r="M309" s="154" t="str">
        <f t="shared" si="21"/>
        <v>DEPENSES DIVERS</v>
      </c>
      <c r="N309" s="155">
        <f>+IF(OR($Q309=Parametres!$G$2,$Q309=Parametres!$G$3),I309,C309)</f>
        <v>0</v>
      </c>
      <c r="O309" s="1108">
        <f>+IF(OR($Q309=Parametres!$G$2,$Q309=Parametres!$G$3),J309,D309)</f>
        <v>72.5</v>
      </c>
      <c r="P309" s="155">
        <f>+IF(OR($Q309=Parametres!$G$2,$Q309=Parametres!$G$3),K309,E309)</f>
        <v>72.5</v>
      </c>
      <c r="Q309" s="154" t="str">
        <f t="shared" si="22"/>
        <v>7-Dépenses</v>
      </c>
      <c r="R309" s="153" t="str">
        <f t="shared" si="23"/>
        <v>6155</v>
      </c>
      <c r="S309" s="154">
        <f t="shared" si="24"/>
        <v>0</v>
      </c>
      <c r="T309" s="156">
        <f>+VLOOKUP($L309,Data_Validation!$A:$D,1,0)</f>
        <v>6555</v>
      </c>
      <c r="U309" s="156" t="str">
        <f>+VLOOKUP($L309,Data_Validation!$A:$D,3,0)</f>
        <v>Carrosserie</v>
      </c>
      <c r="V309" s="156" t="str">
        <f>+VLOOKUP($L309,Data_Validation!$A:$D,4,0)</f>
        <v>Divers</v>
      </c>
      <c r="W309" s="156" t="str">
        <f>+VLOOKUP($L309,Data_Validation!$A:$E,5,0)</f>
        <v>$</v>
      </c>
      <c r="X309" s="156">
        <f>+VLOOKUP($L309,Data_Validation!$A:$F,6,0)</f>
        <v>0</v>
      </c>
    </row>
    <row r="310" spans="1:24" ht="15" customHeight="1">
      <c r="A310" s="1163" t="s">
        <v>1217</v>
      </c>
      <c r="B310" s="1164">
        <v>6556</v>
      </c>
      <c r="C310" s="1165">
        <v>0</v>
      </c>
      <c r="D310" s="1165">
        <v>64.260000000000005</v>
      </c>
      <c r="E310" s="1165">
        <v>64.260000000000005</v>
      </c>
      <c r="F310" s="1163" t="s">
        <v>401</v>
      </c>
      <c r="G310" s="1163" t="s">
        <v>2465</v>
      </c>
      <c r="H310" s="1168"/>
      <c r="I310" s="1170"/>
      <c r="J310" s="1170"/>
      <c r="K310" s="1170"/>
      <c r="L310" s="153">
        <f t="shared" si="20"/>
        <v>6556</v>
      </c>
      <c r="M310" s="154" t="str">
        <f t="shared" si="21"/>
        <v>FRAIS REPRESENTATION</v>
      </c>
      <c r="N310" s="155">
        <f>+IF(OR($Q310=Parametres!$G$2,$Q310=Parametres!$G$3),I310,C310)</f>
        <v>0</v>
      </c>
      <c r="O310" s="1108">
        <f>+IF(OR($Q310=Parametres!$G$2,$Q310=Parametres!$G$3),J310,D310)</f>
        <v>64.260000000000005</v>
      </c>
      <c r="P310" s="155">
        <f>+IF(OR($Q310=Parametres!$G$2,$Q310=Parametres!$G$3),K310,E310)</f>
        <v>64.260000000000005</v>
      </c>
      <c r="Q310" s="154" t="str">
        <f t="shared" si="22"/>
        <v>7-Dépenses</v>
      </c>
      <c r="R310" s="153" t="str">
        <f t="shared" si="23"/>
        <v>6156</v>
      </c>
      <c r="S310" s="154">
        <f t="shared" si="24"/>
        <v>0</v>
      </c>
      <c r="T310" s="156">
        <f>+VLOOKUP($L310,Data_Validation!$A:$D,1,0)</f>
        <v>6556</v>
      </c>
      <c r="U310" s="156" t="str">
        <f>+VLOOKUP($L310,Data_Validation!$A:$D,3,0)</f>
        <v>Carrosserie</v>
      </c>
      <c r="V310" s="156" t="str">
        <f>+VLOOKUP($L310,Data_Validation!$A:$D,4,0)</f>
        <v>Frais de déplacement</v>
      </c>
      <c r="W310" s="156" t="str">
        <f>+VLOOKUP($L310,Data_Validation!$A:$E,5,0)</f>
        <v>$</v>
      </c>
      <c r="X310" s="156">
        <f>+VLOOKUP($L310,Data_Validation!$A:$F,6,0)</f>
        <v>0</v>
      </c>
    </row>
    <row r="311" spans="1:24" ht="15" hidden="1" customHeight="1">
      <c r="A311" s="1163" t="s">
        <v>1308</v>
      </c>
      <c r="B311" s="1164">
        <v>6559</v>
      </c>
      <c r="C311" s="1165">
        <v>0</v>
      </c>
      <c r="D311" s="1165">
        <v>545.58000000000004</v>
      </c>
      <c r="E311" s="1165">
        <v>545.58000000000004</v>
      </c>
      <c r="F311" s="1163" t="s">
        <v>401</v>
      </c>
      <c r="G311" s="1163" t="s">
        <v>2657</v>
      </c>
      <c r="H311" s="1168"/>
      <c r="I311" s="1170"/>
      <c r="J311" s="1170"/>
      <c r="K311" s="1170"/>
      <c r="L311" s="153">
        <f t="shared" si="20"/>
        <v>6559</v>
      </c>
      <c r="M311" s="154" t="str">
        <f t="shared" si="21"/>
        <v>SERVICE EXTERIEUR</v>
      </c>
      <c r="N311" s="155">
        <f>+IF(OR($Q311=Parametres!$G$2,$Q311=Parametres!$G$3),I311,C311)</f>
        <v>0</v>
      </c>
      <c r="O311" s="1108">
        <f>+IF(OR($Q311=Parametres!$G$2,$Q311=Parametres!$G$3),J311,D311)</f>
        <v>545.58000000000004</v>
      </c>
      <c r="P311" s="155">
        <f>+IF(OR($Q311=Parametres!$G$2,$Q311=Parametres!$G$3),K311,E311)</f>
        <v>545.58000000000004</v>
      </c>
      <c r="Q311" s="154" t="str">
        <f t="shared" si="22"/>
        <v>7-Dépenses</v>
      </c>
      <c r="R311" s="153" t="str">
        <f t="shared" si="23"/>
        <v>6159</v>
      </c>
      <c r="S311" s="154">
        <f t="shared" si="24"/>
        <v>0</v>
      </c>
      <c r="T311" s="156">
        <f>+VLOOKUP($L311,Data_Validation!$A:$D,1,0)</f>
        <v>6559</v>
      </c>
      <c r="U311" s="156" t="str">
        <f>+VLOOKUP($L311,Data_Validation!$A:$D,3,0)</f>
        <v>Carrosserie</v>
      </c>
      <c r="V311" s="156" t="str">
        <f>+VLOOKUP($L311,Data_Validation!$A:$D,4,0)</f>
        <v>Services extérieurs</v>
      </c>
      <c r="W311" s="156" t="str">
        <f>+VLOOKUP($L311,Data_Validation!$A:$E,5,0)</f>
        <v>$</v>
      </c>
      <c r="X311" s="156">
        <f>+VLOOKUP($L311,Data_Validation!$A:$F,6,0)</f>
        <v>0</v>
      </c>
    </row>
    <row r="312" spans="1:24" ht="15" hidden="1" customHeight="1">
      <c r="A312" s="1163" t="s">
        <v>1333</v>
      </c>
      <c r="B312" s="1164">
        <v>6561</v>
      </c>
      <c r="C312" s="1165">
        <v>0</v>
      </c>
      <c r="D312" s="1165">
        <v>302.02</v>
      </c>
      <c r="E312" s="1165">
        <v>302.02</v>
      </c>
      <c r="F312" s="1163" t="s">
        <v>401</v>
      </c>
      <c r="G312" s="1163" t="s">
        <v>2648</v>
      </c>
      <c r="H312" s="1175"/>
      <c r="I312" s="1175"/>
      <c r="J312" s="1175"/>
      <c r="K312" s="1175"/>
      <c r="L312" s="153">
        <f t="shared" si="20"/>
        <v>6561</v>
      </c>
      <c r="M312" s="154" t="str">
        <f t="shared" si="21"/>
        <v>DEPRECIATION EQUIP. &amp; FIXTURES</v>
      </c>
      <c r="N312" s="155">
        <f>+IF(OR($Q312=Parametres!$G$2,$Q312=Parametres!$G$3),I312,C312)</f>
        <v>0</v>
      </c>
      <c r="O312" s="1108">
        <f>+IF(OR($Q312=Parametres!$G$2,$Q312=Parametres!$G$3),J312,D312)</f>
        <v>302.02</v>
      </c>
      <c r="P312" s="155">
        <f>+IF(OR($Q312=Parametres!$G$2,$Q312=Parametres!$G$3),K312,E312)</f>
        <v>302.02</v>
      </c>
      <c r="Q312" s="154" t="str">
        <f t="shared" si="22"/>
        <v>7-Dépenses</v>
      </c>
      <c r="R312" s="153" t="str">
        <f t="shared" si="23"/>
        <v>6161</v>
      </c>
      <c r="S312" s="154">
        <f t="shared" si="24"/>
        <v>0</v>
      </c>
      <c r="T312" s="156">
        <f>+VLOOKUP($L312,Data_Validation!$A:$D,1,0)</f>
        <v>6561</v>
      </c>
      <c r="U312" s="156" t="str">
        <f>+VLOOKUP($L312,Data_Validation!$A:$D,3,0)</f>
        <v>Carrosserie</v>
      </c>
      <c r="V312" s="156" t="str">
        <f>+VLOOKUP($L312,Data_Validation!$A:$D,4,0)</f>
        <v>Amortissement</v>
      </c>
      <c r="W312" s="156" t="str">
        <f>+VLOOKUP($L312,Data_Validation!$A:$E,5,0)</f>
        <v>$</v>
      </c>
      <c r="X312" s="156">
        <f>+VLOOKUP($L312,Data_Validation!$A:$F,6,0)</f>
        <v>0</v>
      </c>
    </row>
    <row r="313" spans="1:24" ht="15" hidden="1" customHeight="1">
      <c r="A313" s="1163" t="s">
        <v>1244</v>
      </c>
      <c r="B313" s="1164">
        <v>6581</v>
      </c>
      <c r="C313" s="1165">
        <v>0</v>
      </c>
      <c r="D313" s="1165">
        <v>241.93</v>
      </c>
      <c r="E313" s="1165">
        <v>241.93</v>
      </c>
      <c r="F313" s="1163" t="s">
        <v>401</v>
      </c>
      <c r="G313" s="1163" t="s">
        <v>2599</v>
      </c>
      <c r="H313" s="1168"/>
      <c r="I313" s="1174"/>
      <c r="J313" s="1174"/>
      <c r="K313" s="1174"/>
      <c r="L313" s="153">
        <f t="shared" si="20"/>
        <v>6581</v>
      </c>
      <c r="M313" s="154" t="str">
        <f t="shared" si="21"/>
        <v>CHAUFFAGE,ELECTRICITE,EAU-CARROS.</v>
      </c>
      <c r="N313" s="155">
        <f>+IF(OR($Q313=Parametres!$G$2,$Q313=Parametres!$G$3),I313,C313)</f>
        <v>0</v>
      </c>
      <c r="O313" s="1108">
        <f>+IF(OR($Q313=Parametres!$G$2,$Q313=Parametres!$G$3),J313,D313)</f>
        <v>241.93</v>
      </c>
      <c r="P313" s="155">
        <f>+IF(OR($Q313=Parametres!$G$2,$Q313=Parametres!$G$3),K313,E313)</f>
        <v>241.93</v>
      </c>
      <c r="Q313" s="154" t="str">
        <f t="shared" si="22"/>
        <v>7-Dépenses</v>
      </c>
      <c r="R313" s="153" t="str">
        <f t="shared" si="23"/>
        <v>6181</v>
      </c>
      <c r="S313" s="154">
        <f t="shared" si="24"/>
        <v>0</v>
      </c>
      <c r="T313" s="156">
        <f>+VLOOKUP($L313,Data_Validation!$A:$D,1,0)</f>
        <v>6581</v>
      </c>
      <c r="U313" s="156" t="str">
        <f>+VLOOKUP($L313,Data_Validation!$A:$D,3,0)</f>
        <v>Carrosserie</v>
      </c>
      <c r="V313" s="156" t="str">
        <f>+VLOOKUP($L313,Data_Validation!$A:$D,4,0)</f>
        <v>Chauffage, éclairage</v>
      </c>
      <c r="W313" s="156" t="str">
        <f>+VLOOKUP($L313,Data_Validation!$A:$E,5,0)</f>
        <v>$</v>
      </c>
      <c r="X313" s="156">
        <f>+VLOOKUP($L313,Data_Validation!$A:$F,6,0)</f>
        <v>0</v>
      </c>
    </row>
    <row r="314" spans="1:24" ht="15" hidden="1" customHeight="1">
      <c r="A314" s="1163" t="s">
        <v>1398</v>
      </c>
      <c r="B314" s="1164">
        <v>6582</v>
      </c>
      <c r="C314" s="1165">
        <v>0</v>
      </c>
      <c r="D314" s="1165">
        <v>1820</v>
      </c>
      <c r="E314" s="1165">
        <v>1820</v>
      </c>
      <c r="F314" s="1163" t="s">
        <v>401</v>
      </c>
      <c r="G314" s="1163" t="s">
        <v>2704</v>
      </c>
      <c r="H314" s="1171"/>
      <c r="I314" s="1171"/>
      <c r="J314" s="1171"/>
      <c r="K314" s="1171"/>
      <c r="L314" s="153">
        <f t="shared" si="20"/>
        <v>6582</v>
      </c>
      <c r="M314" s="154" t="str">
        <f t="shared" si="21"/>
        <v>LOYER - CARROSSERIE</v>
      </c>
      <c r="N314" s="155">
        <f>+IF(OR($Q314=Parametres!$G$2,$Q314=Parametres!$G$3),I314,C314)</f>
        <v>0</v>
      </c>
      <c r="O314" s="1106">
        <f>+IF(OR($Q314=Parametres!$G$2,$Q314=Parametres!$G$3),J314,D314)</f>
        <v>1820</v>
      </c>
      <c r="P314" s="155">
        <f>+IF(OR($Q314=Parametres!$G$2,$Q314=Parametres!$G$3),K314,E314)</f>
        <v>1820</v>
      </c>
      <c r="Q314" s="154" t="str">
        <f t="shared" si="22"/>
        <v>7-Dépenses</v>
      </c>
      <c r="R314" s="153" t="str">
        <f t="shared" si="23"/>
        <v>6182</v>
      </c>
      <c r="S314" s="154">
        <f t="shared" si="24"/>
        <v>0</v>
      </c>
      <c r="T314" s="156">
        <f>+VLOOKUP($L314,Data_Validation!$A:$D,1,0)</f>
        <v>6582</v>
      </c>
      <c r="U314" s="156" t="str">
        <f>+VLOOKUP($L314,Data_Validation!$A:$D,3,0)</f>
        <v>Carrosserie</v>
      </c>
      <c r="V314" s="156" t="str">
        <f>+VLOOKUP($L314,Data_Validation!$A:$D,4,0)</f>
        <v>Loyer</v>
      </c>
      <c r="W314" s="156" t="str">
        <f>+VLOOKUP($L314,Data_Validation!$A:$E,5,0)</f>
        <v>$</v>
      </c>
      <c r="X314" s="156">
        <f>+VLOOKUP($L314,Data_Validation!$A:$F,6,0)</f>
        <v>0</v>
      </c>
    </row>
    <row r="315" spans="1:24" ht="15" hidden="1" customHeight="1">
      <c r="A315" s="1163" t="s">
        <v>1255</v>
      </c>
      <c r="B315" s="1164">
        <v>6586</v>
      </c>
      <c r="C315" s="1165">
        <v>0</v>
      </c>
      <c r="D315" s="1165">
        <v>298.97000000000003</v>
      </c>
      <c r="E315" s="1165">
        <v>298.97000000000003</v>
      </c>
      <c r="F315" s="1163" t="s">
        <v>401</v>
      </c>
      <c r="G315" s="1163" t="s">
        <v>2589</v>
      </c>
      <c r="H315" s="1171"/>
      <c r="I315" s="1173"/>
      <c r="J315" s="1173"/>
      <c r="K315" s="1173"/>
      <c r="L315" s="153">
        <f t="shared" si="20"/>
        <v>6586</v>
      </c>
      <c r="M315" s="154" t="str">
        <f t="shared" si="21"/>
        <v>ASSURANCE BATISSE &amp; AMEL.-CARROS.</v>
      </c>
      <c r="N315" s="155">
        <f>+IF(OR($Q315=Parametres!$G$2,$Q315=Parametres!$G$3),I315,C315)</f>
        <v>0</v>
      </c>
      <c r="O315" s="1108">
        <f>+IF(OR($Q315=Parametres!$G$2,$Q315=Parametres!$G$3),J315,D315)</f>
        <v>298.97000000000003</v>
      </c>
      <c r="P315" s="155">
        <f>+IF(OR($Q315=Parametres!$G$2,$Q315=Parametres!$G$3),K315,E315)</f>
        <v>298.97000000000003</v>
      </c>
      <c r="Q315" s="154" t="str">
        <f t="shared" si="22"/>
        <v>7-Dépenses</v>
      </c>
      <c r="R315" s="153" t="str">
        <f t="shared" si="23"/>
        <v>6186</v>
      </c>
      <c r="S315" s="154">
        <f t="shared" si="24"/>
        <v>0</v>
      </c>
      <c r="T315" s="156">
        <f>+VLOOKUP($L315,Data_Validation!$A:$D,1,0)</f>
        <v>6586</v>
      </c>
      <c r="U315" s="156" t="str">
        <f>+VLOOKUP($L315,Data_Validation!$A:$D,3,0)</f>
        <v>Carrosserie</v>
      </c>
      <c r="V315" s="156" t="str">
        <f>+VLOOKUP($L315,Data_Validation!$A:$D,4,0)</f>
        <v>Assurances</v>
      </c>
      <c r="W315" s="156" t="str">
        <f>+VLOOKUP($L315,Data_Validation!$A:$E,5,0)</f>
        <v>$</v>
      </c>
      <c r="X315" s="156">
        <f>+VLOOKUP($L315,Data_Validation!$A:$F,6,0)</f>
        <v>0</v>
      </c>
    </row>
    <row r="316" spans="1:24" ht="15" hidden="1" customHeight="1">
      <c r="A316" s="1163" t="s">
        <v>1264</v>
      </c>
      <c r="B316" s="1164">
        <v>6587</v>
      </c>
      <c r="C316" s="1165">
        <v>0</v>
      </c>
      <c r="D316" s="1165">
        <v>345.1</v>
      </c>
      <c r="E316" s="1165">
        <v>345.1</v>
      </c>
      <c r="F316" s="1163" t="s">
        <v>401</v>
      </c>
      <c r="G316" s="1163" t="s">
        <v>2609</v>
      </c>
      <c r="H316" s="1171"/>
      <c r="I316" s="1171"/>
      <c r="J316" s="1171"/>
      <c r="K316" s="1171"/>
      <c r="L316" s="153">
        <f t="shared" si="20"/>
        <v>6587</v>
      </c>
      <c r="M316" s="154" t="str">
        <f t="shared" si="21"/>
        <v>TAXES FONCIERES - CAROSSERIE</v>
      </c>
      <c r="N316" s="155">
        <f>+IF(OR($Q316=Parametres!$G$2,$Q316=Parametres!$G$3),I316,C316)</f>
        <v>0</v>
      </c>
      <c r="O316" s="1108">
        <f>+IF(OR($Q316=Parametres!$G$2,$Q316=Parametres!$G$3),J316,D316)</f>
        <v>345.1</v>
      </c>
      <c r="P316" s="155">
        <f>+IF(OR($Q316=Parametres!$G$2,$Q316=Parametres!$G$3),K316,E316)</f>
        <v>345.1</v>
      </c>
      <c r="Q316" s="154" t="str">
        <f t="shared" si="22"/>
        <v>7-Dépenses</v>
      </c>
      <c r="R316" s="153" t="str">
        <f t="shared" si="23"/>
        <v>6187</v>
      </c>
      <c r="S316" s="154">
        <f t="shared" si="24"/>
        <v>0</v>
      </c>
      <c r="T316" s="156">
        <f>+VLOOKUP($L316,Data_Validation!$A:$D,1,0)</f>
        <v>6587</v>
      </c>
      <c r="U316" s="156" t="str">
        <f>+VLOOKUP($L316,Data_Validation!$A:$D,3,0)</f>
        <v>Carrosserie</v>
      </c>
      <c r="V316" s="156" t="str">
        <f>+VLOOKUP($L316,Data_Validation!$A:$D,4,0)</f>
        <v>Taxes foncières</v>
      </c>
      <c r="W316" s="156" t="str">
        <f>+VLOOKUP($L316,Data_Validation!$A:$E,5,0)</f>
        <v>$</v>
      </c>
      <c r="X316" s="156">
        <f>+VLOOKUP($L316,Data_Validation!$A:$F,6,0)</f>
        <v>0</v>
      </c>
    </row>
    <row r="317" spans="1:24" ht="15" hidden="1" customHeight="1">
      <c r="A317" s="1163" t="s">
        <v>1225</v>
      </c>
      <c r="B317" s="1164">
        <v>6593</v>
      </c>
      <c r="C317" s="1165">
        <v>0</v>
      </c>
      <c r="D317" s="1165">
        <v>229.6</v>
      </c>
      <c r="E317" s="1165">
        <v>229.6</v>
      </c>
      <c r="F317" s="1163" t="s">
        <v>401</v>
      </c>
      <c r="G317" s="1163" t="s">
        <v>2592</v>
      </c>
      <c r="H317" s="1171"/>
      <c r="I317" s="1173"/>
      <c r="J317" s="1173"/>
      <c r="K317" s="1173"/>
      <c r="L317" s="153">
        <f t="shared" si="20"/>
        <v>6593</v>
      </c>
      <c r="M317" s="154" t="str">
        <f t="shared" si="21"/>
        <v>AUTRES TAXES -CARROSSERIE</v>
      </c>
      <c r="N317" s="155">
        <f>+IF(OR($Q317=Parametres!$G$2,$Q317=Parametres!$G$3),I317,C317)</f>
        <v>0</v>
      </c>
      <c r="O317" s="1106">
        <f>+IF(OR($Q317=Parametres!$G$2,$Q317=Parametres!$G$3),J317,D317)</f>
        <v>229.6</v>
      </c>
      <c r="P317" s="155">
        <f>+IF(OR($Q317=Parametres!$G$2,$Q317=Parametres!$G$3),K317,E317)</f>
        <v>229.6</v>
      </c>
      <c r="Q317" s="154" t="str">
        <f t="shared" si="22"/>
        <v>7-Dépenses</v>
      </c>
      <c r="R317" s="153" t="str">
        <f t="shared" si="23"/>
        <v>6193</v>
      </c>
      <c r="S317" s="154">
        <f t="shared" si="24"/>
        <v>0</v>
      </c>
      <c r="T317" s="156">
        <f>+VLOOKUP($L317,Data_Validation!$A:$D,1,0)</f>
        <v>6593</v>
      </c>
      <c r="U317" s="156" t="str">
        <f>+VLOOKUP($L317,Data_Validation!$A:$D,3,0)</f>
        <v>Carrosserie</v>
      </c>
      <c r="V317" s="156" t="str">
        <f>+VLOOKUP($L317,Data_Validation!$A:$D,4,0)</f>
        <v>Taxes d`affaires</v>
      </c>
      <c r="W317" s="156" t="str">
        <f>+VLOOKUP($L317,Data_Validation!$A:$E,5,0)</f>
        <v>$</v>
      </c>
      <c r="X317" s="156">
        <f>+VLOOKUP($L317,Data_Validation!$A:$F,6,0)</f>
        <v>0</v>
      </c>
    </row>
    <row r="318" spans="1:24" ht="15.75" hidden="1" customHeight="1">
      <c r="A318" s="1163" t="s">
        <v>1271</v>
      </c>
      <c r="B318" s="1164">
        <v>6594</v>
      </c>
      <c r="C318" s="1165">
        <v>0</v>
      </c>
      <c r="D318" s="1165">
        <v>428.63</v>
      </c>
      <c r="E318" s="1165">
        <v>428.63</v>
      </c>
      <c r="F318" s="1163" t="s">
        <v>401</v>
      </c>
      <c r="G318" s="1163" t="s">
        <v>2630</v>
      </c>
      <c r="H318" s="1171"/>
      <c r="I318" s="1171"/>
      <c r="J318" s="1171"/>
      <c r="K318" s="1171"/>
      <c r="L318" s="153">
        <f t="shared" si="20"/>
        <v>6594</v>
      </c>
      <c r="M318" s="154" t="str">
        <f t="shared" si="21"/>
        <v>FRAIS PROFESSIONNEL-CARROS.</v>
      </c>
      <c r="N318" s="155">
        <f>+IF(OR($Q318=Parametres!$G$2,$Q318=Parametres!$G$3),I318,C318)</f>
        <v>0</v>
      </c>
      <c r="O318" s="1108">
        <f>+IF(OR($Q318=Parametres!$G$2,$Q318=Parametres!$G$3),J318,D318)</f>
        <v>428.63</v>
      </c>
      <c r="P318" s="155">
        <f>+IF(OR($Q318=Parametres!$G$2,$Q318=Parametres!$G$3),K318,E318)</f>
        <v>428.63</v>
      </c>
      <c r="Q318" s="154" t="str">
        <f t="shared" si="22"/>
        <v>7-Dépenses</v>
      </c>
      <c r="R318" s="153" t="str">
        <f t="shared" si="23"/>
        <v>6194</v>
      </c>
      <c r="S318" s="154">
        <f t="shared" si="24"/>
        <v>0</v>
      </c>
      <c r="T318" s="156">
        <f>+VLOOKUP($L318,Data_Validation!$A:$D,1,0)</f>
        <v>6594</v>
      </c>
      <c r="U318" s="156" t="str">
        <f>+VLOOKUP($L318,Data_Validation!$A:$D,3,0)</f>
        <v>Carrosserie</v>
      </c>
      <c r="V318" s="156" t="str">
        <f>+VLOOKUP($L318,Data_Validation!$A:$D,4,0)</f>
        <v>Honoraires</v>
      </c>
      <c r="W318" s="156" t="str">
        <f>+VLOOKUP($L318,Data_Validation!$A:$E,5,0)</f>
        <v>$</v>
      </c>
      <c r="X318" s="156">
        <f>+VLOOKUP($L318,Data_Validation!$A:$F,6,0)</f>
        <v>0</v>
      </c>
    </row>
    <row r="319" spans="1:24" ht="15" hidden="1" customHeight="1">
      <c r="A319" s="1163" t="s">
        <v>399</v>
      </c>
      <c r="B319" s="1164">
        <v>6703</v>
      </c>
      <c r="C319" s="1165">
        <v>0</v>
      </c>
      <c r="D319" s="1165">
        <v>46.35</v>
      </c>
      <c r="E319" s="1165">
        <v>46.35</v>
      </c>
      <c r="F319" s="1163" t="s">
        <v>401</v>
      </c>
      <c r="G319" s="1163" t="s">
        <v>2462</v>
      </c>
      <c r="H319" s="1171"/>
      <c r="I319" s="1173"/>
      <c r="J319" s="1173"/>
      <c r="K319" s="1173"/>
      <c r="L319" s="153">
        <f t="shared" si="20"/>
        <v>6703</v>
      </c>
      <c r="M319" s="154" t="str">
        <f t="shared" si="21"/>
        <v>RELAT. A LA CLIENTELE &amp; AJUST.</v>
      </c>
      <c r="N319" s="155">
        <f>+IF(OR($Q319=Parametres!$G$2,$Q319=Parametres!$G$3),I319,C319)</f>
        <v>0</v>
      </c>
      <c r="O319" s="1106">
        <f>+IF(OR($Q319=Parametres!$G$2,$Q319=Parametres!$G$3),J319,D319)</f>
        <v>46.35</v>
      </c>
      <c r="P319" s="155">
        <f>+IF(OR($Q319=Parametres!$G$2,$Q319=Parametres!$G$3),K319,E319)</f>
        <v>46.35</v>
      </c>
      <c r="Q319" s="154" t="str">
        <f t="shared" si="22"/>
        <v>7-Dépenses</v>
      </c>
      <c r="R319" s="153" t="str">
        <f t="shared" si="23"/>
        <v>6112</v>
      </c>
      <c r="S319" s="154">
        <f t="shared" si="24"/>
        <v>0</v>
      </c>
      <c r="T319" s="156">
        <f>+VLOOKUP($L319,Data_Validation!$A:$D,1,0)</f>
        <v>6703</v>
      </c>
      <c r="U319" s="156" t="str">
        <f>+VLOOKUP($L319,Data_Validation!$A:$D,3,0)</f>
        <v>Pièces</v>
      </c>
      <c r="V319" s="156" t="str">
        <f>+VLOOKUP($L319,Data_Validation!$A:$D,4,0)</f>
        <v>Service gratuit 2</v>
      </c>
      <c r="W319" s="156" t="str">
        <f>+VLOOKUP($L319,Data_Validation!$A:$E,5,0)</f>
        <v>$</v>
      </c>
      <c r="X319" s="156">
        <f>+VLOOKUP($L319,Data_Validation!$A:$F,6,0)</f>
        <v>0</v>
      </c>
    </row>
    <row r="320" spans="1:24" ht="15" hidden="1" customHeight="1">
      <c r="A320" s="1163" t="s">
        <v>1374</v>
      </c>
      <c r="B320" s="1164">
        <v>6714</v>
      </c>
      <c r="C320" s="1165">
        <v>0</v>
      </c>
      <c r="D320" s="1165">
        <v>3721.77</v>
      </c>
      <c r="E320" s="1165">
        <v>3721.77</v>
      </c>
      <c r="F320" s="1163" t="s">
        <v>401</v>
      </c>
      <c r="G320" s="1163" t="s">
        <v>2110</v>
      </c>
      <c r="H320" s="1168"/>
      <c r="I320" s="1170"/>
      <c r="J320" s="1170"/>
      <c r="K320" s="1170"/>
      <c r="L320" s="153">
        <f t="shared" si="20"/>
        <v>6714</v>
      </c>
      <c r="M320" s="154" t="str">
        <f t="shared" si="21"/>
        <v>PUBLICITE</v>
      </c>
      <c r="N320" s="155">
        <f>+IF(OR($Q320=Parametres!$G$2,$Q320=Parametres!$G$3),I320,C320)</f>
        <v>0</v>
      </c>
      <c r="O320" s="1108">
        <f>+IF(OR($Q320=Parametres!$G$2,$Q320=Parametres!$G$3),J320,D320)</f>
        <v>3721.77</v>
      </c>
      <c r="P320" s="155">
        <f>+IF(OR($Q320=Parametres!$G$2,$Q320=Parametres!$G$3),K320,E320)</f>
        <v>3721.77</v>
      </c>
      <c r="Q320" s="154" t="str">
        <f t="shared" si="22"/>
        <v>7-Dépenses</v>
      </c>
      <c r="R320" s="153" t="str">
        <f t="shared" si="23"/>
        <v>6114</v>
      </c>
      <c r="S320" s="154">
        <f t="shared" si="24"/>
        <v>0</v>
      </c>
      <c r="T320" s="156">
        <f>+VLOOKUP($L320,Data_Validation!$A:$D,1,0)</f>
        <v>6714</v>
      </c>
      <c r="U320" s="156" t="str">
        <f>+VLOOKUP($L320,Data_Validation!$A:$D,3,0)</f>
        <v>Pièces</v>
      </c>
      <c r="V320" s="156" t="str">
        <f>+VLOOKUP($L320,Data_Validation!$A:$D,4,0)</f>
        <v>Publicité 2</v>
      </c>
      <c r="W320" s="156" t="str">
        <f>+VLOOKUP($L320,Data_Validation!$A:$E,5,0)</f>
        <v>$</v>
      </c>
      <c r="X320" s="156">
        <f>+VLOOKUP($L320,Data_Validation!$A:$F,6,0)</f>
        <v>0</v>
      </c>
    </row>
    <row r="321" spans="1:24" ht="15" hidden="1" customHeight="1">
      <c r="A321" s="1163" t="s">
        <v>1357</v>
      </c>
      <c r="B321" s="1164">
        <v>6721</v>
      </c>
      <c r="C321" s="1165">
        <v>0</v>
      </c>
      <c r="D321" s="1165">
        <v>3008.73</v>
      </c>
      <c r="E321" s="1165">
        <v>3008.73</v>
      </c>
      <c r="F321" s="1163" t="s">
        <v>401</v>
      </c>
      <c r="G321" s="1163" t="s">
        <v>2643</v>
      </c>
      <c r="H321" s="1168"/>
      <c r="I321" s="1170"/>
      <c r="J321" s="1170"/>
      <c r="K321" s="1170"/>
      <c r="L321" s="153">
        <f t="shared" si="20"/>
        <v>6721</v>
      </c>
      <c r="M321" s="154" t="str">
        <f t="shared" si="21"/>
        <v>SALAIRES - PROPRIEATIRES</v>
      </c>
      <c r="N321" s="155">
        <f>+IF(OR($Q321=Parametres!$G$2,$Q321=Parametres!$G$3),I321,C321)</f>
        <v>0</v>
      </c>
      <c r="O321" s="1108">
        <f>+IF(OR($Q321=Parametres!$G$2,$Q321=Parametres!$G$3),J321,D321)</f>
        <v>3008.73</v>
      </c>
      <c r="P321" s="155">
        <f>+IF(OR($Q321=Parametres!$G$2,$Q321=Parametres!$G$3),K321,E321)</f>
        <v>3008.73</v>
      </c>
      <c r="Q321" s="154" t="str">
        <f t="shared" si="22"/>
        <v>7-Dépenses</v>
      </c>
      <c r="R321" s="153" t="str">
        <f t="shared" si="23"/>
        <v>6121</v>
      </c>
      <c r="S321" s="154">
        <f t="shared" si="24"/>
        <v>0</v>
      </c>
      <c r="T321" s="156">
        <f>+VLOOKUP($L321,Data_Validation!$A:$D,1,0)</f>
        <v>6721</v>
      </c>
      <c r="U321" s="156" t="str">
        <f>+VLOOKUP($L321,Data_Validation!$A:$D,3,0)</f>
        <v>Pièces</v>
      </c>
      <c r="V321" s="156" t="str">
        <f>+VLOOKUP($L321,Data_Validation!$A:$D,4,0)</f>
        <v>Salaires propriétaire</v>
      </c>
      <c r="W321" s="156" t="str">
        <f>+VLOOKUP($L321,Data_Validation!$A:$E,5,0)</f>
        <v>$</v>
      </c>
      <c r="X321" s="156">
        <f>+VLOOKUP($L321,Data_Validation!$A:$F,6,0)</f>
        <v>0</v>
      </c>
    </row>
    <row r="322" spans="1:24" ht="15.75" hidden="1" customHeight="1">
      <c r="A322" s="1163" t="s">
        <v>2619</v>
      </c>
      <c r="B322" s="1164">
        <v>6722</v>
      </c>
      <c r="C322" s="1165">
        <v>0</v>
      </c>
      <c r="D322" s="1165">
        <v>5721</v>
      </c>
      <c r="E322" s="1165">
        <v>5721</v>
      </c>
      <c r="F322" s="1163" t="s">
        <v>401</v>
      </c>
      <c r="G322" s="1163" t="s">
        <v>2621</v>
      </c>
      <c r="H322" s="1175"/>
      <c r="I322" s="1175"/>
      <c r="J322" s="1175"/>
      <c r="K322" s="1175"/>
      <c r="L322" s="153">
        <f t="shared" ref="L322:L385" si="25">+B322</f>
        <v>6722</v>
      </c>
      <c r="M322" s="154" t="str">
        <f t="shared" ref="M322:M385" si="26">+A322</f>
        <v>SAL SUPERVISION / GERANT</v>
      </c>
      <c r="N322" s="155">
        <f>+IF(OR($Q322=Parametres!$G$2,$Q322=Parametres!$G$3),I322,C322)</f>
        <v>0</v>
      </c>
      <c r="O322" s="1106">
        <f>+IF(OR($Q322=Parametres!$G$2,$Q322=Parametres!$G$3),J322,D322)</f>
        <v>5721</v>
      </c>
      <c r="P322" s="155">
        <f>+IF(OR($Q322=Parametres!$G$2,$Q322=Parametres!$G$3),K322,E322)</f>
        <v>5721</v>
      </c>
      <c r="Q322" s="154" t="str">
        <f t="shared" ref="Q322:Q385" si="27">+F322</f>
        <v>7-Dépenses</v>
      </c>
      <c r="R322" s="153" t="str">
        <f t="shared" ref="R322:R385" si="28">+G322</f>
        <v>6122</v>
      </c>
      <c r="S322" s="154">
        <f t="shared" ref="S322:S385" si="29">+H322</f>
        <v>0</v>
      </c>
      <c r="T322" s="156">
        <f>+VLOOKUP($L322,Data_Validation!$A:$D,1,0)</f>
        <v>6722</v>
      </c>
      <c r="U322" s="156" t="str">
        <f>+VLOOKUP($L322,Data_Validation!$A:$D,3,0)</f>
        <v>Pièces</v>
      </c>
      <c r="V322" s="156" t="str">
        <f>+VLOOKUP($L322,Data_Validation!$A:$D,4,0)</f>
        <v>Salaires cadres</v>
      </c>
      <c r="W322" s="156" t="str">
        <f>+VLOOKUP($L322,Data_Validation!$A:$E,5,0)</f>
        <v>$</v>
      </c>
      <c r="X322" s="156">
        <f>+VLOOKUP($L322,Data_Validation!$A:$F,6,0)</f>
        <v>0</v>
      </c>
    </row>
    <row r="323" spans="1:24" ht="15" hidden="1" customHeight="1">
      <c r="A323" s="1163" t="s">
        <v>1342</v>
      </c>
      <c r="B323" s="1164">
        <v>6723</v>
      </c>
      <c r="C323" s="1165">
        <v>0</v>
      </c>
      <c r="D323" s="1165">
        <v>3548.54</v>
      </c>
      <c r="E323" s="1165">
        <v>3548.54</v>
      </c>
      <c r="F323" s="1163" t="s">
        <v>401</v>
      </c>
      <c r="G323" s="1163" t="s">
        <v>2674</v>
      </c>
      <c r="H323" s="1171"/>
      <c r="I323" s="1173"/>
      <c r="J323" s="1173"/>
      <c r="K323" s="1173"/>
      <c r="L323" s="153">
        <f t="shared" si="25"/>
        <v>6723</v>
      </c>
      <c r="M323" s="154" t="str">
        <f t="shared" si="26"/>
        <v>SAL. &amp; RENUM. - CLERICAL</v>
      </c>
      <c r="N323" s="155">
        <f>+IF(OR($Q323=Parametres!$G$2,$Q323=Parametres!$G$3),I323,C323)</f>
        <v>0</v>
      </c>
      <c r="O323" s="1106">
        <f>+IF(OR($Q323=Parametres!$G$2,$Q323=Parametres!$G$3),J323,D323)</f>
        <v>3548.54</v>
      </c>
      <c r="P323" s="155">
        <f>+IF(OR($Q323=Parametres!$G$2,$Q323=Parametres!$G$3),K323,E323)</f>
        <v>3548.54</v>
      </c>
      <c r="Q323" s="154" t="str">
        <f t="shared" si="27"/>
        <v>7-Dépenses</v>
      </c>
      <c r="R323" s="153" t="str">
        <f t="shared" si="28"/>
        <v>6123</v>
      </c>
      <c r="S323" s="154">
        <f t="shared" si="29"/>
        <v>0</v>
      </c>
      <c r="T323" s="156">
        <f>+VLOOKUP($L323,Data_Validation!$A:$D,1,0)</f>
        <v>6723</v>
      </c>
      <c r="U323" s="156" t="str">
        <f>+VLOOKUP($L323,Data_Validation!$A:$D,3,0)</f>
        <v>Pièces</v>
      </c>
      <c r="V323" s="156" t="str">
        <f>+VLOOKUP($L323,Data_Validation!$A:$D,4,0)</f>
        <v>Salaires commis</v>
      </c>
      <c r="W323" s="156" t="str">
        <f>+VLOOKUP($L323,Data_Validation!$A:$E,5,0)</f>
        <v>$</v>
      </c>
      <c r="X323" s="156">
        <f>+VLOOKUP($L323,Data_Validation!$A:$F,6,0)</f>
        <v>0</v>
      </c>
    </row>
    <row r="324" spans="1:24" ht="15" hidden="1" customHeight="1">
      <c r="A324" s="1163" t="s">
        <v>1249</v>
      </c>
      <c r="B324" s="1164">
        <v>6724</v>
      </c>
      <c r="C324" s="1165">
        <v>0</v>
      </c>
      <c r="D324" s="1165">
        <v>13821.12</v>
      </c>
      <c r="E324" s="1165">
        <v>13821.12</v>
      </c>
      <c r="F324" s="1163" t="s">
        <v>401</v>
      </c>
      <c r="G324" s="1163" t="s">
        <v>2730</v>
      </c>
      <c r="H324" s="1171"/>
      <c r="I324" s="1172"/>
      <c r="J324" s="1171"/>
      <c r="K324" s="1172"/>
      <c r="L324" s="153">
        <f t="shared" si="25"/>
        <v>6724</v>
      </c>
      <c r="M324" s="154" t="str">
        <f t="shared" si="26"/>
        <v>SALAIRES &amp; RENUM. - AUTRES</v>
      </c>
      <c r="N324" s="155">
        <f>+IF(OR($Q324=Parametres!$G$2,$Q324=Parametres!$G$3),I324,C324)</f>
        <v>0</v>
      </c>
      <c r="O324" s="1108">
        <f>+IF(OR($Q324=Parametres!$G$2,$Q324=Parametres!$G$3),J324,D324)</f>
        <v>13821.12</v>
      </c>
      <c r="P324" s="155">
        <f>+IF(OR($Q324=Parametres!$G$2,$Q324=Parametres!$G$3),K324,E324)</f>
        <v>13821.12</v>
      </c>
      <c r="Q324" s="154" t="str">
        <f t="shared" si="27"/>
        <v>7-Dépenses</v>
      </c>
      <c r="R324" s="153" t="str">
        <f t="shared" si="28"/>
        <v>6124</v>
      </c>
      <c r="S324" s="154">
        <f t="shared" si="29"/>
        <v>0</v>
      </c>
      <c r="T324" s="156">
        <f>+VLOOKUP($L324,Data_Validation!$A:$D,1,0)</f>
        <v>6724</v>
      </c>
      <c r="U324" s="156" t="str">
        <f>+VLOOKUP($L324,Data_Validation!$A:$D,3,0)</f>
        <v>Pièces</v>
      </c>
      <c r="V324" s="156" t="str">
        <f>+VLOOKUP($L324,Data_Validation!$A:$D,4,0)</f>
        <v>Salaires autres</v>
      </c>
      <c r="W324" s="156" t="str">
        <f>+VLOOKUP($L324,Data_Validation!$A:$E,5,0)</f>
        <v>$</v>
      </c>
      <c r="X324" s="156">
        <f>+VLOOKUP($L324,Data_Validation!$A:$F,6,0)</f>
        <v>0</v>
      </c>
    </row>
    <row r="325" spans="1:24" ht="15" hidden="1" customHeight="1">
      <c r="A325" s="1163" t="s">
        <v>1328</v>
      </c>
      <c r="B325" s="1164">
        <v>6729</v>
      </c>
      <c r="C325" s="1165">
        <v>0</v>
      </c>
      <c r="D325" s="1165">
        <v>3777.81</v>
      </c>
      <c r="E325" s="1165">
        <v>3777.81</v>
      </c>
      <c r="F325" s="1163" t="s">
        <v>401</v>
      </c>
      <c r="G325" s="1163" t="s">
        <v>2636</v>
      </c>
      <c r="H325" s="1171"/>
      <c r="I325" s="1172"/>
      <c r="J325" s="1171"/>
      <c r="K325" s="1172"/>
      <c r="L325" s="153">
        <f t="shared" si="25"/>
        <v>6729</v>
      </c>
      <c r="M325" s="154" t="str">
        <f t="shared" si="26"/>
        <v>ABSENCES, VACANCES, ETC</v>
      </c>
      <c r="N325" s="155">
        <f>+IF(OR($Q325=Parametres!$G$2,$Q325=Parametres!$G$3),I325,C325)</f>
        <v>0</v>
      </c>
      <c r="O325" s="1106">
        <f>+IF(OR($Q325=Parametres!$G$2,$Q325=Parametres!$G$3),J325,D325)</f>
        <v>3777.81</v>
      </c>
      <c r="P325" s="155">
        <f>+IF(OR($Q325=Parametres!$G$2,$Q325=Parametres!$G$3),K325,E325)</f>
        <v>3777.81</v>
      </c>
      <c r="Q325" s="154" t="str">
        <f t="shared" si="27"/>
        <v>7-Dépenses</v>
      </c>
      <c r="R325" s="153" t="str">
        <f t="shared" si="28"/>
        <v>6129</v>
      </c>
      <c r="S325" s="154">
        <f t="shared" si="29"/>
        <v>0</v>
      </c>
      <c r="T325" s="156">
        <f>+VLOOKUP($L325,Data_Validation!$A:$D,1,0)</f>
        <v>6729</v>
      </c>
      <c r="U325" s="156" t="str">
        <f>+VLOOKUP($L325,Data_Validation!$A:$D,3,0)</f>
        <v>Pièces</v>
      </c>
      <c r="V325" s="156" t="str">
        <f>+VLOOKUP($L325,Data_Validation!$A:$D,4,0)</f>
        <v>Salaires en absences</v>
      </c>
      <c r="W325" s="156" t="str">
        <f>+VLOOKUP($L325,Data_Validation!$A:$E,5,0)</f>
        <v>$</v>
      </c>
      <c r="X325" s="156">
        <f>+VLOOKUP($L325,Data_Validation!$A:$F,6,0)</f>
        <v>0</v>
      </c>
    </row>
    <row r="326" spans="1:24" ht="15" hidden="1" customHeight="1">
      <c r="A326" s="1163" t="s">
        <v>1252</v>
      </c>
      <c r="B326" s="1164">
        <v>6731</v>
      </c>
      <c r="C326" s="1165">
        <v>0</v>
      </c>
      <c r="D326" s="1165">
        <v>-4727</v>
      </c>
      <c r="E326" s="1165">
        <v>-4727</v>
      </c>
      <c r="F326" s="1163" t="s">
        <v>401</v>
      </c>
      <c r="G326" s="1163" t="s">
        <v>2581</v>
      </c>
      <c r="H326" s="1171"/>
      <c r="I326" s="1173"/>
      <c r="J326" s="1173"/>
      <c r="K326" s="1173"/>
      <c r="L326" s="153">
        <f t="shared" si="25"/>
        <v>6731</v>
      </c>
      <c r="M326" s="154" t="str">
        <f t="shared" si="26"/>
        <v>CSST</v>
      </c>
      <c r="N326" s="155">
        <f>+IF(OR($Q326=Parametres!$G$2,$Q326=Parametres!$G$3),I326,C326)</f>
        <v>0</v>
      </c>
      <c r="O326" s="1106">
        <f>+IF(OR($Q326=Parametres!$G$2,$Q326=Parametres!$G$3),J326,D326)</f>
        <v>-4727</v>
      </c>
      <c r="P326" s="155">
        <f>+IF(OR($Q326=Parametres!$G$2,$Q326=Parametres!$G$3),K326,E326)</f>
        <v>-4727</v>
      </c>
      <c r="Q326" s="154" t="str">
        <f t="shared" si="27"/>
        <v>7-Dépenses</v>
      </c>
      <c r="R326" s="153" t="str">
        <f t="shared" si="28"/>
        <v>6131</v>
      </c>
      <c r="S326" s="154">
        <f t="shared" si="29"/>
        <v>0</v>
      </c>
      <c r="T326" s="156">
        <f>+VLOOKUP($L326,Data_Validation!$A:$D,1,0)</f>
        <v>6731</v>
      </c>
      <c r="U326" s="156" t="str">
        <f>+VLOOKUP($L326,Data_Validation!$A:$D,3,0)</f>
        <v>Pièces</v>
      </c>
      <c r="V326" s="156" t="str">
        <f>+VLOOKUP($L326,Data_Validation!$A:$D,4,0)</f>
        <v>Csst</v>
      </c>
      <c r="W326" s="156" t="str">
        <f>+VLOOKUP($L326,Data_Validation!$A:$E,5,0)</f>
        <v>$</v>
      </c>
      <c r="X326" s="156">
        <f>+VLOOKUP($L326,Data_Validation!$A:$F,6,0)</f>
        <v>0</v>
      </c>
    </row>
    <row r="327" spans="1:24" ht="15.75" hidden="1" customHeight="1">
      <c r="A327" s="1163" t="s">
        <v>1283</v>
      </c>
      <c r="B327" s="1164">
        <v>6732</v>
      </c>
      <c r="C327" s="1165">
        <v>0</v>
      </c>
      <c r="D327" s="1165">
        <v>8548.11</v>
      </c>
      <c r="E327" s="1165">
        <v>8548.11</v>
      </c>
      <c r="F327" s="1163" t="s">
        <v>401</v>
      </c>
      <c r="G327" s="1163" t="s">
        <v>2680</v>
      </c>
      <c r="H327" s="1168"/>
      <c r="I327" s="1174"/>
      <c r="J327" s="1174"/>
      <c r="K327" s="1174"/>
      <c r="L327" s="153">
        <f t="shared" si="25"/>
        <v>6732</v>
      </c>
      <c r="M327" s="154" t="str">
        <f t="shared" si="26"/>
        <v>RRQ RAMQ AC</v>
      </c>
      <c r="N327" s="155">
        <f>+IF(OR($Q327=Parametres!$G$2,$Q327=Parametres!$G$3),I327,C327)</f>
        <v>0</v>
      </c>
      <c r="O327" s="1108">
        <f>+IF(OR($Q327=Parametres!$G$2,$Q327=Parametres!$G$3),J327,D327)</f>
        <v>8548.11</v>
      </c>
      <c r="P327" s="155">
        <f>+IF(OR($Q327=Parametres!$G$2,$Q327=Parametres!$G$3),K327,E327)</f>
        <v>8548.11</v>
      </c>
      <c r="Q327" s="154" t="str">
        <f t="shared" si="27"/>
        <v>7-Dépenses</v>
      </c>
      <c r="R327" s="153" t="str">
        <f t="shared" si="28"/>
        <v>6132</v>
      </c>
      <c r="S327" s="154">
        <f t="shared" si="29"/>
        <v>0</v>
      </c>
      <c r="T327" s="156">
        <f>+VLOOKUP($L327,Data_Validation!$A:$D,1,0)</f>
        <v>6732</v>
      </c>
      <c r="U327" s="156" t="str">
        <f>+VLOOKUP($L327,Data_Validation!$A:$D,3,0)</f>
        <v>Pièces</v>
      </c>
      <c r="V327" s="156" t="str">
        <f>+VLOOKUP($L327,Data_Validation!$A:$D,4,0)</f>
        <v>Csst</v>
      </c>
      <c r="W327" s="156" t="str">
        <f>+VLOOKUP($L327,Data_Validation!$A:$E,5,0)</f>
        <v>$</v>
      </c>
      <c r="X327" s="156">
        <f>+VLOOKUP($L327,Data_Validation!$A:$F,6,0)</f>
        <v>0</v>
      </c>
    </row>
    <row r="328" spans="1:24" ht="15" hidden="1" customHeight="1">
      <c r="A328" s="1163" t="s">
        <v>1164</v>
      </c>
      <c r="B328" s="1164">
        <v>6733</v>
      </c>
      <c r="C328" s="1165">
        <v>0</v>
      </c>
      <c r="D328" s="1165">
        <v>38.46</v>
      </c>
      <c r="E328" s="1165">
        <v>38.46</v>
      </c>
      <c r="F328" s="1163" t="s">
        <v>401</v>
      </c>
      <c r="G328" s="1163" t="s">
        <v>2574</v>
      </c>
      <c r="H328" s="1168"/>
      <c r="I328" s="1174"/>
      <c r="J328" s="1174"/>
      <c r="K328" s="1174"/>
      <c r="L328" s="153">
        <f t="shared" si="25"/>
        <v>6733</v>
      </c>
      <c r="M328" s="154" t="str">
        <f t="shared" si="26"/>
        <v>FOND PENSION - PIECES</v>
      </c>
      <c r="N328" s="155">
        <f>+IF(OR($Q328=Parametres!$G$2,$Q328=Parametres!$G$3),I328,C328)</f>
        <v>0</v>
      </c>
      <c r="O328" s="1108">
        <f>+IF(OR($Q328=Parametres!$G$2,$Q328=Parametres!$G$3),J328,D328)</f>
        <v>38.46</v>
      </c>
      <c r="P328" s="155">
        <f>+IF(OR($Q328=Parametres!$G$2,$Q328=Parametres!$G$3),K328,E328)</f>
        <v>38.46</v>
      </c>
      <c r="Q328" s="154" t="str">
        <f t="shared" si="27"/>
        <v>7-Dépenses</v>
      </c>
      <c r="R328" s="153" t="str">
        <f t="shared" si="28"/>
        <v>6133</v>
      </c>
      <c r="S328" s="154">
        <f t="shared" si="29"/>
        <v>0</v>
      </c>
      <c r="T328" s="156">
        <f>+VLOOKUP($L328,Data_Validation!$A:$D,1,0)</f>
        <v>6733</v>
      </c>
      <c r="U328" s="156" t="str">
        <f>+VLOOKUP($L328,Data_Validation!$A:$D,3,0)</f>
        <v>Pièces</v>
      </c>
      <c r="V328" s="156" t="str">
        <f>+VLOOKUP($L328,Data_Validation!$A:$D,4,0)</f>
        <v>Déduction à la source</v>
      </c>
      <c r="W328" s="156" t="str">
        <f>+VLOOKUP($L328,Data_Validation!$A:$E,5,0)</f>
        <v>$</v>
      </c>
      <c r="X328" s="156">
        <f>+VLOOKUP($L328,Data_Validation!$A:$F,6,0)</f>
        <v>0</v>
      </c>
    </row>
    <row r="329" spans="1:24" ht="15" hidden="1" customHeight="1">
      <c r="A329" s="1163" t="s">
        <v>1305</v>
      </c>
      <c r="B329" s="1164">
        <v>6739</v>
      </c>
      <c r="C329" s="1165">
        <v>0</v>
      </c>
      <c r="D329" s="1165">
        <v>1597.81</v>
      </c>
      <c r="E329" s="1165">
        <v>1597.81</v>
      </c>
      <c r="F329" s="1163" t="s">
        <v>401</v>
      </c>
      <c r="G329" s="1163" t="s">
        <v>2689</v>
      </c>
      <c r="H329" s="1177"/>
      <c r="I329" s="1177"/>
      <c r="J329" s="1177"/>
      <c r="K329" s="1177"/>
      <c r="L329" s="153">
        <f t="shared" si="25"/>
        <v>6739</v>
      </c>
      <c r="M329" s="154" t="str">
        <f t="shared" si="26"/>
        <v>ASSURANCE GROUPE</v>
      </c>
      <c r="N329" s="155">
        <f>+IF(OR($Q329=Parametres!$G$2,$Q329=Parametres!$G$3),I329,C329)</f>
        <v>0</v>
      </c>
      <c r="O329" s="1108">
        <f>+IF(OR($Q329=Parametres!$G$2,$Q329=Parametres!$G$3),J329,D329)</f>
        <v>1597.81</v>
      </c>
      <c r="P329" s="155">
        <f>+IF(OR($Q329=Parametres!$G$2,$Q329=Parametres!$G$3),K329,E329)</f>
        <v>1597.81</v>
      </c>
      <c r="Q329" s="154" t="str">
        <f t="shared" si="27"/>
        <v>7-Dépenses</v>
      </c>
      <c r="R329" s="153" t="str">
        <f t="shared" si="28"/>
        <v>6139</v>
      </c>
      <c r="S329" s="154">
        <f t="shared" si="29"/>
        <v>0</v>
      </c>
      <c r="T329" s="156">
        <f>+VLOOKUP($L329,Data_Validation!$A:$D,1,0)</f>
        <v>6739</v>
      </c>
      <c r="U329" s="156" t="str">
        <f>+VLOOKUP($L329,Data_Validation!$A:$D,3,0)</f>
        <v>Pièces</v>
      </c>
      <c r="V329" s="156" t="str">
        <f>+VLOOKUP($L329,Data_Validation!$A:$D,4,0)</f>
        <v>Bénéfices marginaux</v>
      </c>
      <c r="W329" s="156" t="str">
        <f>+VLOOKUP($L329,Data_Validation!$A:$E,5,0)</f>
        <v>$</v>
      </c>
      <c r="X329" s="156">
        <f>+VLOOKUP($L329,Data_Validation!$A:$F,6,0)</f>
        <v>0</v>
      </c>
    </row>
    <row r="330" spans="1:24" ht="15" hidden="1" customHeight="1">
      <c r="A330" s="1163" t="s">
        <v>1157</v>
      </c>
      <c r="B330" s="1164">
        <v>6742</v>
      </c>
      <c r="C330" s="1165">
        <v>0</v>
      </c>
      <c r="D330" s="1165">
        <v>7.49</v>
      </c>
      <c r="E330" s="1165">
        <v>7.49</v>
      </c>
      <c r="F330" s="1163" t="s">
        <v>401</v>
      </c>
      <c r="G330" s="1163" t="s">
        <v>2558</v>
      </c>
      <c r="H330" s="1168"/>
      <c r="I330" s="1170"/>
      <c r="J330" s="1170"/>
      <c r="K330" s="1170"/>
      <c r="L330" s="153">
        <f t="shared" si="25"/>
        <v>6742</v>
      </c>
      <c r="M330" s="154" t="str">
        <f t="shared" si="26"/>
        <v>FOURNITURES &amp; PETITS OUTILS</v>
      </c>
      <c r="N330" s="155">
        <f>+IF(OR($Q330=Parametres!$G$2,$Q330=Parametres!$G$3),I330,C330)</f>
        <v>0</v>
      </c>
      <c r="O330" s="1108">
        <f>+IF(OR($Q330=Parametres!$G$2,$Q330=Parametres!$G$3),J330,D330)</f>
        <v>7.49</v>
      </c>
      <c r="P330" s="155">
        <f>+IF(OR($Q330=Parametres!$G$2,$Q330=Parametres!$G$3),K330,E330)</f>
        <v>7.49</v>
      </c>
      <c r="Q330" s="154" t="str">
        <f t="shared" si="27"/>
        <v>7-Dépenses</v>
      </c>
      <c r="R330" s="153" t="str">
        <f t="shared" si="28"/>
        <v>6142</v>
      </c>
      <c r="S330" s="154">
        <f t="shared" si="29"/>
        <v>0</v>
      </c>
      <c r="T330" s="156">
        <f>+VLOOKUP($L330,Data_Validation!$A:$D,1,0)</f>
        <v>6742</v>
      </c>
      <c r="U330" s="156" t="str">
        <f>+VLOOKUP($L330,Data_Validation!$A:$D,3,0)</f>
        <v>Pièces</v>
      </c>
      <c r="V330" s="156" t="str">
        <f>+VLOOKUP($L330,Data_Validation!$A:$D,4,0)</f>
        <v>Fournitures autres</v>
      </c>
      <c r="W330" s="156" t="str">
        <f>+VLOOKUP($L330,Data_Validation!$A:$E,5,0)</f>
        <v>$</v>
      </c>
      <c r="X330" s="156">
        <f>+VLOOKUP($L330,Data_Validation!$A:$F,6,0)</f>
        <v>0</v>
      </c>
    </row>
    <row r="331" spans="1:24" ht="15" hidden="1" customHeight="1">
      <c r="A331" s="1163" t="s">
        <v>934</v>
      </c>
      <c r="B331" s="1164">
        <v>6744</v>
      </c>
      <c r="C331" s="1165">
        <v>0</v>
      </c>
      <c r="D331" s="1165">
        <v>79.75</v>
      </c>
      <c r="E331" s="1165">
        <v>79.75</v>
      </c>
      <c r="F331" s="1163" t="s">
        <v>401</v>
      </c>
      <c r="G331" s="1163" t="s">
        <v>2556</v>
      </c>
      <c r="H331" s="1168"/>
      <c r="I331" s="1170"/>
      <c r="J331" s="1170"/>
      <c r="K331" s="1170"/>
      <c r="L331" s="153">
        <f t="shared" si="25"/>
        <v>6744</v>
      </c>
      <c r="M331" s="154" t="str">
        <f t="shared" si="26"/>
        <v>FORMATION</v>
      </c>
      <c r="N331" s="155">
        <f>+IF(OR($Q331=Parametres!$G$2,$Q331=Parametres!$G$3),I331,C331)</f>
        <v>0</v>
      </c>
      <c r="O331" s="1108">
        <f>+IF(OR($Q331=Parametres!$G$2,$Q331=Parametres!$G$3),J331,D331)</f>
        <v>79.75</v>
      </c>
      <c r="P331" s="155">
        <f>+IF(OR($Q331=Parametres!$G$2,$Q331=Parametres!$G$3),K331,E331)</f>
        <v>79.75</v>
      </c>
      <c r="Q331" s="154" t="str">
        <f t="shared" si="27"/>
        <v>7-Dépenses</v>
      </c>
      <c r="R331" s="153" t="str">
        <f t="shared" si="28"/>
        <v>6144</v>
      </c>
      <c r="S331" s="154">
        <f t="shared" si="29"/>
        <v>0</v>
      </c>
      <c r="T331" s="156">
        <f>+VLOOKUP($L331,Data_Validation!$A:$D,1,0)</f>
        <v>6744</v>
      </c>
      <c r="U331" s="156" t="str">
        <f>+VLOOKUP($L331,Data_Validation!$A:$D,3,0)</f>
        <v>Pièces</v>
      </c>
      <c r="V331" s="156" t="str">
        <f>+VLOOKUP($L331,Data_Validation!$A:$D,4,0)</f>
        <v>Formation</v>
      </c>
      <c r="W331" s="156" t="str">
        <f>+VLOOKUP($L331,Data_Validation!$A:$E,5,0)</f>
        <v>$</v>
      </c>
      <c r="X331" s="156">
        <f>+VLOOKUP($L331,Data_Validation!$A:$F,6,0)</f>
        <v>0</v>
      </c>
    </row>
    <row r="332" spans="1:24" ht="15" hidden="1" customHeight="1">
      <c r="A332" s="1163" t="s">
        <v>1186</v>
      </c>
      <c r="B332" s="1164">
        <v>6745</v>
      </c>
      <c r="C332" s="1165">
        <v>0</v>
      </c>
      <c r="D332" s="1165">
        <v>434.1</v>
      </c>
      <c r="E332" s="1165">
        <v>434.1</v>
      </c>
      <c r="F332" s="1163" t="s">
        <v>401</v>
      </c>
      <c r="G332" s="1163" t="s">
        <v>2627</v>
      </c>
      <c r="H332" s="1168"/>
      <c r="I332" s="1170"/>
      <c r="J332" s="1170"/>
      <c r="K332" s="1170"/>
      <c r="L332" s="153">
        <f t="shared" si="25"/>
        <v>6745</v>
      </c>
      <c r="M332" s="154" t="str">
        <f t="shared" si="26"/>
        <v>VEHICULE DE COMPAGNIE - DEPENS</v>
      </c>
      <c r="N332" s="155">
        <f>+IF(OR($Q332=Parametres!$G$2,$Q332=Parametres!$G$3),I332,C332)</f>
        <v>0</v>
      </c>
      <c r="O332" s="1108">
        <f>+IF(OR($Q332=Parametres!$G$2,$Q332=Parametres!$G$3),J332,D332)</f>
        <v>434.1</v>
      </c>
      <c r="P332" s="155">
        <f>+IF(OR($Q332=Parametres!$G$2,$Q332=Parametres!$G$3),K332,E332)</f>
        <v>434.1</v>
      </c>
      <c r="Q332" s="154" t="str">
        <f t="shared" si="27"/>
        <v>7-Dépenses</v>
      </c>
      <c r="R332" s="153" t="str">
        <f t="shared" si="28"/>
        <v>6145</v>
      </c>
      <c r="S332" s="154">
        <f t="shared" si="29"/>
        <v>0</v>
      </c>
      <c r="T332" s="156">
        <f>+VLOOKUP($L332,Data_Validation!$A:$D,1,0)</f>
        <v>6745</v>
      </c>
      <c r="U332" s="156" t="str">
        <f>+VLOOKUP($L332,Data_Validation!$A:$D,3,0)</f>
        <v>Pièces</v>
      </c>
      <c r="V332" s="156" t="str">
        <f>+VLOOKUP($L332,Data_Validation!$A:$D,4,0)</f>
        <v>Frais véhicules de cie</v>
      </c>
      <c r="W332" s="156" t="str">
        <f>+VLOOKUP($L332,Data_Validation!$A:$E,5,0)</f>
        <v>$</v>
      </c>
      <c r="X332" s="156">
        <f>+VLOOKUP($L332,Data_Validation!$A:$F,6,0)</f>
        <v>0</v>
      </c>
    </row>
    <row r="333" spans="1:24" ht="15.75" hidden="1" customHeight="1">
      <c r="A333" s="1163" t="s">
        <v>1180</v>
      </c>
      <c r="B333" s="1164">
        <v>6747</v>
      </c>
      <c r="C333" s="1165">
        <v>0</v>
      </c>
      <c r="D333" s="1165">
        <v>-28.63</v>
      </c>
      <c r="E333" s="1165">
        <v>-28.63</v>
      </c>
      <c r="F333" s="1163" t="s">
        <v>401</v>
      </c>
      <c r="G333" s="1163" t="s">
        <v>2576</v>
      </c>
      <c r="H333" s="1168"/>
      <c r="I333" s="1174"/>
      <c r="J333" s="1174"/>
      <c r="K333" s="1174"/>
      <c r="L333" s="153">
        <f t="shared" si="25"/>
        <v>6747</v>
      </c>
      <c r="M333" s="154" t="str">
        <f t="shared" si="26"/>
        <v>FRET/EXPRESS/TRANS. PAR CAMION</v>
      </c>
      <c r="N333" s="155">
        <f>+IF(OR($Q333=Parametres!$G$2,$Q333=Parametres!$G$3),I333,C333)</f>
        <v>0</v>
      </c>
      <c r="O333" s="1108">
        <f>+IF(OR($Q333=Parametres!$G$2,$Q333=Parametres!$G$3),J333,D333)</f>
        <v>-28.63</v>
      </c>
      <c r="P333" s="155">
        <f>+IF(OR($Q333=Parametres!$G$2,$Q333=Parametres!$G$3),K333,E333)</f>
        <v>-28.63</v>
      </c>
      <c r="Q333" s="154" t="str">
        <f t="shared" si="27"/>
        <v>7-Dépenses</v>
      </c>
      <c r="R333" s="153" t="str">
        <f t="shared" si="28"/>
        <v>6147</v>
      </c>
      <c r="S333" s="154">
        <f t="shared" si="29"/>
        <v>0</v>
      </c>
      <c r="T333" s="156">
        <f>+VLOOKUP($L333,Data_Validation!$A:$D,1,0)</f>
        <v>6747</v>
      </c>
      <c r="U333" s="156" t="str">
        <f>+VLOOKUP($L333,Data_Validation!$A:$D,3,0)</f>
        <v>Pièces</v>
      </c>
      <c r="V333" s="156" t="str">
        <f>+VLOOKUP($L333,Data_Validation!$A:$D,4,0)</f>
        <v>Frais postaux</v>
      </c>
      <c r="W333" s="156" t="str">
        <f>+VLOOKUP($L333,Data_Validation!$A:$E,5,0)</f>
        <v>$</v>
      </c>
      <c r="X333" s="156">
        <f>+VLOOKUP($L333,Data_Validation!$A:$F,6,0)</f>
        <v>0</v>
      </c>
    </row>
    <row r="334" spans="1:24" ht="15.75" hidden="1" customHeight="1">
      <c r="A334" s="1163" t="s">
        <v>1286</v>
      </c>
      <c r="B334" s="1164">
        <v>6751</v>
      </c>
      <c r="C334" s="1165">
        <v>0</v>
      </c>
      <c r="D334" s="1165">
        <v>3498.87</v>
      </c>
      <c r="E334" s="1165">
        <v>3498.87</v>
      </c>
      <c r="F334" s="1163" t="s">
        <v>401</v>
      </c>
      <c r="G334" s="1163" t="s">
        <v>2697</v>
      </c>
      <c r="H334" s="1168"/>
      <c r="I334" s="1170"/>
      <c r="J334" s="1170"/>
      <c r="K334" s="1170"/>
      <c r="L334" s="153">
        <f t="shared" si="25"/>
        <v>6751</v>
      </c>
      <c r="M334" s="154" t="str">
        <f t="shared" si="26"/>
        <v>DEP. DU TRAITEMENT DES DONNEES</v>
      </c>
      <c r="N334" s="155">
        <f>+IF(OR($Q334=Parametres!$G$2,$Q334=Parametres!$G$3),I334,C334)</f>
        <v>0</v>
      </c>
      <c r="O334" s="1108">
        <f>+IF(OR($Q334=Parametres!$G$2,$Q334=Parametres!$G$3),J334,D334)</f>
        <v>3498.87</v>
      </c>
      <c r="P334" s="155">
        <f>+IF(OR($Q334=Parametres!$G$2,$Q334=Parametres!$G$3),K334,E334)</f>
        <v>3498.87</v>
      </c>
      <c r="Q334" s="154" t="str">
        <f t="shared" si="27"/>
        <v>7-Dépenses</v>
      </c>
      <c r="R334" s="153" t="str">
        <f t="shared" si="28"/>
        <v>6151</v>
      </c>
      <c r="S334" s="154">
        <f t="shared" si="29"/>
        <v>0</v>
      </c>
      <c r="T334" s="156">
        <f>+VLOOKUP($L334,Data_Validation!$A:$D,1,0)</f>
        <v>6751</v>
      </c>
      <c r="U334" s="156" t="str">
        <f>+VLOOKUP($L334,Data_Validation!$A:$D,3,0)</f>
        <v>Pièces</v>
      </c>
      <c r="V334" s="156" t="str">
        <f>+VLOOKUP($L334,Data_Validation!$A:$D,4,0)</f>
        <v>Informatique</v>
      </c>
      <c r="W334" s="156" t="str">
        <f>+VLOOKUP($L334,Data_Validation!$A:$E,5,0)</f>
        <v>$</v>
      </c>
      <c r="X334" s="156">
        <f>+VLOOKUP($L334,Data_Validation!$A:$F,6,0)</f>
        <v>0</v>
      </c>
    </row>
    <row r="335" spans="1:24" ht="15" hidden="1" customHeight="1">
      <c r="A335" s="1163" t="s">
        <v>1206</v>
      </c>
      <c r="B335" s="1164">
        <v>6752</v>
      </c>
      <c r="C335" s="1165">
        <v>0</v>
      </c>
      <c r="D335" s="1165">
        <v>660.87</v>
      </c>
      <c r="E335" s="1165">
        <v>660.87</v>
      </c>
      <c r="F335" s="1163" t="s">
        <v>401</v>
      </c>
      <c r="G335" s="1163" t="s">
        <v>2583</v>
      </c>
      <c r="H335" s="1168"/>
      <c r="I335" s="1174"/>
      <c r="J335" s="1174"/>
      <c r="K335" s="1174"/>
      <c r="L335" s="153">
        <f t="shared" si="25"/>
        <v>6752</v>
      </c>
      <c r="M335" s="154" t="str">
        <f t="shared" si="26"/>
        <v>PAPETERIE</v>
      </c>
      <c r="N335" s="155">
        <f>+IF(OR($Q335=Parametres!$G$2,$Q335=Parametres!$G$3),I335,C335)</f>
        <v>0</v>
      </c>
      <c r="O335" s="1108">
        <f>+IF(OR($Q335=Parametres!$G$2,$Q335=Parametres!$G$3),J335,D335)</f>
        <v>660.87</v>
      </c>
      <c r="P335" s="155">
        <f>+IF(OR($Q335=Parametres!$G$2,$Q335=Parametres!$G$3),K335,E335)</f>
        <v>660.87</v>
      </c>
      <c r="Q335" s="154" t="str">
        <f t="shared" si="27"/>
        <v>7-Dépenses</v>
      </c>
      <c r="R335" s="153" t="str">
        <f t="shared" si="28"/>
        <v>6152</v>
      </c>
      <c r="S335" s="154">
        <f t="shared" si="29"/>
        <v>0</v>
      </c>
      <c r="T335" s="156">
        <f>+VLOOKUP($L335,Data_Validation!$A:$D,1,0)</f>
        <v>6752</v>
      </c>
      <c r="U335" s="156" t="str">
        <f>+VLOOKUP($L335,Data_Validation!$A:$D,3,0)</f>
        <v>Pièces</v>
      </c>
      <c r="V335" s="156" t="str">
        <f>+VLOOKUP($L335,Data_Validation!$A:$D,4,0)</f>
        <v>Papeterie</v>
      </c>
      <c r="W335" s="156" t="str">
        <f>+VLOOKUP($L335,Data_Validation!$A:$E,5,0)</f>
        <v>$</v>
      </c>
      <c r="X335" s="156">
        <f>+VLOOKUP($L335,Data_Validation!$A:$F,6,0)</f>
        <v>0</v>
      </c>
    </row>
    <row r="336" spans="1:24" ht="15" hidden="1" customHeight="1">
      <c r="A336" s="1163" t="s">
        <v>1154</v>
      </c>
      <c r="B336" s="1164">
        <v>6753</v>
      </c>
      <c r="C336" s="1165">
        <v>0</v>
      </c>
      <c r="D336" s="1165">
        <v>81.349999999999994</v>
      </c>
      <c r="E336" s="1165">
        <v>81.349999999999994</v>
      </c>
      <c r="F336" s="1163" t="s">
        <v>401</v>
      </c>
      <c r="G336" s="1163" t="s">
        <v>2587</v>
      </c>
      <c r="H336" s="1168"/>
      <c r="I336" s="1174"/>
      <c r="J336" s="1174"/>
      <c r="K336" s="1174"/>
      <c r="L336" s="153">
        <f t="shared" si="25"/>
        <v>6753</v>
      </c>
      <c r="M336" s="154" t="str">
        <f t="shared" si="26"/>
        <v>TELEPHONE ET TELEX</v>
      </c>
      <c r="N336" s="155">
        <f>+IF(OR($Q336=Parametres!$G$2,$Q336=Parametres!$G$3),I336,C336)</f>
        <v>0</v>
      </c>
      <c r="O336" s="1108">
        <f>+IF(OR($Q336=Parametres!$G$2,$Q336=Parametres!$G$3),J336,D336)</f>
        <v>81.349999999999994</v>
      </c>
      <c r="P336" s="155">
        <f>+IF(OR($Q336=Parametres!$G$2,$Q336=Parametres!$G$3),K336,E336)</f>
        <v>81.349999999999994</v>
      </c>
      <c r="Q336" s="154" t="str">
        <f t="shared" si="27"/>
        <v>7-Dépenses</v>
      </c>
      <c r="R336" s="153" t="str">
        <f t="shared" si="28"/>
        <v>6153</v>
      </c>
      <c r="S336" s="154">
        <f t="shared" si="29"/>
        <v>0</v>
      </c>
      <c r="T336" s="156">
        <f>+VLOOKUP($L336,Data_Validation!$A:$D,1,0)</f>
        <v>6753</v>
      </c>
      <c r="U336" s="156" t="str">
        <f>+VLOOKUP($L336,Data_Validation!$A:$D,3,0)</f>
        <v>Pièces</v>
      </c>
      <c r="V336" s="156" t="str">
        <f>+VLOOKUP($L336,Data_Validation!$A:$D,4,0)</f>
        <v>Téléphone</v>
      </c>
      <c r="W336" s="156" t="str">
        <f>+VLOOKUP($L336,Data_Validation!$A:$E,5,0)</f>
        <v>$</v>
      </c>
      <c r="X336" s="156">
        <f>+VLOOKUP($L336,Data_Validation!$A:$F,6,0)</f>
        <v>0</v>
      </c>
    </row>
    <row r="337" spans="1:24" ht="15" hidden="1" customHeight="1">
      <c r="A337" s="1163" t="s">
        <v>1237</v>
      </c>
      <c r="B337" s="1164">
        <v>6755</v>
      </c>
      <c r="C337" s="1165">
        <v>0</v>
      </c>
      <c r="D337" s="1165">
        <v>258.91000000000003</v>
      </c>
      <c r="E337" s="1165">
        <v>258.91000000000003</v>
      </c>
      <c r="F337" s="1163" t="s">
        <v>401</v>
      </c>
      <c r="G337" s="1163" t="s">
        <v>2632</v>
      </c>
      <c r="H337" s="1168"/>
      <c r="I337" s="1170"/>
      <c r="J337" s="1170"/>
      <c r="K337" s="1170"/>
      <c r="L337" s="153">
        <f t="shared" si="25"/>
        <v>6755</v>
      </c>
      <c r="M337" s="154" t="str">
        <f t="shared" si="26"/>
        <v>DEPENSES DIVERS</v>
      </c>
      <c r="N337" s="155">
        <f>+IF(OR($Q337=Parametres!$G$2,$Q337=Parametres!$G$3),I337,C337)</f>
        <v>0</v>
      </c>
      <c r="O337" s="1108">
        <f>+IF(OR($Q337=Parametres!$G$2,$Q337=Parametres!$G$3),J337,D337)</f>
        <v>258.91000000000003</v>
      </c>
      <c r="P337" s="155">
        <f>+IF(OR($Q337=Parametres!$G$2,$Q337=Parametres!$G$3),K337,E337)</f>
        <v>258.91000000000003</v>
      </c>
      <c r="Q337" s="154" t="str">
        <f t="shared" si="27"/>
        <v>7-Dépenses</v>
      </c>
      <c r="R337" s="153" t="str">
        <f t="shared" si="28"/>
        <v>6155</v>
      </c>
      <c r="S337" s="154">
        <f t="shared" si="29"/>
        <v>0</v>
      </c>
      <c r="T337" s="156">
        <f>+VLOOKUP($L337,Data_Validation!$A:$D,1,0)</f>
        <v>6755</v>
      </c>
      <c r="U337" s="156" t="str">
        <f>+VLOOKUP($L337,Data_Validation!$A:$D,3,0)</f>
        <v>Pièces</v>
      </c>
      <c r="V337" s="156" t="str">
        <f>+VLOOKUP($L337,Data_Validation!$A:$D,4,0)</f>
        <v>Divers</v>
      </c>
      <c r="W337" s="156" t="str">
        <f>+VLOOKUP($L337,Data_Validation!$A:$E,5,0)</f>
        <v>$</v>
      </c>
      <c r="X337" s="156">
        <f>+VLOOKUP($L337,Data_Validation!$A:$F,6,0)</f>
        <v>0</v>
      </c>
    </row>
    <row r="338" spans="1:24" ht="15.75" customHeight="1">
      <c r="A338" s="1163" t="s">
        <v>1294</v>
      </c>
      <c r="B338" s="1164">
        <v>6756</v>
      </c>
      <c r="C338" s="1165">
        <v>0</v>
      </c>
      <c r="D338" s="1165">
        <v>229.49</v>
      </c>
      <c r="E338" s="1165">
        <v>229.49</v>
      </c>
      <c r="F338" s="1163" t="s">
        <v>401</v>
      </c>
      <c r="G338" s="1163" t="s">
        <v>2465</v>
      </c>
      <c r="H338" s="1171"/>
      <c r="I338" s="1171"/>
      <c r="J338" s="1171"/>
      <c r="K338" s="1171"/>
      <c r="L338" s="153">
        <f t="shared" si="25"/>
        <v>6756</v>
      </c>
      <c r="M338" s="154" t="str">
        <f t="shared" si="26"/>
        <v>FRAIS REPRESENTATION - PIECES</v>
      </c>
      <c r="N338" s="155">
        <f>+IF(OR($Q338=Parametres!$G$2,$Q338=Parametres!$G$3),I338,C338)</f>
        <v>0</v>
      </c>
      <c r="O338" s="1106">
        <f>+IF(OR($Q338=Parametres!$G$2,$Q338=Parametres!$G$3),J338,D338)</f>
        <v>229.49</v>
      </c>
      <c r="P338" s="155">
        <f>+IF(OR($Q338=Parametres!$G$2,$Q338=Parametres!$G$3),K338,E338)</f>
        <v>229.49</v>
      </c>
      <c r="Q338" s="154" t="str">
        <f t="shared" si="27"/>
        <v>7-Dépenses</v>
      </c>
      <c r="R338" s="153" t="str">
        <f t="shared" si="28"/>
        <v>6156</v>
      </c>
      <c r="S338" s="154">
        <f t="shared" si="29"/>
        <v>0</v>
      </c>
      <c r="T338" s="156">
        <f>+VLOOKUP($L338,Data_Validation!$A:$D,1,0)</f>
        <v>6756</v>
      </c>
      <c r="U338" s="156" t="str">
        <f>+VLOOKUP($L338,Data_Validation!$A:$D,3,0)</f>
        <v>Pièces</v>
      </c>
      <c r="V338" s="156" t="str">
        <f>+VLOOKUP($L338,Data_Validation!$A:$D,4,0)</f>
        <v>Frais de déplacement</v>
      </c>
      <c r="W338" s="156" t="str">
        <f>+VLOOKUP($L338,Data_Validation!$A:$E,5,0)</f>
        <v>$</v>
      </c>
      <c r="X338" s="156">
        <f>+VLOOKUP($L338,Data_Validation!$A:$F,6,0)</f>
        <v>0</v>
      </c>
    </row>
    <row r="339" spans="1:24" ht="15" hidden="1" customHeight="1">
      <c r="A339" s="1163" t="s">
        <v>1308</v>
      </c>
      <c r="B339" s="1164">
        <v>6759</v>
      </c>
      <c r="C339" s="1165">
        <v>0</v>
      </c>
      <c r="D339" s="1165">
        <v>7859.28</v>
      </c>
      <c r="E339" s="1165">
        <v>7859.28</v>
      </c>
      <c r="F339" s="1163" t="s">
        <v>401</v>
      </c>
      <c r="G339" s="1163" t="s">
        <v>2657</v>
      </c>
      <c r="H339" s="1171"/>
      <c r="I339" s="1173"/>
      <c r="J339" s="1173"/>
      <c r="K339" s="1173"/>
      <c r="L339" s="153">
        <f t="shared" si="25"/>
        <v>6759</v>
      </c>
      <c r="M339" s="154" t="str">
        <f t="shared" si="26"/>
        <v>SERVICE EXTERIEUR</v>
      </c>
      <c r="N339" s="155">
        <f>+IF(OR($Q339=Parametres!$G$2,$Q339=Parametres!$G$3),I339,C339)</f>
        <v>0</v>
      </c>
      <c r="O339" s="1108">
        <f>+IF(OR($Q339=Parametres!$G$2,$Q339=Parametres!$G$3),J339,D339)</f>
        <v>7859.28</v>
      </c>
      <c r="P339" s="155">
        <f>+IF(OR($Q339=Parametres!$G$2,$Q339=Parametres!$G$3),K339,E339)</f>
        <v>7859.28</v>
      </c>
      <c r="Q339" s="154" t="str">
        <f t="shared" si="27"/>
        <v>7-Dépenses</v>
      </c>
      <c r="R339" s="153" t="str">
        <f t="shared" si="28"/>
        <v>6159</v>
      </c>
      <c r="S339" s="154">
        <f t="shared" si="29"/>
        <v>0</v>
      </c>
      <c r="T339" s="156">
        <f>+VLOOKUP($L339,Data_Validation!$A:$D,1,0)</f>
        <v>6759</v>
      </c>
      <c r="U339" s="156" t="str">
        <f>+VLOOKUP($L339,Data_Validation!$A:$D,3,0)</f>
        <v>Pièces</v>
      </c>
      <c r="V339" s="156" t="str">
        <f>+VLOOKUP($L339,Data_Validation!$A:$D,4,0)</f>
        <v>Services extérieurs</v>
      </c>
      <c r="W339" s="156" t="str">
        <f>+VLOOKUP($L339,Data_Validation!$A:$E,5,0)</f>
        <v>$</v>
      </c>
      <c r="X339" s="156">
        <f>+VLOOKUP($L339,Data_Validation!$A:$F,6,0)</f>
        <v>0</v>
      </c>
    </row>
    <row r="340" spans="1:24" ht="15" hidden="1" customHeight="1">
      <c r="A340" s="1163" t="s">
        <v>1333</v>
      </c>
      <c r="B340" s="1164">
        <v>6761</v>
      </c>
      <c r="C340" s="1165">
        <v>0</v>
      </c>
      <c r="D340" s="1165">
        <v>1078.6199999999999</v>
      </c>
      <c r="E340" s="1165">
        <v>1078.6199999999999</v>
      </c>
      <c r="F340" s="1163" t="s">
        <v>401</v>
      </c>
      <c r="G340" s="1163" t="s">
        <v>2648</v>
      </c>
      <c r="H340" s="1171"/>
      <c r="I340" s="1171"/>
      <c r="J340" s="1171"/>
      <c r="K340" s="1171"/>
      <c r="L340" s="153">
        <f t="shared" si="25"/>
        <v>6761</v>
      </c>
      <c r="M340" s="154" t="str">
        <f t="shared" si="26"/>
        <v>DEPRECIATION EQUIP. &amp; FIXTURES</v>
      </c>
      <c r="N340" s="155">
        <f>+IF(OR($Q340=Parametres!$G$2,$Q340=Parametres!$G$3),I340,C340)</f>
        <v>0</v>
      </c>
      <c r="O340" s="1106">
        <f>+IF(OR($Q340=Parametres!$G$2,$Q340=Parametres!$G$3),J340,D340)</f>
        <v>1078.6199999999999</v>
      </c>
      <c r="P340" s="155">
        <f>+IF(OR($Q340=Parametres!$G$2,$Q340=Parametres!$G$3),K340,E340)</f>
        <v>1078.6199999999999</v>
      </c>
      <c r="Q340" s="154" t="str">
        <f t="shared" si="27"/>
        <v>7-Dépenses</v>
      </c>
      <c r="R340" s="153" t="str">
        <f t="shared" si="28"/>
        <v>6161</v>
      </c>
      <c r="S340" s="154">
        <f t="shared" si="29"/>
        <v>0</v>
      </c>
      <c r="T340" s="156">
        <f>+VLOOKUP($L340,Data_Validation!$A:$D,1,0)</f>
        <v>6761</v>
      </c>
      <c r="U340" s="156" t="str">
        <f>+VLOOKUP($L340,Data_Validation!$A:$D,3,0)</f>
        <v>Pièces</v>
      </c>
      <c r="V340" s="156" t="str">
        <f>+VLOOKUP($L340,Data_Validation!$A:$D,4,0)</f>
        <v>Amortissement</v>
      </c>
      <c r="W340" s="156" t="str">
        <f>+VLOOKUP($L340,Data_Validation!$A:$E,5,0)</f>
        <v>$</v>
      </c>
      <c r="X340" s="156">
        <f>+VLOOKUP($L340,Data_Validation!$A:$F,6,0)</f>
        <v>0</v>
      </c>
    </row>
    <row r="341" spans="1:24" ht="15" hidden="1" customHeight="1">
      <c r="A341" s="1163" t="s">
        <v>1316</v>
      </c>
      <c r="B341" s="1164">
        <v>6781</v>
      </c>
      <c r="C341" s="1165">
        <v>0</v>
      </c>
      <c r="D341" s="1165">
        <v>864</v>
      </c>
      <c r="E341" s="1165">
        <v>864</v>
      </c>
      <c r="F341" s="1163" t="s">
        <v>401</v>
      </c>
      <c r="G341" s="1163" t="s">
        <v>2599</v>
      </c>
      <c r="H341" s="1171"/>
      <c r="I341" s="1171"/>
      <c r="J341" s="1171"/>
      <c r="K341" s="1171"/>
      <c r="L341" s="153">
        <f t="shared" si="25"/>
        <v>6781</v>
      </c>
      <c r="M341" s="154" t="str">
        <f t="shared" si="26"/>
        <v>CHAUFFAGE,ELECTRICITE,EAU-PIECES</v>
      </c>
      <c r="N341" s="155">
        <f>+IF(OR($Q341=Parametres!$G$2,$Q341=Parametres!$G$3),I341,C341)</f>
        <v>0</v>
      </c>
      <c r="O341" s="1109">
        <f>+IF(OR($Q341=Parametres!$G$2,$Q341=Parametres!$G$3),J341,D341)</f>
        <v>864</v>
      </c>
      <c r="P341" s="155">
        <f>+IF(OR($Q341=Parametres!$G$2,$Q341=Parametres!$G$3),K341,E341)</f>
        <v>864</v>
      </c>
      <c r="Q341" s="154" t="str">
        <f t="shared" si="27"/>
        <v>7-Dépenses</v>
      </c>
      <c r="R341" s="153" t="str">
        <f t="shared" si="28"/>
        <v>6181</v>
      </c>
      <c r="S341" s="154">
        <f t="shared" si="29"/>
        <v>0</v>
      </c>
      <c r="T341" s="156">
        <f>+VLOOKUP($L341,Data_Validation!$A:$D,1,0)</f>
        <v>6781</v>
      </c>
      <c r="U341" s="156" t="str">
        <f>+VLOOKUP($L341,Data_Validation!$A:$D,3,0)</f>
        <v>Pièces</v>
      </c>
      <c r="V341" s="156" t="str">
        <f>+VLOOKUP($L341,Data_Validation!$A:$D,4,0)</f>
        <v>Chauffage, éclairage</v>
      </c>
      <c r="W341" s="156" t="str">
        <f>+VLOOKUP($L341,Data_Validation!$A:$E,5,0)</f>
        <v>$</v>
      </c>
      <c r="X341" s="156">
        <f>+VLOOKUP($L341,Data_Validation!$A:$F,6,0)</f>
        <v>0</v>
      </c>
    </row>
    <row r="342" spans="1:24" ht="15" hidden="1" customHeight="1">
      <c r="A342" s="1163" t="s">
        <v>1457</v>
      </c>
      <c r="B342" s="1164">
        <v>6782</v>
      </c>
      <c r="C342" s="1165">
        <v>0</v>
      </c>
      <c r="D342" s="1165">
        <v>6500</v>
      </c>
      <c r="E342" s="1165">
        <v>6500</v>
      </c>
      <c r="F342" s="1163" t="s">
        <v>401</v>
      </c>
      <c r="G342" s="1163" t="s">
        <v>2704</v>
      </c>
      <c r="H342" s="1171"/>
      <c r="I342" s="1173"/>
      <c r="J342" s="1173"/>
      <c r="K342" s="1173"/>
      <c r="L342" s="153">
        <f t="shared" si="25"/>
        <v>6782</v>
      </c>
      <c r="M342" s="154" t="str">
        <f t="shared" si="26"/>
        <v>LOYER - PIECES</v>
      </c>
      <c r="N342" s="155">
        <f>+IF(OR($Q342=Parametres!$G$2,$Q342=Parametres!$G$3),I342,C342)</f>
        <v>0</v>
      </c>
      <c r="O342" s="1108">
        <f>+IF(OR($Q342=Parametres!$G$2,$Q342=Parametres!$G$3),J342,D342)</f>
        <v>6500</v>
      </c>
      <c r="P342" s="155">
        <f>+IF(OR($Q342=Parametres!$G$2,$Q342=Parametres!$G$3),K342,E342)</f>
        <v>6500</v>
      </c>
      <c r="Q342" s="154" t="str">
        <f t="shared" si="27"/>
        <v>7-Dépenses</v>
      </c>
      <c r="R342" s="153" t="str">
        <f t="shared" si="28"/>
        <v>6182</v>
      </c>
      <c r="S342" s="154">
        <f t="shared" si="29"/>
        <v>0</v>
      </c>
      <c r="T342" s="156">
        <f>+VLOOKUP($L342,Data_Validation!$A:$D,1,0)</f>
        <v>6782</v>
      </c>
      <c r="U342" s="156" t="str">
        <f>+VLOOKUP($L342,Data_Validation!$A:$D,3,0)</f>
        <v>Pièces</v>
      </c>
      <c r="V342" s="156" t="str">
        <f>+VLOOKUP($L342,Data_Validation!$A:$D,4,0)</f>
        <v>Loyer</v>
      </c>
      <c r="W342" s="156" t="str">
        <f>+VLOOKUP($L342,Data_Validation!$A:$E,5,0)</f>
        <v>$</v>
      </c>
      <c r="X342" s="156">
        <f>+VLOOKUP($L342,Data_Validation!$A:$F,6,0)</f>
        <v>0</v>
      </c>
    </row>
    <row r="343" spans="1:24" ht="15.75" hidden="1" customHeight="1">
      <c r="A343" s="1163" t="s">
        <v>1352</v>
      </c>
      <c r="B343" s="1164">
        <v>6786</v>
      </c>
      <c r="C343" s="1165">
        <v>0</v>
      </c>
      <c r="D343" s="1165">
        <v>1067.75</v>
      </c>
      <c r="E343" s="1165">
        <v>1067.75</v>
      </c>
      <c r="F343" s="1163" t="s">
        <v>401</v>
      </c>
      <c r="G343" s="1163" t="s">
        <v>2589</v>
      </c>
      <c r="H343" s="1177"/>
      <c r="I343" s="1177"/>
      <c r="J343" s="1177"/>
      <c r="K343" s="1177"/>
      <c r="L343" s="153">
        <f t="shared" si="25"/>
        <v>6786</v>
      </c>
      <c r="M343" s="154" t="str">
        <f t="shared" si="26"/>
        <v>ASSURANCE BATISSE &amp; AMEL.-PIECES</v>
      </c>
      <c r="N343" s="155">
        <f>+IF(OR($Q343=Parametres!$G$2,$Q343=Parametres!$G$3),I343,C343)</f>
        <v>0</v>
      </c>
      <c r="O343" s="1108">
        <f>+IF(OR($Q343=Parametres!$G$2,$Q343=Parametres!$G$3),J343,D343)</f>
        <v>1067.75</v>
      </c>
      <c r="P343" s="155">
        <f>+IF(OR($Q343=Parametres!$G$2,$Q343=Parametres!$G$3),K343,E343)</f>
        <v>1067.75</v>
      </c>
      <c r="Q343" s="154" t="str">
        <f t="shared" si="27"/>
        <v>7-Dépenses</v>
      </c>
      <c r="R343" s="153" t="str">
        <f t="shared" si="28"/>
        <v>6186</v>
      </c>
      <c r="S343" s="154">
        <f t="shared" si="29"/>
        <v>0</v>
      </c>
      <c r="T343" s="156">
        <f>+VLOOKUP($L343,Data_Validation!$A:$D,1,0)</f>
        <v>6786</v>
      </c>
      <c r="U343" s="156" t="str">
        <f>+VLOOKUP($L343,Data_Validation!$A:$D,3,0)</f>
        <v>Pièces</v>
      </c>
      <c r="V343" s="156" t="str">
        <f>+VLOOKUP($L343,Data_Validation!$A:$D,4,0)</f>
        <v>Assurances</v>
      </c>
      <c r="W343" s="156" t="str">
        <f>+VLOOKUP($L343,Data_Validation!$A:$E,5,0)</f>
        <v>$</v>
      </c>
      <c r="X343" s="156">
        <f>+VLOOKUP($L343,Data_Validation!$A:$F,6,0)</f>
        <v>0</v>
      </c>
    </row>
    <row r="344" spans="1:24" ht="15" hidden="1" customHeight="1">
      <c r="A344" s="1163" t="s">
        <v>1344</v>
      </c>
      <c r="B344" s="1164">
        <v>6787</v>
      </c>
      <c r="C344" s="1165">
        <v>0</v>
      </c>
      <c r="D344" s="1165">
        <v>1232.5</v>
      </c>
      <c r="E344" s="1165">
        <v>1232.5</v>
      </c>
      <c r="F344" s="1163" t="s">
        <v>401</v>
      </c>
      <c r="G344" s="1163" t="s">
        <v>2609</v>
      </c>
      <c r="H344" s="1171"/>
      <c r="I344" s="1171"/>
      <c r="J344" s="1171"/>
      <c r="K344" s="1171"/>
      <c r="L344" s="153">
        <f t="shared" si="25"/>
        <v>6787</v>
      </c>
      <c r="M344" s="154" t="str">
        <f t="shared" si="26"/>
        <v>TAXES FONCIERES - PIECES</v>
      </c>
      <c r="N344" s="155">
        <f>+IF(OR($Q344=Parametres!$G$2,$Q344=Parametres!$G$3),I344,C344)</f>
        <v>0</v>
      </c>
      <c r="O344" s="1106">
        <f>+IF(OR($Q344=Parametres!$G$2,$Q344=Parametres!$G$3),J344,D344)</f>
        <v>1232.5</v>
      </c>
      <c r="P344" s="155">
        <f>+IF(OR($Q344=Parametres!$G$2,$Q344=Parametres!$G$3),K344,E344)</f>
        <v>1232.5</v>
      </c>
      <c r="Q344" s="154" t="str">
        <f t="shared" si="27"/>
        <v>7-Dépenses</v>
      </c>
      <c r="R344" s="153" t="str">
        <f t="shared" si="28"/>
        <v>6187</v>
      </c>
      <c r="S344" s="154">
        <f t="shared" si="29"/>
        <v>0</v>
      </c>
      <c r="T344" s="156">
        <f>+VLOOKUP($L344,Data_Validation!$A:$D,1,0)</f>
        <v>6787</v>
      </c>
      <c r="U344" s="156" t="str">
        <f>+VLOOKUP($L344,Data_Validation!$A:$D,3,0)</f>
        <v>Pièces</v>
      </c>
      <c r="V344" s="156" t="str">
        <f>+VLOOKUP($L344,Data_Validation!$A:$D,4,0)</f>
        <v>Taxes foncières</v>
      </c>
      <c r="W344" s="156" t="str">
        <f>+VLOOKUP($L344,Data_Validation!$A:$E,5,0)</f>
        <v>$</v>
      </c>
      <c r="X344" s="156">
        <f>+VLOOKUP($L344,Data_Validation!$A:$F,6,0)</f>
        <v>0</v>
      </c>
    </row>
    <row r="345" spans="1:24" ht="15" hidden="1" customHeight="1">
      <c r="A345" s="1163" t="s">
        <v>1278</v>
      </c>
      <c r="B345" s="1164">
        <v>6793</v>
      </c>
      <c r="C345" s="1165">
        <v>0</v>
      </c>
      <c r="D345" s="1165">
        <v>820</v>
      </c>
      <c r="E345" s="1165">
        <v>820</v>
      </c>
      <c r="F345" s="1163" t="s">
        <v>401</v>
      </c>
      <c r="G345" s="1163" t="s">
        <v>2592</v>
      </c>
      <c r="H345" s="1171"/>
      <c r="I345" s="1171"/>
      <c r="J345" s="1171"/>
      <c r="K345" s="1171"/>
      <c r="L345" s="153">
        <f t="shared" si="25"/>
        <v>6793</v>
      </c>
      <c r="M345" s="154" t="str">
        <f t="shared" si="26"/>
        <v>AUTRES TAXES - PIECES</v>
      </c>
      <c r="N345" s="155">
        <f>+IF(OR($Q345=Parametres!$G$2,$Q345=Parametres!$G$3),I345,C345)</f>
        <v>0</v>
      </c>
      <c r="O345" s="1108">
        <f>+IF(OR($Q345=Parametres!$G$2,$Q345=Parametres!$G$3),J345,D345)</f>
        <v>820</v>
      </c>
      <c r="P345" s="155">
        <f>+IF(OR($Q345=Parametres!$G$2,$Q345=Parametres!$G$3),K345,E345)</f>
        <v>820</v>
      </c>
      <c r="Q345" s="154" t="str">
        <f t="shared" si="27"/>
        <v>7-Dépenses</v>
      </c>
      <c r="R345" s="153" t="str">
        <f t="shared" si="28"/>
        <v>6193</v>
      </c>
      <c r="S345" s="154">
        <f t="shared" si="29"/>
        <v>0</v>
      </c>
      <c r="T345" s="156">
        <f>+VLOOKUP($L345,Data_Validation!$A:$D,1,0)</f>
        <v>6793</v>
      </c>
      <c r="U345" s="156" t="str">
        <f>+VLOOKUP($L345,Data_Validation!$A:$D,3,0)</f>
        <v>Pièces</v>
      </c>
      <c r="V345" s="156" t="str">
        <f>+VLOOKUP($L345,Data_Validation!$A:$D,4,0)</f>
        <v>Taxes d`affaires</v>
      </c>
      <c r="W345" s="156" t="str">
        <f>+VLOOKUP($L345,Data_Validation!$A:$E,5,0)</f>
        <v>$</v>
      </c>
      <c r="X345" s="156">
        <f>+VLOOKUP($L345,Data_Validation!$A:$F,6,0)</f>
        <v>0</v>
      </c>
    </row>
    <row r="346" spans="1:24" ht="15" hidden="1" customHeight="1">
      <c r="A346" s="1163" t="s">
        <v>1371</v>
      </c>
      <c r="B346" s="1164">
        <v>6794</v>
      </c>
      <c r="C346" s="1165">
        <v>0</v>
      </c>
      <c r="D346" s="1165">
        <v>1530.83</v>
      </c>
      <c r="E346" s="1165">
        <v>1530.83</v>
      </c>
      <c r="F346" s="1163" t="s">
        <v>401</v>
      </c>
      <c r="G346" s="1163" t="s">
        <v>2630</v>
      </c>
      <c r="H346" s="1171"/>
      <c r="I346" s="1171"/>
      <c r="J346" s="1171"/>
      <c r="K346" s="1171"/>
      <c r="L346" s="153">
        <f t="shared" si="25"/>
        <v>6794</v>
      </c>
      <c r="M346" s="154" t="str">
        <f t="shared" si="26"/>
        <v>FRAIS PROFESSIONNEL-PIECES</v>
      </c>
      <c r="N346" s="155">
        <f>+IF(OR($Q346=Parametres!$G$2,$Q346=Parametres!$G$3),I346,C346)</f>
        <v>0</v>
      </c>
      <c r="O346" s="1108">
        <f>+IF(OR($Q346=Parametres!$G$2,$Q346=Parametres!$G$3),J346,D346)</f>
        <v>1530.83</v>
      </c>
      <c r="P346" s="155">
        <f>+IF(OR($Q346=Parametres!$G$2,$Q346=Parametres!$G$3),K346,E346)</f>
        <v>1530.83</v>
      </c>
      <c r="Q346" s="154" t="str">
        <f t="shared" si="27"/>
        <v>7-Dépenses</v>
      </c>
      <c r="R346" s="153" t="str">
        <f t="shared" si="28"/>
        <v>6194</v>
      </c>
      <c r="S346" s="154">
        <f t="shared" si="29"/>
        <v>0</v>
      </c>
      <c r="T346" s="156">
        <f>+VLOOKUP($L346,Data_Validation!$A:$D,1,0)</f>
        <v>6794</v>
      </c>
      <c r="U346" s="156" t="str">
        <f>+VLOOKUP($L346,Data_Validation!$A:$D,3,0)</f>
        <v>Pièces</v>
      </c>
      <c r="V346" s="156" t="str">
        <f>+VLOOKUP($L346,Data_Validation!$A:$D,4,0)</f>
        <v>Honoraires</v>
      </c>
      <c r="W346" s="156" t="str">
        <f>+VLOOKUP($L346,Data_Validation!$A:$E,5,0)</f>
        <v>$</v>
      </c>
      <c r="X346" s="156">
        <f>+VLOOKUP($L346,Data_Validation!$A:$F,6,0)</f>
        <v>0</v>
      </c>
    </row>
    <row r="347" spans="1:24" ht="15.75" hidden="1" customHeight="1">
      <c r="A347" s="1163" t="s">
        <v>2050</v>
      </c>
      <c r="B347" s="1164">
        <v>9149</v>
      </c>
      <c r="C347" s="1165">
        <v>0</v>
      </c>
      <c r="D347" s="1165">
        <v>-55812.85</v>
      </c>
      <c r="E347" s="1165">
        <v>-55812.85</v>
      </c>
      <c r="F347" s="1163" t="s">
        <v>304</v>
      </c>
      <c r="G347" s="1163" t="s">
        <v>2052</v>
      </c>
      <c r="H347" s="1171"/>
      <c r="I347" s="1171"/>
      <c r="J347" s="1171"/>
      <c r="K347" s="1171"/>
      <c r="L347" s="153">
        <f t="shared" si="25"/>
        <v>9149</v>
      </c>
      <c r="M347" s="154" t="str">
        <f t="shared" si="26"/>
        <v>REVENU RESERVE VOLKS</v>
      </c>
      <c r="N347" s="155">
        <f>+IF(OR($Q347=Parametres!$G$2,$Q347=Parametres!$G$3),I347,C347)</f>
        <v>0</v>
      </c>
      <c r="O347" s="1108">
        <f>+IF(OR($Q347=Parametres!$G$2,$Q347=Parametres!$G$3),J347,D347)</f>
        <v>-55812.85</v>
      </c>
      <c r="P347" s="155">
        <f>+IF(OR($Q347=Parametres!$G$2,$Q347=Parametres!$G$3),K347,E347)</f>
        <v>-55812.85</v>
      </c>
      <c r="Q347" s="154" t="str">
        <f t="shared" si="27"/>
        <v>8-Autres revenus</v>
      </c>
      <c r="R347" s="153" t="str">
        <f t="shared" si="28"/>
        <v>9101</v>
      </c>
      <c r="S347" s="154">
        <f t="shared" si="29"/>
        <v>0</v>
      </c>
      <c r="T347" s="156">
        <f>+VLOOKUP($L347,Data_Validation!$A:$D,1,0)</f>
        <v>9149</v>
      </c>
      <c r="U347" s="156" t="str">
        <f>+VLOOKUP($L347,Data_Validation!$A:$D,3,0)</f>
        <v>Véhicules neufs</v>
      </c>
      <c r="V347" s="156" t="str">
        <f>+VLOOKUP($L347,Data_Validation!$A:$D,4,0)</f>
        <v>Holdbacks</v>
      </c>
      <c r="W347" s="156" t="str">
        <f>+VLOOKUP($L347,Data_Validation!$A:$E,5,0)</f>
        <v>$</v>
      </c>
      <c r="X347" s="156">
        <f>+VLOOKUP($L347,Data_Validation!$A:$F,6,0)</f>
        <v>0</v>
      </c>
    </row>
    <row r="348" spans="1:24" ht="15" hidden="1" customHeight="1">
      <c r="A348" s="1163" t="s">
        <v>2135</v>
      </c>
      <c r="B348" s="1164">
        <v>9152</v>
      </c>
      <c r="C348" s="1165">
        <v>0</v>
      </c>
      <c r="D348" s="1165">
        <v>-4921.8500000000004</v>
      </c>
      <c r="E348" s="1165">
        <v>-4921.8500000000004</v>
      </c>
      <c r="F348" s="1163" t="s">
        <v>304</v>
      </c>
      <c r="G348" s="1163" t="s">
        <v>2136</v>
      </c>
      <c r="H348" s="1171"/>
      <c r="I348" s="1171"/>
      <c r="J348" s="1171"/>
      <c r="K348" s="1171"/>
      <c r="L348" s="153">
        <f t="shared" si="25"/>
        <v>9152</v>
      </c>
      <c r="M348" s="154" t="str">
        <f t="shared" si="26"/>
        <v>ESCOMPTES SUR ACHAT PIECES</v>
      </c>
      <c r="N348" s="155">
        <f>+IF(OR($Q348=Parametres!$G$2,$Q348=Parametres!$G$3),I348,C348)</f>
        <v>0</v>
      </c>
      <c r="O348" s="1106">
        <f>+IF(OR($Q348=Parametres!$G$2,$Q348=Parametres!$G$3),J348,D348)</f>
        <v>-4921.8500000000004</v>
      </c>
      <c r="P348" s="155">
        <f>+IF(OR($Q348=Parametres!$G$2,$Q348=Parametres!$G$3),K348,E348)</f>
        <v>-4921.8500000000004</v>
      </c>
      <c r="Q348" s="154" t="str">
        <f t="shared" si="27"/>
        <v>8-Autres revenus</v>
      </c>
      <c r="R348" s="153" t="str">
        <f t="shared" si="28"/>
        <v>9152</v>
      </c>
      <c r="S348" s="154">
        <f t="shared" si="29"/>
        <v>0</v>
      </c>
      <c r="T348" s="156">
        <f>+VLOOKUP($L348,Data_Validation!$A:$D,1,0)</f>
        <v>9152</v>
      </c>
      <c r="U348" s="156" t="str">
        <f>+VLOOKUP($L348,Data_Validation!$A:$D,3,0)</f>
        <v>Pièces</v>
      </c>
      <c r="V348" s="156" t="str">
        <f>+VLOOKUP($L348,Data_Validation!$A:$D,4,0)</f>
        <v>Escomptes</v>
      </c>
      <c r="W348" s="156" t="str">
        <f>+VLOOKUP($L348,Data_Validation!$A:$E,5,0)</f>
        <v>$</v>
      </c>
      <c r="X348" s="156">
        <f>+VLOOKUP($L348,Data_Validation!$A:$F,6,0)</f>
        <v>0</v>
      </c>
    </row>
    <row r="349" spans="1:24" ht="15" hidden="1" customHeight="1">
      <c r="A349" s="1163" t="s">
        <v>2167</v>
      </c>
      <c r="B349" s="1164">
        <v>9161</v>
      </c>
      <c r="C349" s="1165">
        <v>0</v>
      </c>
      <c r="D349" s="1165">
        <v>-6329.48</v>
      </c>
      <c r="E349" s="1165">
        <v>-6329.48</v>
      </c>
      <c r="F349" s="1163" t="s">
        <v>304</v>
      </c>
      <c r="G349" s="1163" t="s">
        <v>2073</v>
      </c>
      <c r="H349" s="1171"/>
      <c r="I349" s="1171"/>
      <c r="J349" s="1171"/>
      <c r="K349" s="1171"/>
      <c r="L349" s="153">
        <f t="shared" si="25"/>
        <v>9161</v>
      </c>
      <c r="M349" s="154" t="str">
        <f t="shared" si="26"/>
        <v>REVENU FIN ET ASS NEUF</v>
      </c>
      <c r="N349" s="155">
        <f>+IF(OR($Q349=Parametres!$G$2,$Q349=Parametres!$G$3),I349,C349)</f>
        <v>0</v>
      </c>
      <c r="O349" s="1108">
        <f>+IF(OR($Q349=Parametres!$G$2,$Q349=Parametres!$G$3),J349,D349)</f>
        <v>-6329.48</v>
      </c>
      <c r="P349" s="155">
        <f>+IF(OR($Q349=Parametres!$G$2,$Q349=Parametres!$G$3),K349,E349)</f>
        <v>-6329.48</v>
      </c>
      <c r="Q349" s="154" t="str">
        <f t="shared" si="27"/>
        <v>8-Autres revenus</v>
      </c>
      <c r="R349" s="153" t="str">
        <f t="shared" si="28"/>
        <v>9161</v>
      </c>
      <c r="S349" s="154">
        <f t="shared" si="29"/>
        <v>0</v>
      </c>
      <c r="T349" s="156">
        <f>+VLOOKUP($L349,Data_Validation!$A:$D,1,0)</f>
        <v>9161</v>
      </c>
      <c r="U349" s="156" t="str">
        <f>+VLOOKUP($L349,Data_Validation!$A:$D,3,0)</f>
        <v>Véhicules neufs</v>
      </c>
      <c r="V349" s="156" t="str">
        <f>+VLOOKUP($L349,Data_Validation!$A:$D,4,0)</f>
        <v>Rev. Finances</v>
      </c>
      <c r="W349" s="156" t="str">
        <f>+VLOOKUP($L349,Data_Validation!$A:$E,5,0)</f>
        <v>$</v>
      </c>
      <c r="X349" s="156" t="str">
        <f>+VLOOKUP($L349,Data_Validation!$A:$F,6,0)</f>
        <v>Oui</v>
      </c>
    </row>
    <row r="350" spans="1:24" ht="15" hidden="1" customHeight="1">
      <c r="A350" s="1163" t="s">
        <v>2081</v>
      </c>
      <c r="B350" s="1164">
        <v>9163</v>
      </c>
      <c r="C350" s="1165">
        <v>0</v>
      </c>
      <c r="D350" s="1165">
        <v>-20682</v>
      </c>
      <c r="E350" s="1165">
        <v>-20682</v>
      </c>
      <c r="F350" s="1163" t="s">
        <v>304</v>
      </c>
      <c r="G350" s="1163" t="s">
        <v>2082</v>
      </c>
      <c r="H350" s="1171"/>
      <c r="I350" s="1171"/>
      <c r="J350" s="1171"/>
      <c r="K350" s="1171"/>
      <c r="L350" s="153">
        <f t="shared" si="25"/>
        <v>9163</v>
      </c>
      <c r="M350" s="154" t="str">
        <f t="shared" si="26"/>
        <v>RESERVE FIN ET ASS VEH OCCASION</v>
      </c>
      <c r="N350" s="155">
        <f>+IF(OR($Q350=Parametres!$G$2,$Q350=Parametres!$G$3),I350,C350)</f>
        <v>0</v>
      </c>
      <c r="O350" s="1109">
        <f>+IF(OR($Q350=Parametres!$G$2,$Q350=Parametres!$G$3),J350,D350)</f>
        <v>-20682</v>
      </c>
      <c r="P350" s="155">
        <f>+IF(OR($Q350=Parametres!$G$2,$Q350=Parametres!$G$3),K350,E350)</f>
        <v>-20682</v>
      </c>
      <c r="Q350" s="154" t="str">
        <f t="shared" si="27"/>
        <v>8-Autres revenus</v>
      </c>
      <c r="R350" s="153" t="str">
        <f t="shared" si="28"/>
        <v>9163</v>
      </c>
      <c r="S350" s="154">
        <f t="shared" si="29"/>
        <v>0</v>
      </c>
      <c r="T350" s="156">
        <f>+VLOOKUP($L350,Data_Validation!$A:$D,1,0)</f>
        <v>9163</v>
      </c>
      <c r="U350" s="156" t="str">
        <f>+VLOOKUP($L350,Data_Validation!$A:$D,3,0)</f>
        <v>Véhicules usagés</v>
      </c>
      <c r="V350" s="156" t="str">
        <f>+VLOOKUP($L350,Data_Validation!$A:$D,4,0)</f>
        <v>Rev. Finances</v>
      </c>
      <c r="W350" s="156" t="str">
        <f>+VLOOKUP($L350,Data_Validation!$A:$E,5,0)</f>
        <v>$</v>
      </c>
      <c r="X350" s="156" t="str">
        <f>+VLOOKUP($L350,Data_Validation!$A:$F,6,0)</f>
        <v>Oui</v>
      </c>
    </row>
    <row r="351" spans="1:24" ht="15" hidden="1" customHeight="1">
      <c r="A351" s="1163" t="s">
        <v>2168</v>
      </c>
      <c r="B351" s="1164">
        <v>9165</v>
      </c>
      <c r="C351" s="1165">
        <v>0</v>
      </c>
      <c r="D351" s="1165">
        <v>-347.03</v>
      </c>
      <c r="E351" s="1165">
        <v>-347.03</v>
      </c>
      <c r="F351" s="1163" t="s">
        <v>304</v>
      </c>
      <c r="G351" s="1163" t="s">
        <v>2073</v>
      </c>
      <c r="H351" s="1171"/>
      <c r="I351" s="1171"/>
      <c r="J351" s="1171"/>
      <c r="K351" s="1171"/>
      <c r="L351" s="153">
        <f t="shared" si="25"/>
        <v>9165</v>
      </c>
      <c r="M351" s="154" t="str">
        <f t="shared" si="26"/>
        <v>REV. ASSURANCES NEUF</v>
      </c>
      <c r="N351" s="155">
        <f>+IF(OR($Q351=Parametres!$G$2,$Q351=Parametres!$G$3),I351,C351)</f>
        <v>0</v>
      </c>
      <c r="O351" s="1108">
        <f>+IF(OR($Q351=Parametres!$G$2,$Q351=Parametres!$G$3),J351,D351)</f>
        <v>-347.03</v>
      </c>
      <c r="P351" s="155">
        <f>+IF(OR($Q351=Parametres!$G$2,$Q351=Parametres!$G$3),K351,E351)</f>
        <v>-347.03</v>
      </c>
      <c r="Q351" s="154" t="str">
        <f t="shared" si="27"/>
        <v>8-Autres revenus</v>
      </c>
      <c r="R351" s="153" t="str">
        <f t="shared" si="28"/>
        <v>9161</v>
      </c>
      <c r="S351" s="154">
        <f t="shared" si="29"/>
        <v>0</v>
      </c>
      <c r="T351" s="156">
        <f>+VLOOKUP($L351,Data_Validation!$A:$D,1,0)</f>
        <v>9165</v>
      </c>
      <c r="U351" s="156" t="str">
        <f>+VLOOKUP($L351,Data_Validation!$A:$D,3,0)</f>
        <v>Véhicules neufs</v>
      </c>
      <c r="V351" s="156" t="str">
        <f>+VLOOKUP($L351,Data_Validation!$A:$D,4,0)</f>
        <v>Rev. Autres</v>
      </c>
      <c r="W351" s="156" t="str">
        <f>+VLOOKUP($L351,Data_Validation!$A:$E,5,0)</f>
        <v>$</v>
      </c>
      <c r="X351" s="156" t="str">
        <f>+VLOOKUP($L351,Data_Validation!$A:$F,6,0)</f>
        <v>Oui</v>
      </c>
    </row>
    <row r="352" spans="1:24" ht="15.75" hidden="1" customHeight="1">
      <c r="A352" s="1163" t="s">
        <v>2176</v>
      </c>
      <c r="B352" s="1164">
        <v>9167</v>
      </c>
      <c r="C352" s="1165">
        <v>0</v>
      </c>
      <c r="D352" s="1165">
        <v>-292.58999999999997</v>
      </c>
      <c r="E352" s="1165">
        <v>-292.58999999999997</v>
      </c>
      <c r="F352" s="1163" t="s">
        <v>304</v>
      </c>
      <c r="G352" s="1163" t="s">
        <v>2082</v>
      </c>
      <c r="H352" s="1171"/>
      <c r="I352" s="1171"/>
      <c r="J352" s="1171"/>
      <c r="K352" s="1171"/>
      <c r="L352" s="153">
        <f t="shared" si="25"/>
        <v>9167</v>
      </c>
      <c r="M352" s="154" t="str">
        <f t="shared" si="26"/>
        <v>REV ASSURANCE USAGE</v>
      </c>
      <c r="N352" s="155">
        <f>+IF(OR($Q352=Parametres!$G$2,$Q352=Parametres!$G$3),I352,C352)</f>
        <v>0</v>
      </c>
      <c r="O352" s="1106">
        <f>+IF(OR($Q352=Parametres!$G$2,$Q352=Parametres!$G$3),J352,D352)</f>
        <v>-292.58999999999997</v>
      </c>
      <c r="P352" s="155">
        <f>+IF(OR($Q352=Parametres!$G$2,$Q352=Parametres!$G$3),K352,E352)</f>
        <v>-292.58999999999997</v>
      </c>
      <c r="Q352" s="154" t="str">
        <f t="shared" si="27"/>
        <v>8-Autres revenus</v>
      </c>
      <c r="R352" s="153" t="str">
        <f t="shared" si="28"/>
        <v>9163</v>
      </c>
      <c r="S352" s="154">
        <f t="shared" si="29"/>
        <v>0</v>
      </c>
      <c r="T352" s="156">
        <f>+VLOOKUP($L352,Data_Validation!$A:$D,1,0)</f>
        <v>9167</v>
      </c>
      <c r="U352" s="156" t="str">
        <f>+VLOOKUP($L352,Data_Validation!$A:$D,3,0)</f>
        <v>Véhicules usagés</v>
      </c>
      <c r="V352" s="156" t="str">
        <f>+VLOOKUP($L352,Data_Validation!$A:$D,4,0)</f>
        <v>Rev. Autres</v>
      </c>
      <c r="W352" s="156" t="str">
        <f>+VLOOKUP($L352,Data_Validation!$A:$E,5,0)</f>
        <v>$</v>
      </c>
      <c r="X352" s="156" t="str">
        <f>+VLOOKUP($L352,Data_Validation!$A:$F,6,0)</f>
        <v>Oui</v>
      </c>
    </row>
    <row r="353" spans="1:24" ht="15" hidden="1" customHeight="1">
      <c r="A353" s="1163" t="s">
        <v>2089</v>
      </c>
      <c r="B353" s="1164">
        <v>9169</v>
      </c>
      <c r="C353" s="1165">
        <v>0</v>
      </c>
      <c r="D353" s="1165">
        <v>-8400</v>
      </c>
      <c r="E353" s="1165">
        <v>-8400</v>
      </c>
      <c r="F353" s="1163" t="s">
        <v>304</v>
      </c>
      <c r="G353" s="1163" t="s">
        <v>2073</v>
      </c>
      <c r="H353" s="1168"/>
      <c r="I353" s="1174"/>
      <c r="J353" s="1174"/>
      <c r="K353" s="1174"/>
      <c r="L353" s="153">
        <f t="shared" si="25"/>
        <v>9169</v>
      </c>
      <c r="M353" s="154" t="str">
        <f t="shared" si="26"/>
        <v>REV GARANTIE PROLONGEE NEUF</v>
      </c>
      <c r="N353" s="155">
        <f>+IF(OR($Q353=Parametres!$G$2,$Q353=Parametres!$G$3),I353,C353)</f>
        <v>0</v>
      </c>
      <c r="O353" s="1108">
        <f>+IF(OR($Q353=Parametres!$G$2,$Q353=Parametres!$G$3),J353,D353)</f>
        <v>-8400</v>
      </c>
      <c r="P353" s="155">
        <f>+IF(OR($Q353=Parametres!$G$2,$Q353=Parametres!$G$3),K353,E353)</f>
        <v>-8400</v>
      </c>
      <c r="Q353" s="154" t="str">
        <f t="shared" si="27"/>
        <v>8-Autres revenus</v>
      </c>
      <c r="R353" s="153" t="str">
        <f t="shared" si="28"/>
        <v>9161</v>
      </c>
      <c r="S353" s="154">
        <f t="shared" si="29"/>
        <v>0</v>
      </c>
      <c r="T353" s="156">
        <f>+VLOOKUP($L353,Data_Validation!$A:$D,1,0)</f>
        <v>9169</v>
      </c>
      <c r="U353" s="156" t="str">
        <f>+VLOOKUP($L353,Data_Validation!$A:$D,3,0)</f>
        <v>Véhicules neufs</v>
      </c>
      <c r="V353" s="156" t="str">
        <f>+VLOOKUP($L353,Data_Validation!$A:$D,4,0)</f>
        <v>Rev. Protections</v>
      </c>
      <c r="W353" s="156" t="str">
        <f>+VLOOKUP($L353,Data_Validation!$A:$E,5,0)</f>
        <v>$</v>
      </c>
      <c r="X353" s="156" t="str">
        <f>+VLOOKUP($L353,Data_Validation!$A:$F,6,0)</f>
        <v>Oui</v>
      </c>
    </row>
    <row r="354" spans="1:24" ht="15" hidden="1" customHeight="1">
      <c r="A354" s="1163" t="s">
        <v>2071</v>
      </c>
      <c r="B354" s="1164">
        <v>9170</v>
      </c>
      <c r="C354" s="1165">
        <v>0</v>
      </c>
      <c r="D354" s="1165">
        <v>-34267.620000000003</v>
      </c>
      <c r="E354" s="1165">
        <v>-34267.620000000003</v>
      </c>
      <c r="F354" s="1163" t="s">
        <v>304</v>
      </c>
      <c r="G354" s="1163" t="s">
        <v>2073</v>
      </c>
      <c r="H354" s="1175"/>
      <c r="I354" s="1175"/>
      <c r="J354" s="1175"/>
      <c r="K354" s="1175"/>
      <c r="L354" s="153">
        <f t="shared" si="25"/>
        <v>9170</v>
      </c>
      <c r="M354" s="154" t="str">
        <f t="shared" si="26"/>
        <v>PROFIT PROTECTIONS - NEUFS</v>
      </c>
      <c r="N354" s="155">
        <f>+IF(OR($Q354=Parametres!$G$2,$Q354=Parametres!$G$3),I354,C354)</f>
        <v>0</v>
      </c>
      <c r="O354" s="1108">
        <f>+IF(OR($Q354=Parametres!$G$2,$Q354=Parametres!$G$3),J354,D354)</f>
        <v>-34267.620000000003</v>
      </c>
      <c r="P354" s="155">
        <f>+IF(OR($Q354=Parametres!$G$2,$Q354=Parametres!$G$3),K354,E354)</f>
        <v>-34267.620000000003</v>
      </c>
      <c r="Q354" s="154" t="str">
        <f t="shared" si="27"/>
        <v>8-Autres revenus</v>
      </c>
      <c r="R354" s="153" t="str">
        <f t="shared" si="28"/>
        <v>9161</v>
      </c>
      <c r="S354" s="154">
        <f t="shared" si="29"/>
        <v>0</v>
      </c>
      <c r="T354" s="156">
        <f>+VLOOKUP($L354,Data_Validation!$A:$D,1,0)</f>
        <v>9170</v>
      </c>
      <c r="U354" s="156" t="str">
        <f>+VLOOKUP($L354,Data_Validation!$A:$D,3,0)</f>
        <v>Véhicules neufs</v>
      </c>
      <c r="V354" s="156" t="str">
        <f>+VLOOKUP($L354,Data_Validation!$A:$D,4,0)</f>
        <v>Rev. Protections</v>
      </c>
      <c r="W354" s="156" t="str">
        <f>+VLOOKUP($L354,Data_Validation!$A:$E,5,0)</f>
        <v>$</v>
      </c>
      <c r="X354" s="156" t="str">
        <f>+VLOOKUP($L354,Data_Validation!$A:$F,6,0)</f>
        <v>Oui</v>
      </c>
    </row>
    <row r="355" spans="1:24" ht="15" hidden="1" customHeight="1">
      <c r="A355" s="1163" t="s">
        <v>2085</v>
      </c>
      <c r="B355" s="1164">
        <v>9171</v>
      </c>
      <c r="C355" s="1165">
        <v>0</v>
      </c>
      <c r="D355" s="1165">
        <v>-16397.900000000001</v>
      </c>
      <c r="E355" s="1165">
        <v>-16397.900000000001</v>
      </c>
      <c r="F355" s="1163" t="s">
        <v>304</v>
      </c>
      <c r="G355" s="1163" t="s">
        <v>2082</v>
      </c>
      <c r="H355" s="1168"/>
      <c r="I355" s="1174"/>
      <c r="J355" s="1174"/>
      <c r="K355" s="1174"/>
      <c r="L355" s="153">
        <f t="shared" si="25"/>
        <v>9171</v>
      </c>
      <c r="M355" s="154" t="str">
        <f t="shared" si="26"/>
        <v>REV GARANTIE PROLONGEE USAGE</v>
      </c>
      <c r="N355" s="155">
        <f>+IF(OR($Q355=Parametres!$G$2,$Q355=Parametres!$G$3),I355,C355)</f>
        <v>0</v>
      </c>
      <c r="O355" s="1108">
        <f>+IF(OR($Q355=Parametres!$G$2,$Q355=Parametres!$G$3),J355,D355)</f>
        <v>-16397.900000000001</v>
      </c>
      <c r="P355" s="155">
        <f>+IF(OR($Q355=Parametres!$G$2,$Q355=Parametres!$G$3),K355,E355)</f>
        <v>-16397.900000000001</v>
      </c>
      <c r="Q355" s="154" t="str">
        <f t="shared" si="27"/>
        <v>8-Autres revenus</v>
      </c>
      <c r="R355" s="153" t="str">
        <f t="shared" si="28"/>
        <v>9163</v>
      </c>
      <c r="S355" s="154">
        <f t="shared" si="29"/>
        <v>0</v>
      </c>
      <c r="T355" s="156">
        <f>+VLOOKUP($L355,Data_Validation!$A:$D,1,0)</f>
        <v>9171</v>
      </c>
      <c r="U355" s="156" t="str">
        <f>+VLOOKUP($L355,Data_Validation!$A:$D,3,0)</f>
        <v>Véhicules usagés</v>
      </c>
      <c r="V355" s="156" t="str">
        <f>+VLOOKUP($L355,Data_Validation!$A:$D,4,0)</f>
        <v>Rev. Protections</v>
      </c>
      <c r="W355" s="156" t="str">
        <f>+VLOOKUP($L355,Data_Validation!$A:$E,5,0)</f>
        <v>$</v>
      </c>
      <c r="X355" s="156" t="str">
        <f>+VLOOKUP($L355,Data_Validation!$A:$F,6,0)</f>
        <v>Oui</v>
      </c>
    </row>
    <row r="356" spans="1:24" ht="15" hidden="1" customHeight="1">
      <c r="A356" s="1163" t="s">
        <v>2093</v>
      </c>
      <c r="B356" s="1164">
        <v>9172</v>
      </c>
      <c r="C356" s="1165">
        <v>0</v>
      </c>
      <c r="D356" s="1165">
        <v>-7002.23</v>
      </c>
      <c r="E356" s="1165">
        <v>-7002.23</v>
      </c>
      <c r="F356" s="1163" t="s">
        <v>304</v>
      </c>
      <c r="G356" s="1163" t="s">
        <v>2082</v>
      </c>
      <c r="H356" s="1168"/>
      <c r="I356" s="1170"/>
      <c r="J356" s="1170"/>
      <c r="K356" s="1170"/>
      <c r="L356" s="153">
        <f t="shared" si="25"/>
        <v>9172</v>
      </c>
      <c r="M356" s="154" t="str">
        <f t="shared" si="26"/>
        <v>PROFIT PROTECTIONS - USAGES</v>
      </c>
      <c r="N356" s="155">
        <f>+IF(OR($Q356=Parametres!$G$2,$Q356=Parametres!$G$3),I356,C356)</f>
        <v>0</v>
      </c>
      <c r="O356" s="1108">
        <f>+IF(OR($Q356=Parametres!$G$2,$Q356=Parametres!$G$3),J356,D356)</f>
        <v>-7002.23</v>
      </c>
      <c r="P356" s="155">
        <f>+IF(OR($Q356=Parametres!$G$2,$Q356=Parametres!$G$3),K356,E356)</f>
        <v>-7002.23</v>
      </c>
      <c r="Q356" s="154" t="str">
        <f t="shared" si="27"/>
        <v>8-Autres revenus</v>
      </c>
      <c r="R356" s="153" t="str">
        <f t="shared" si="28"/>
        <v>9163</v>
      </c>
      <c r="S356" s="154">
        <f t="shared" si="29"/>
        <v>0</v>
      </c>
      <c r="T356" s="156">
        <f>+VLOOKUP($L356,Data_Validation!$A:$D,1,0)</f>
        <v>9172</v>
      </c>
      <c r="U356" s="156" t="str">
        <f>+VLOOKUP($L356,Data_Validation!$A:$D,3,0)</f>
        <v>Véhicules usagés</v>
      </c>
      <c r="V356" s="156" t="str">
        <f>+VLOOKUP($L356,Data_Validation!$A:$D,4,0)</f>
        <v>Rev. Protections</v>
      </c>
      <c r="W356" s="156" t="str">
        <f>+VLOOKUP($L356,Data_Validation!$A:$E,5,0)</f>
        <v>$</v>
      </c>
      <c r="X356" s="156" t="str">
        <f>+VLOOKUP($L356,Data_Validation!$A:$F,6,0)</f>
        <v>Oui</v>
      </c>
    </row>
    <row r="357" spans="1:24" ht="15" hidden="1" customHeight="1">
      <c r="A357" s="1163" t="s">
        <v>2077</v>
      </c>
      <c r="B357" s="1164">
        <v>9173</v>
      </c>
      <c r="C357" s="1165">
        <v>0</v>
      </c>
      <c r="D357" s="1165">
        <v>-18826</v>
      </c>
      <c r="E357" s="1165">
        <v>-18826</v>
      </c>
      <c r="F357" s="1163" t="s">
        <v>304</v>
      </c>
      <c r="G357" s="1163" t="s">
        <v>2060</v>
      </c>
      <c r="H357" s="1168"/>
      <c r="I357" s="1170"/>
      <c r="J357" s="1170"/>
      <c r="K357" s="1170"/>
      <c r="L357" s="153">
        <f t="shared" si="25"/>
        <v>9173</v>
      </c>
      <c r="M357" s="154" t="str">
        <f t="shared" si="26"/>
        <v>FRAIS ADMIN. VOLKS</v>
      </c>
      <c r="N357" s="155">
        <f>+IF(OR($Q357=Parametres!$G$2,$Q357=Parametres!$G$3),I357,C357)</f>
        <v>0</v>
      </c>
      <c r="O357" s="1108">
        <f>+IF(OR($Q357=Parametres!$G$2,$Q357=Parametres!$G$3),J357,D357)</f>
        <v>-18826</v>
      </c>
      <c r="P357" s="155">
        <f>+IF(OR($Q357=Parametres!$G$2,$Q357=Parametres!$G$3),K357,E357)</f>
        <v>-18826</v>
      </c>
      <c r="Q357" s="154" t="str">
        <f t="shared" si="27"/>
        <v>8-Autres revenus</v>
      </c>
      <c r="R357" s="153" t="str">
        <f t="shared" si="28"/>
        <v>9191</v>
      </c>
      <c r="S357" s="154">
        <f t="shared" si="29"/>
        <v>0</v>
      </c>
      <c r="T357" s="156">
        <f>+VLOOKUP($L357,Data_Validation!$A:$D,1,0)</f>
        <v>9173</v>
      </c>
      <c r="U357" s="156" t="str">
        <f>+VLOOKUP($L357,Data_Validation!$A:$D,3,0)</f>
        <v>Véhicules neufs</v>
      </c>
      <c r="V357" s="156" t="str">
        <f>+VLOOKUP($L357,Data_Validation!$A:$D,4,0)</f>
        <v>Frais administration</v>
      </c>
      <c r="W357" s="156" t="str">
        <f>+VLOOKUP($L357,Data_Validation!$A:$E,5,0)</f>
        <v>$</v>
      </c>
      <c r="X357" s="156">
        <f>+VLOOKUP($L357,Data_Validation!$A:$F,6,0)</f>
        <v>0</v>
      </c>
    </row>
    <row r="358" spans="1:24" ht="15.75" hidden="1" customHeight="1">
      <c r="A358" s="1163" t="s">
        <v>2059</v>
      </c>
      <c r="B358" s="1164">
        <v>9191</v>
      </c>
      <c r="C358" s="1165">
        <v>0</v>
      </c>
      <c r="D358" s="1165">
        <v>-181.1</v>
      </c>
      <c r="E358" s="1165">
        <v>-181.1</v>
      </c>
      <c r="F358" s="1163" t="s">
        <v>304</v>
      </c>
      <c r="G358" s="1163" t="s">
        <v>2060</v>
      </c>
      <c r="H358" s="1168"/>
      <c r="I358" s="1174"/>
      <c r="J358" s="1174"/>
      <c r="K358" s="1174"/>
      <c r="L358" s="153">
        <f t="shared" si="25"/>
        <v>9191</v>
      </c>
      <c r="M358" s="154" t="str">
        <f t="shared" si="26"/>
        <v>REVENUS DIVERS</v>
      </c>
      <c r="N358" s="155">
        <f>+IF(OR($Q358=Parametres!$G$2,$Q358=Parametres!$G$3),I358,C358)</f>
        <v>0</v>
      </c>
      <c r="O358" s="1108">
        <f>+IF(OR($Q358=Parametres!$G$2,$Q358=Parametres!$G$3),J358,D358)</f>
        <v>-181.1</v>
      </c>
      <c r="P358" s="155">
        <f>+IF(OR($Q358=Parametres!$G$2,$Q358=Parametres!$G$3),K358,E358)</f>
        <v>-181.1</v>
      </c>
      <c r="Q358" s="154" t="str">
        <f t="shared" si="27"/>
        <v>8-Autres revenus</v>
      </c>
      <c r="R358" s="153" t="str">
        <f t="shared" si="28"/>
        <v>9191</v>
      </c>
      <c r="S358" s="154">
        <f t="shared" si="29"/>
        <v>0</v>
      </c>
      <c r="T358" s="156">
        <f>+VLOOKUP($L358,Data_Validation!$A:$D,1,0)</f>
        <v>9191</v>
      </c>
      <c r="U358" s="156" t="str">
        <f>+VLOOKUP($L358,Data_Validation!$A:$D,3,0)</f>
        <v>TOTAL  DES  REVENUS  ET  DÉPENSES</v>
      </c>
      <c r="V358" s="156" t="str">
        <f>+VLOOKUP($L358,Data_Validation!$A:$D,4,0)</f>
        <v>Revenus autres</v>
      </c>
      <c r="W358" s="156" t="str">
        <f>+VLOOKUP($L358,Data_Validation!$A:$E,5,0)</f>
        <v>$</v>
      </c>
      <c r="X358" s="156">
        <f>+VLOOKUP($L358,Data_Validation!$A:$F,6,0)</f>
        <v>0</v>
      </c>
    </row>
    <row r="359" spans="1:24" ht="15" hidden="1" customHeight="1">
      <c r="A359" s="1163" t="s">
        <v>2645</v>
      </c>
      <c r="B359" s="1164">
        <v>9402</v>
      </c>
      <c r="C359" s="1165">
        <v>0</v>
      </c>
      <c r="D359" s="1165">
        <v>300</v>
      </c>
      <c r="E359" s="1165">
        <v>300</v>
      </c>
      <c r="F359" s="1163" t="s">
        <v>1235</v>
      </c>
      <c r="G359" s="1163" t="s">
        <v>2173</v>
      </c>
      <c r="H359" s="1175"/>
      <c r="I359" s="1175"/>
      <c r="J359" s="1175"/>
      <c r="K359" s="1175"/>
      <c r="L359" s="153">
        <f t="shared" si="25"/>
        <v>9402</v>
      </c>
      <c r="M359" s="154" t="str">
        <f t="shared" si="26"/>
        <v>DEPENSE D'INTERETS</v>
      </c>
      <c r="N359" s="155">
        <f>+IF(OR($Q359=Parametres!$G$2,$Q359=Parametres!$G$3),I359,C359)</f>
        <v>0</v>
      </c>
      <c r="O359" s="1108">
        <f>+IF(OR($Q359=Parametres!$G$2,$Q359=Parametres!$G$3),J359,D359)</f>
        <v>300</v>
      </c>
      <c r="P359" s="155">
        <f>+IF(OR($Q359=Parametres!$G$2,$Q359=Parametres!$G$3),K359,E359)</f>
        <v>300</v>
      </c>
      <c r="Q359" s="154" t="str">
        <f t="shared" si="27"/>
        <v>9-Autres déductions</v>
      </c>
      <c r="R359" s="153" t="str">
        <f t="shared" si="28"/>
        <v>9402</v>
      </c>
      <c r="S359" s="154">
        <f t="shared" si="29"/>
        <v>0</v>
      </c>
      <c r="T359" s="156">
        <f>+VLOOKUP($L359,Data_Validation!$A:$D,1,0)</f>
        <v>9402</v>
      </c>
      <c r="U359" s="156" t="str">
        <f>+VLOOKUP($L359,Data_Validation!$A:$D,3,0)</f>
        <v>TOTAL  DES  REVENUS  ET  DÉPENSES</v>
      </c>
      <c r="V359" s="156" t="str">
        <f>+VLOOKUP($L359,Data_Validation!$A:$D,4,0)</f>
        <v>Intérêts sur prêt</v>
      </c>
      <c r="W359" s="156" t="str">
        <f>+VLOOKUP($L359,Data_Validation!$A:$E,5,0)</f>
        <v>$</v>
      </c>
      <c r="X359" s="156">
        <f>+VLOOKUP($L359,Data_Validation!$A:$F,6,0)</f>
        <v>0</v>
      </c>
    </row>
    <row r="360" spans="1:24" ht="15" hidden="1" customHeight="1">
      <c r="A360" s="1163" t="s">
        <v>1389</v>
      </c>
      <c r="B360" s="1164">
        <v>9404</v>
      </c>
      <c r="C360" s="1165">
        <v>0</v>
      </c>
      <c r="D360" s="1165">
        <v>126.79</v>
      </c>
      <c r="E360" s="1165">
        <v>126.79</v>
      </c>
      <c r="F360" s="1163" t="s">
        <v>1235</v>
      </c>
      <c r="G360" s="1163" t="s">
        <v>2173</v>
      </c>
      <c r="H360" s="1175"/>
      <c r="I360" s="1178"/>
      <c r="J360" s="1178"/>
      <c r="K360" s="1178"/>
      <c r="L360" s="153">
        <f t="shared" si="25"/>
        <v>9404</v>
      </c>
      <c r="M360" s="154" t="str">
        <f t="shared" si="26"/>
        <v>INTERETS SUR PRET</v>
      </c>
      <c r="N360" s="155">
        <f>+IF(OR($Q360=Parametres!$G$2,$Q360=Parametres!$G$3),I360,C360)</f>
        <v>0</v>
      </c>
      <c r="O360" s="1108">
        <f>+IF(OR($Q360=Parametres!$G$2,$Q360=Parametres!$G$3),J360,D360)</f>
        <v>126.79</v>
      </c>
      <c r="P360" s="155">
        <f>+IF(OR($Q360=Parametres!$G$2,$Q360=Parametres!$G$3),K360,E360)</f>
        <v>126.79</v>
      </c>
      <c r="Q360" s="154" t="str">
        <f t="shared" si="27"/>
        <v>9-Autres déductions</v>
      </c>
      <c r="R360" s="153" t="str">
        <f t="shared" si="28"/>
        <v>9402</v>
      </c>
      <c r="S360" s="154">
        <f t="shared" si="29"/>
        <v>0</v>
      </c>
      <c r="T360" s="156">
        <f>+VLOOKUP($L360,Data_Validation!$A:$D,1,0)</f>
        <v>9404</v>
      </c>
      <c r="U360" s="156" t="str">
        <f>+VLOOKUP($L360,Data_Validation!$A:$D,3,0)</f>
        <v>TOTAL  DES  REVENUS  ET  DÉPENSES</v>
      </c>
      <c r="V360" s="156" t="str">
        <f>+VLOOKUP($L360,Data_Validation!$A:$D,4,0)</f>
        <v>Intérêts sur prêt</v>
      </c>
      <c r="W360" s="156" t="str">
        <f>+VLOOKUP($L360,Data_Validation!$A:$E,5,0)</f>
        <v>$</v>
      </c>
      <c r="X360" s="156">
        <f>+VLOOKUP($L360,Data_Validation!$A:$F,6,0)</f>
        <v>0</v>
      </c>
    </row>
    <row r="361" spans="1:24" ht="15" hidden="1" customHeight="1">
      <c r="A361" s="1163" t="s">
        <v>1385</v>
      </c>
      <c r="B361" s="1164">
        <v>9406</v>
      </c>
      <c r="C361" s="1165">
        <v>0</v>
      </c>
      <c r="D361" s="1165">
        <v>4981</v>
      </c>
      <c r="E361" s="1165">
        <v>4981</v>
      </c>
      <c r="F361" s="1163" t="s">
        <v>1235</v>
      </c>
      <c r="G361" s="1163" t="s">
        <v>2173</v>
      </c>
      <c r="H361" s="1168"/>
      <c r="I361" s="1170"/>
      <c r="J361" s="1170"/>
      <c r="K361" s="1170"/>
      <c r="L361" s="153">
        <f t="shared" si="25"/>
        <v>9406</v>
      </c>
      <c r="M361" s="154" t="str">
        <f t="shared" si="26"/>
        <v>FRAIS BANCAIRES</v>
      </c>
      <c r="N361" s="155">
        <f>+IF(OR($Q361=Parametres!$G$2,$Q361=Parametres!$G$3),I361,C361)</f>
        <v>0</v>
      </c>
      <c r="O361" s="1108">
        <f>+IF(OR($Q361=Parametres!$G$2,$Q361=Parametres!$G$3),J361,D361)</f>
        <v>4981</v>
      </c>
      <c r="P361" s="155">
        <f>+IF(OR($Q361=Parametres!$G$2,$Q361=Parametres!$G$3),K361,E361)</f>
        <v>4981</v>
      </c>
      <c r="Q361" s="154" t="str">
        <f t="shared" si="27"/>
        <v>9-Autres déductions</v>
      </c>
      <c r="R361" s="153" t="str">
        <f t="shared" si="28"/>
        <v>9402</v>
      </c>
      <c r="S361" s="154">
        <f t="shared" si="29"/>
        <v>0</v>
      </c>
      <c r="T361" s="156">
        <f>+VLOOKUP($L361,Data_Validation!$A:$D,1,0)</f>
        <v>9406</v>
      </c>
      <c r="U361" s="156" t="str">
        <f>+VLOOKUP($L361,Data_Validation!$A:$D,3,0)</f>
        <v>Véhicules neufs</v>
      </c>
      <c r="V361" s="156" t="str">
        <f>+VLOOKUP($L361,Data_Validation!$A:$D,4,0)</f>
        <v>Frais bancaires</v>
      </c>
      <c r="W361" s="156" t="str">
        <f>+VLOOKUP($L361,Data_Validation!$A:$E,5,0)</f>
        <v>$</v>
      </c>
      <c r="X361" s="156">
        <f>+VLOOKUP($L361,Data_Validation!$A:$F,6,0)</f>
        <v>0</v>
      </c>
    </row>
    <row r="362" spans="1:24" ht="15.75" hidden="1" customHeight="1">
      <c r="A362" s="1163"/>
      <c r="B362" s="1164"/>
      <c r="C362" s="1165"/>
      <c r="D362" s="1165"/>
      <c r="E362" s="1165"/>
      <c r="F362" s="1163"/>
      <c r="G362" s="1163"/>
      <c r="H362" s="1168"/>
      <c r="I362" s="1170"/>
      <c r="J362" s="1170"/>
      <c r="K362" s="1170"/>
      <c r="L362" s="153">
        <f t="shared" si="25"/>
        <v>0</v>
      </c>
      <c r="M362" s="154">
        <f t="shared" si="26"/>
        <v>0</v>
      </c>
      <c r="N362" s="155">
        <f>+IF(OR($Q362=Parametres!$G$2,$Q362=Parametres!$G$3),I362,C362)</f>
        <v>0</v>
      </c>
      <c r="O362" s="1108">
        <f>+IF(OR($Q362=Parametres!$G$2,$Q362=Parametres!$G$3),J362,D362)</f>
        <v>0</v>
      </c>
      <c r="P362" s="155">
        <f>+IF(OR($Q362=Parametres!$G$2,$Q362=Parametres!$G$3),K362,E362)</f>
        <v>0</v>
      </c>
      <c r="Q362" s="154">
        <f t="shared" si="27"/>
        <v>0</v>
      </c>
      <c r="R362" s="153">
        <f t="shared" si="28"/>
        <v>0</v>
      </c>
      <c r="S362" s="154">
        <f t="shared" si="29"/>
        <v>0</v>
      </c>
      <c r="T362" s="156" t="e">
        <f>+VLOOKUP($L362,Data_Validation!$A:$D,1,0)</f>
        <v>#N/A</v>
      </c>
      <c r="U362" s="156" t="e">
        <f>+VLOOKUP($L362,Data_Validation!$A:$D,3,0)</f>
        <v>#N/A</v>
      </c>
      <c r="V362" s="156" t="e">
        <f>+VLOOKUP($L362,Data_Validation!$A:$D,4,0)</f>
        <v>#N/A</v>
      </c>
      <c r="W362" s="156" t="e">
        <f>+VLOOKUP($L362,Data_Validation!$A:$E,5,0)</f>
        <v>#N/A</v>
      </c>
      <c r="X362" s="156" t="e">
        <f>+VLOOKUP($L362,Data_Validation!$A:$F,6,0)</f>
        <v>#N/A</v>
      </c>
    </row>
    <row r="363" spans="1:24" ht="15.75" hidden="1" customHeight="1">
      <c r="A363" s="1163"/>
      <c r="B363" s="1164"/>
      <c r="C363" s="1165"/>
      <c r="D363" s="1165"/>
      <c r="E363" s="1165"/>
      <c r="F363" s="1163"/>
      <c r="G363" s="1163"/>
      <c r="H363" s="1177"/>
      <c r="I363" s="1177"/>
      <c r="J363" s="1177"/>
      <c r="K363" s="1177"/>
      <c r="L363" s="153">
        <f t="shared" si="25"/>
        <v>0</v>
      </c>
      <c r="M363" s="154">
        <f t="shared" si="26"/>
        <v>0</v>
      </c>
      <c r="N363" s="155">
        <f>+IF(OR($Q363=Parametres!$G$2,$Q363=Parametres!$G$3),I363,C363)</f>
        <v>0</v>
      </c>
      <c r="O363" s="1108">
        <f>+IF(OR($Q363=Parametres!$G$2,$Q363=Parametres!$G$3),J363,D363)</f>
        <v>0</v>
      </c>
      <c r="P363" s="155">
        <f>+IF(OR($Q363=Parametres!$G$2,$Q363=Parametres!$G$3),K363,E363)</f>
        <v>0</v>
      </c>
      <c r="Q363" s="154">
        <f t="shared" si="27"/>
        <v>0</v>
      </c>
      <c r="R363" s="153">
        <f t="shared" si="28"/>
        <v>0</v>
      </c>
      <c r="S363" s="154">
        <f t="shared" si="29"/>
        <v>0</v>
      </c>
      <c r="T363" s="156" t="e">
        <f>+VLOOKUP($L363,Data_Validation!$A:$D,1,0)</f>
        <v>#N/A</v>
      </c>
      <c r="U363" s="156" t="e">
        <f>+VLOOKUP($L363,Data_Validation!$A:$D,3,0)</f>
        <v>#N/A</v>
      </c>
      <c r="V363" s="156" t="e">
        <f>+VLOOKUP($L363,Data_Validation!$A:$D,4,0)</f>
        <v>#N/A</v>
      </c>
      <c r="W363" s="156" t="e">
        <f>+VLOOKUP($L363,Data_Validation!$A:$E,5,0)</f>
        <v>#N/A</v>
      </c>
      <c r="X363" s="156" t="e">
        <f>+VLOOKUP($L363,Data_Validation!$A:$F,6,0)</f>
        <v>#N/A</v>
      </c>
    </row>
    <row r="364" spans="1:24" ht="15" hidden="1" customHeight="1">
      <c r="A364" s="1163"/>
      <c r="B364" s="1164"/>
      <c r="C364" s="1165"/>
      <c r="D364" s="1165"/>
      <c r="E364" s="1165"/>
      <c r="F364" s="1163"/>
      <c r="G364" s="1163"/>
      <c r="H364" s="1177"/>
      <c r="I364" s="1179"/>
      <c r="J364" s="1179"/>
      <c r="K364" s="1179"/>
      <c r="L364" s="153">
        <f t="shared" si="25"/>
        <v>0</v>
      </c>
      <c r="M364" s="154">
        <f t="shared" si="26"/>
        <v>0</v>
      </c>
      <c r="N364" s="155">
        <f>+IF(OR($Q364=Parametres!$G$2,$Q364=Parametres!$G$3),I364,C364)</f>
        <v>0</v>
      </c>
      <c r="O364" s="1108">
        <f>+IF(OR($Q364=Parametres!$G$2,$Q364=Parametres!$G$3),J364,D364)</f>
        <v>0</v>
      </c>
      <c r="P364" s="155">
        <f>+IF(OR($Q364=Parametres!$G$2,$Q364=Parametres!$G$3),K364,E364)</f>
        <v>0</v>
      </c>
      <c r="Q364" s="154">
        <f t="shared" si="27"/>
        <v>0</v>
      </c>
      <c r="R364" s="153">
        <f t="shared" si="28"/>
        <v>0</v>
      </c>
      <c r="S364" s="154">
        <f t="shared" si="29"/>
        <v>0</v>
      </c>
      <c r="T364" s="156" t="e">
        <f>+VLOOKUP($L364,Data_Validation!$A:$D,1,0)</f>
        <v>#N/A</v>
      </c>
      <c r="U364" s="156" t="e">
        <f>+VLOOKUP($L364,Data_Validation!$A:$D,3,0)</f>
        <v>#N/A</v>
      </c>
      <c r="V364" s="156" t="e">
        <f>+VLOOKUP($L364,Data_Validation!$A:$D,4,0)</f>
        <v>#N/A</v>
      </c>
      <c r="W364" s="156" t="e">
        <f>+VLOOKUP($L364,Data_Validation!$A:$E,5,0)</f>
        <v>#N/A</v>
      </c>
      <c r="X364" s="156" t="e">
        <f>+VLOOKUP($L364,Data_Validation!$A:$F,6,0)</f>
        <v>#N/A</v>
      </c>
    </row>
    <row r="365" spans="1:24" ht="15" hidden="1" customHeight="1">
      <c r="A365" s="1163"/>
      <c r="B365" s="1164"/>
      <c r="C365" s="1165"/>
      <c r="D365" s="1165"/>
      <c r="E365" s="1165"/>
      <c r="F365" s="1163"/>
      <c r="G365" s="1163"/>
      <c r="H365" s="1177"/>
      <c r="I365" s="1177"/>
      <c r="J365" s="1177"/>
      <c r="K365" s="1177"/>
      <c r="L365" s="153">
        <f t="shared" si="25"/>
        <v>0</v>
      </c>
      <c r="M365" s="154">
        <f t="shared" si="26"/>
        <v>0</v>
      </c>
      <c r="N365" s="155">
        <f>+IF(OR($Q365=Parametres!$G$2,$Q365=Parametres!$G$3),I365,C365)</f>
        <v>0</v>
      </c>
      <c r="O365" s="1108">
        <f>+IF(OR($Q365=Parametres!$G$2,$Q365=Parametres!$G$3),J365,D365)</f>
        <v>0</v>
      </c>
      <c r="P365" s="155">
        <f>+IF(OR($Q365=Parametres!$G$2,$Q365=Parametres!$G$3),K365,E365)</f>
        <v>0</v>
      </c>
      <c r="Q365" s="154">
        <f t="shared" si="27"/>
        <v>0</v>
      </c>
      <c r="R365" s="153">
        <f t="shared" si="28"/>
        <v>0</v>
      </c>
      <c r="S365" s="154">
        <f t="shared" si="29"/>
        <v>0</v>
      </c>
      <c r="T365" s="156" t="e">
        <f>+VLOOKUP($L365,Data_Validation!$A:$D,1,0)</f>
        <v>#N/A</v>
      </c>
      <c r="U365" s="156" t="e">
        <f>+VLOOKUP($L365,Data_Validation!$A:$D,3,0)</f>
        <v>#N/A</v>
      </c>
      <c r="V365" s="156" t="e">
        <f>+VLOOKUP($L365,Data_Validation!$A:$D,4,0)</f>
        <v>#N/A</v>
      </c>
      <c r="W365" s="156" t="e">
        <f>+VLOOKUP($L365,Data_Validation!$A:$E,5,0)</f>
        <v>#N/A</v>
      </c>
      <c r="X365" s="156" t="e">
        <f>+VLOOKUP($L365,Data_Validation!$A:$F,6,0)</f>
        <v>#N/A</v>
      </c>
    </row>
    <row r="366" spans="1:24" ht="15" hidden="1" customHeight="1">
      <c r="A366" s="1163"/>
      <c r="B366" s="1164"/>
      <c r="C366" s="1165"/>
      <c r="D366" s="1165"/>
      <c r="E366" s="1165"/>
      <c r="F366" s="1163"/>
      <c r="G366" s="1163"/>
      <c r="H366" s="1177"/>
      <c r="I366" s="1179"/>
      <c r="J366" s="1179"/>
      <c r="K366" s="1179"/>
      <c r="L366" s="153">
        <f t="shared" si="25"/>
        <v>0</v>
      </c>
      <c r="M366" s="154">
        <f t="shared" si="26"/>
        <v>0</v>
      </c>
      <c r="N366" s="155">
        <f>+IF(OR($Q366=Parametres!$G$2,$Q366=Parametres!$G$3),I366,C366)</f>
        <v>0</v>
      </c>
      <c r="O366" s="1106">
        <f>+IF(OR($Q366=Parametres!$G$2,$Q366=Parametres!$G$3),J366,D366)</f>
        <v>0</v>
      </c>
      <c r="P366" s="155">
        <f>+IF(OR($Q366=Parametres!$G$2,$Q366=Parametres!$G$3),K366,E366)</f>
        <v>0</v>
      </c>
      <c r="Q366" s="154">
        <f t="shared" si="27"/>
        <v>0</v>
      </c>
      <c r="R366" s="153">
        <f t="shared" si="28"/>
        <v>0</v>
      </c>
      <c r="S366" s="154">
        <f t="shared" si="29"/>
        <v>0</v>
      </c>
      <c r="T366" s="156" t="e">
        <f>+VLOOKUP($L366,Data_Validation!$A:$D,1,0)</f>
        <v>#N/A</v>
      </c>
      <c r="U366" s="156" t="e">
        <f>+VLOOKUP($L366,Data_Validation!$A:$D,3,0)</f>
        <v>#N/A</v>
      </c>
      <c r="V366" s="156" t="e">
        <f>+VLOOKUP($L366,Data_Validation!$A:$D,4,0)</f>
        <v>#N/A</v>
      </c>
      <c r="W366" s="156" t="e">
        <f>+VLOOKUP($L366,Data_Validation!$A:$E,5,0)</f>
        <v>#N/A</v>
      </c>
      <c r="X366" s="156" t="e">
        <f>+VLOOKUP($L366,Data_Validation!$A:$F,6,0)</f>
        <v>#N/A</v>
      </c>
    </row>
    <row r="367" spans="1:24" ht="15" hidden="1" customHeight="1">
      <c r="A367" s="1163"/>
      <c r="B367" s="1164"/>
      <c r="C367" s="1165"/>
      <c r="D367" s="1165"/>
      <c r="E367" s="1165"/>
      <c r="F367" s="1163"/>
      <c r="G367" s="1163"/>
      <c r="H367" s="1177"/>
      <c r="I367" s="1177"/>
      <c r="J367" s="1177"/>
      <c r="K367" s="1177"/>
      <c r="L367" s="153">
        <f t="shared" si="25"/>
        <v>0</v>
      </c>
      <c r="M367" s="154">
        <f t="shared" si="26"/>
        <v>0</v>
      </c>
      <c r="N367" s="155">
        <f>+IF(OR($Q367=Parametres!$G$2,$Q367=Parametres!$G$3),I367,C367)</f>
        <v>0</v>
      </c>
      <c r="O367" s="1108">
        <f>+IF(OR($Q367=Parametres!$G$2,$Q367=Parametres!$G$3),J367,D367)</f>
        <v>0</v>
      </c>
      <c r="P367" s="155">
        <f>+IF(OR($Q367=Parametres!$G$2,$Q367=Parametres!$G$3),K367,E367)</f>
        <v>0</v>
      </c>
      <c r="Q367" s="154">
        <f t="shared" si="27"/>
        <v>0</v>
      </c>
      <c r="R367" s="153">
        <f t="shared" si="28"/>
        <v>0</v>
      </c>
      <c r="S367" s="154">
        <f t="shared" si="29"/>
        <v>0</v>
      </c>
      <c r="T367" s="156" t="e">
        <f>+VLOOKUP($L367,Data_Validation!$A:$D,1,0)</f>
        <v>#N/A</v>
      </c>
      <c r="U367" s="156" t="e">
        <f>+VLOOKUP($L367,Data_Validation!$A:$D,3,0)</f>
        <v>#N/A</v>
      </c>
      <c r="V367" s="156" t="e">
        <f>+VLOOKUP($L367,Data_Validation!$A:$D,4,0)</f>
        <v>#N/A</v>
      </c>
      <c r="W367" s="156" t="e">
        <f>+VLOOKUP($L367,Data_Validation!$A:$E,5,0)</f>
        <v>#N/A</v>
      </c>
      <c r="X367" s="156" t="e">
        <f>+VLOOKUP($L367,Data_Validation!$A:$F,6,0)</f>
        <v>#N/A</v>
      </c>
    </row>
    <row r="368" spans="1:24" ht="15" hidden="1" customHeight="1">
      <c r="A368" s="1163"/>
      <c r="B368" s="1164"/>
      <c r="C368" s="1165"/>
      <c r="D368" s="1165"/>
      <c r="E368" s="1165"/>
      <c r="F368" s="1163"/>
      <c r="G368" s="1163"/>
      <c r="H368" s="1168"/>
      <c r="I368" s="1170"/>
      <c r="J368" s="1170"/>
      <c r="K368" s="1170"/>
      <c r="L368" s="153">
        <f t="shared" si="25"/>
        <v>0</v>
      </c>
      <c r="M368" s="154">
        <f t="shared" si="26"/>
        <v>0</v>
      </c>
      <c r="N368" s="155">
        <f>+IF(OR($Q368=Parametres!$G$2,$Q368=Parametres!$G$3),I368,C368)</f>
        <v>0</v>
      </c>
      <c r="O368" s="1108">
        <f>+IF(OR($Q368=Parametres!$G$2,$Q368=Parametres!$G$3),J368,D368)</f>
        <v>0</v>
      </c>
      <c r="P368" s="155">
        <f>+IF(OR($Q368=Parametres!$G$2,$Q368=Parametres!$G$3),K368,E368)</f>
        <v>0</v>
      </c>
      <c r="Q368" s="154">
        <f t="shared" si="27"/>
        <v>0</v>
      </c>
      <c r="R368" s="153">
        <f t="shared" si="28"/>
        <v>0</v>
      </c>
      <c r="S368" s="154">
        <f t="shared" si="29"/>
        <v>0</v>
      </c>
      <c r="T368" s="156" t="e">
        <f>+VLOOKUP($L368,Data_Validation!$A:$D,1,0)</f>
        <v>#N/A</v>
      </c>
      <c r="U368" s="156" t="e">
        <f>+VLOOKUP($L368,Data_Validation!$A:$D,3,0)</f>
        <v>#N/A</v>
      </c>
      <c r="V368" s="156" t="e">
        <f>+VLOOKUP($L368,Data_Validation!$A:$D,4,0)</f>
        <v>#N/A</v>
      </c>
      <c r="W368" s="156" t="e">
        <f>+VLOOKUP($L368,Data_Validation!$A:$E,5,0)</f>
        <v>#N/A</v>
      </c>
      <c r="X368" s="156" t="e">
        <f>+VLOOKUP($L368,Data_Validation!$A:$F,6,0)</f>
        <v>#N/A</v>
      </c>
    </row>
    <row r="369" spans="1:24" ht="15.75" hidden="1" customHeight="1">
      <c r="A369" s="1163"/>
      <c r="B369" s="1164"/>
      <c r="C369" s="1165"/>
      <c r="D369" s="1165"/>
      <c r="E369" s="1165"/>
      <c r="F369" s="1163"/>
      <c r="G369" s="1163"/>
      <c r="H369" s="1168"/>
      <c r="I369" s="1174"/>
      <c r="J369" s="1174"/>
      <c r="K369" s="1174"/>
      <c r="L369" s="153">
        <f t="shared" si="25"/>
        <v>0</v>
      </c>
      <c r="M369" s="154">
        <f t="shared" si="26"/>
        <v>0</v>
      </c>
      <c r="N369" s="155">
        <f>+IF(OR($Q369=Parametres!$G$2,$Q369=Parametres!$G$3),I369,C369)</f>
        <v>0</v>
      </c>
      <c r="O369" s="1108">
        <f>+IF(OR($Q369=Parametres!$G$2,$Q369=Parametres!$G$3),J369,D369)</f>
        <v>0</v>
      </c>
      <c r="P369" s="155">
        <f>+IF(OR($Q369=Parametres!$G$2,$Q369=Parametres!$G$3),K369,E369)</f>
        <v>0</v>
      </c>
      <c r="Q369" s="154">
        <f t="shared" si="27"/>
        <v>0</v>
      </c>
      <c r="R369" s="153">
        <f t="shared" si="28"/>
        <v>0</v>
      </c>
      <c r="S369" s="154">
        <f t="shared" si="29"/>
        <v>0</v>
      </c>
      <c r="T369" s="156" t="e">
        <f>+VLOOKUP($L369,Data_Validation!$A:$D,1,0)</f>
        <v>#N/A</v>
      </c>
      <c r="U369" s="156" t="e">
        <f>+VLOOKUP($L369,Data_Validation!$A:$D,3,0)</f>
        <v>#N/A</v>
      </c>
      <c r="V369" s="156" t="e">
        <f>+VLOOKUP($L369,Data_Validation!$A:$D,4,0)</f>
        <v>#N/A</v>
      </c>
      <c r="W369" s="156" t="e">
        <f>+VLOOKUP($L369,Data_Validation!$A:$E,5,0)</f>
        <v>#N/A</v>
      </c>
      <c r="X369" s="156" t="e">
        <f>+VLOOKUP($L369,Data_Validation!$A:$F,6,0)</f>
        <v>#N/A</v>
      </c>
    </row>
    <row r="370" spans="1:24" ht="15" hidden="1" customHeight="1">
      <c r="A370" s="1163"/>
      <c r="B370" s="1164"/>
      <c r="C370" s="1165"/>
      <c r="D370" s="1165"/>
      <c r="E370" s="1165"/>
      <c r="F370" s="1163"/>
      <c r="G370" s="1163"/>
      <c r="H370" s="1175"/>
      <c r="I370" s="1178"/>
      <c r="J370" s="1178"/>
      <c r="K370" s="1178"/>
      <c r="L370" s="153">
        <f t="shared" si="25"/>
        <v>0</v>
      </c>
      <c r="M370" s="154">
        <f t="shared" si="26"/>
        <v>0</v>
      </c>
      <c r="N370" s="155">
        <f>+IF(OR($Q370=Parametres!$G$2,$Q370=Parametres!$G$3),I370,C370)</f>
        <v>0</v>
      </c>
      <c r="O370" s="1108">
        <f>+IF(OR($Q370=Parametres!$G$2,$Q370=Parametres!$G$3),J370,D370)</f>
        <v>0</v>
      </c>
      <c r="P370" s="155">
        <f>+IF(OR($Q370=Parametres!$G$2,$Q370=Parametres!$G$3),K370,E370)</f>
        <v>0</v>
      </c>
      <c r="Q370" s="154">
        <f t="shared" si="27"/>
        <v>0</v>
      </c>
      <c r="R370" s="153">
        <f t="shared" si="28"/>
        <v>0</v>
      </c>
      <c r="S370" s="154">
        <f t="shared" si="29"/>
        <v>0</v>
      </c>
      <c r="T370" s="156" t="e">
        <f>+VLOOKUP($L370,Data_Validation!$A:$D,1,0)</f>
        <v>#N/A</v>
      </c>
      <c r="U370" s="156" t="e">
        <f>+VLOOKUP($L370,Data_Validation!$A:$D,3,0)</f>
        <v>#N/A</v>
      </c>
      <c r="V370" s="156" t="e">
        <f>+VLOOKUP($L370,Data_Validation!$A:$D,4,0)</f>
        <v>#N/A</v>
      </c>
      <c r="W370" s="156" t="e">
        <f>+VLOOKUP($L370,Data_Validation!$A:$E,5,0)</f>
        <v>#N/A</v>
      </c>
      <c r="X370" s="156" t="e">
        <f>+VLOOKUP($L370,Data_Validation!$A:$F,6,0)</f>
        <v>#N/A</v>
      </c>
    </row>
    <row r="371" spans="1:24" ht="15" hidden="1" customHeight="1">
      <c r="A371" s="1163"/>
      <c r="B371" s="1164"/>
      <c r="C371" s="1165"/>
      <c r="D371" s="1165"/>
      <c r="E371" s="1165"/>
      <c r="F371" s="1163"/>
      <c r="G371" s="1163"/>
      <c r="H371" s="1168"/>
      <c r="I371" s="1174"/>
      <c r="J371" s="1174"/>
      <c r="K371" s="1174"/>
      <c r="L371" s="153">
        <f t="shared" si="25"/>
        <v>0</v>
      </c>
      <c r="M371" s="154">
        <f t="shared" si="26"/>
        <v>0</v>
      </c>
      <c r="N371" s="155">
        <f>+IF(OR($Q371=Parametres!$G$2,$Q371=Parametres!$G$3),I371,C371)</f>
        <v>0</v>
      </c>
      <c r="O371" s="1108">
        <f>+IF(OR($Q371=Parametres!$G$2,$Q371=Parametres!$G$3),J371,D371)</f>
        <v>0</v>
      </c>
      <c r="P371" s="155">
        <f>+IF(OR($Q371=Parametres!$G$2,$Q371=Parametres!$G$3),K371,E371)</f>
        <v>0</v>
      </c>
      <c r="Q371" s="154">
        <f t="shared" si="27"/>
        <v>0</v>
      </c>
      <c r="R371" s="153">
        <f t="shared" si="28"/>
        <v>0</v>
      </c>
      <c r="S371" s="154">
        <f t="shared" si="29"/>
        <v>0</v>
      </c>
      <c r="T371" s="156" t="e">
        <f>+VLOOKUP($L371,Data_Validation!$A:$D,1,0)</f>
        <v>#N/A</v>
      </c>
      <c r="U371" s="156" t="e">
        <f>+VLOOKUP($L371,Data_Validation!$A:$D,3,0)</f>
        <v>#N/A</v>
      </c>
      <c r="V371" s="156" t="e">
        <f>+VLOOKUP($L371,Data_Validation!$A:$D,4,0)</f>
        <v>#N/A</v>
      </c>
      <c r="W371" s="156" t="e">
        <f>+VLOOKUP($L371,Data_Validation!$A:$E,5,0)</f>
        <v>#N/A</v>
      </c>
      <c r="X371" s="156" t="e">
        <f>+VLOOKUP($L371,Data_Validation!$A:$F,6,0)</f>
        <v>#N/A</v>
      </c>
    </row>
    <row r="372" spans="1:24" ht="15" hidden="1" customHeight="1">
      <c r="A372" s="1163"/>
      <c r="B372" s="1164"/>
      <c r="C372" s="1165"/>
      <c r="D372" s="1165"/>
      <c r="E372" s="1165"/>
      <c r="F372" s="1163"/>
      <c r="G372" s="1163"/>
      <c r="H372" s="1168"/>
      <c r="I372" s="1174"/>
      <c r="J372" s="1174"/>
      <c r="K372" s="1174"/>
      <c r="L372" s="153">
        <f t="shared" si="25"/>
        <v>0</v>
      </c>
      <c r="M372" s="154">
        <f t="shared" si="26"/>
        <v>0</v>
      </c>
      <c r="N372" s="155">
        <f>+IF(OR($Q372=Parametres!$G$2,$Q372=Parametres!$G$3),I372,C372)</f>
        <v>0</v>
      </c>
      <c r="O372" s="1108">
        <f>+IF(OR($Q372=Parametres!$G$2,$Q372=Parametres!$G$3),J372,D372)</f>
        <v>0</v>
      </c>
      <c r="P372" s="155">
        <f>+IF(OR($Q372=Parametres!$G$2,$Q372=Parametres!$G$3),K372,E372)</f>
        <v>0</v>
      </c>
      <c r="Q372" s="154">
        <f t="shared" si="27"/>
        <v>0</v>
      </c>
      <c r="R372" s="153">
        <f t="shared" si="28"/>
        <v>0</v>
      </c>
      <c r="S372" s="154">
        <f t="shared" si="29"/>
        <v>0</v>
      </c>
      <c r="T372" s="156" t="e">
        <f>+VLOOKUP($L372,Data_Validation!$A:$D,1,0)</f>
        <v>#N/A</v>
      </c>
      <c r="U372" s="156" t="e">
        <f>+VLOOKUP($L372,Data_Validation!$A:$D,3,0)</f>
        <v>#N/A</v>
      </c>
      <c r="V372" s="156" t="e">
        <f>+VLOOKUP($L372,Data_Validation!$A:$D,4,0)</f>
        <v>#N/A</v>
      </c>
      <c r="W372" s="156" t="e">
        <f>+VLOOKUP($L372,Data_Validation!$A:$E,5,0)</f>
        <v>#N/A</v>
      </c>
      <c r="X372" s="156" t="e">
        <f>+VLOOKUP($L372,Data_Validation!$A:$F,6,0)</f>
        <v>#N/A</v>
      </c>
    </row>
    <row r="373" spans="1:24" ht="15" hidden="1" customHeight="1">
      <c r="A373" s="1163"/>
      <c r="B373" s="1164"/>
      <c r="C373" s="1165"/>
      <c r="D373" s="1165"/>
      <c r="E373" s="1165"/>
      <c r="F373" s="1163"/>
      <c r="G373" s="1163"/>
      <c r="H373" s="1168"/>
      <c r="I373" s="1170"/>
      <c r="J373" s="1170"/>
      <c r="K373" s="1170"/>
      <c r="L373" s="153">
        <f t="shared" si="25"/>
        <v>0</v>
      </c>
      <c r="M373" s="154">
        <f t="shared" si="26"/>
        <v>0</v>
      </c>
      <c r="N373" s="155">
        <f>+IF(OR($Q373=Parametres!$G$2,$Q373=Parametres!$G$3),I373,C373)</f>
        <v>0</v>
      </c>
      <c r="O373" s="1108">
        <f>+IF(OR($Q373=Parametres!$G$2,$Q373=Parametres!$G$3),J373,D373)</f>
        <v>0</v>
      </c>
      <c r="P373" s="155">
        <f>+IF(OR($Q373=Parametres!$G$2,$Q373=Parametres!$G$3),K373,E373)</f>
        <v>0</v>
      </c>
      <c r="Q373" s="154">
        <f t="shared" si="27"/>
        <v>0</v>
      </c>
      <c r="R373" s="153">
        <f t="shared" si="28"/>
        <v>0</v>
      </c>
      <c r="S373" s="154">
        <f t="shared" si="29"/>
        <v>0</v>
      </c>
      <c r="T373" s="156" t="e">
        <f>+VLOOKUP($L373,Data_Validation!$A:$D,1,0)</f>
        <v>#N/A</v>
      </c>
      <c r="U373" s="156" t="e">
        <f>+VLOOKUP($L373,Data_Validation!$A:$D,3,0)</f>
        <v>#N/A</v>
      </c>
      <c r="V373" s="156" t="e">
        <f>+VLOOKUP($L373,Data_Validation!$A:$D,4,0)</f>
        <v>#N/A</v>
      </c>
      <c r="W373" s="156" t="e">
        <f>+VLOOKUP($L373,Data_Validation!$A:$E,5,0)</f>
        <v>#N/A</v>
      </c>
      <c r="X373" s="156" t="e">
        <f>+VLOOKUP($L373,Data_Validation!$A:$F,6,0)</f>
        <v>#N/A</v>
      </c>
    </row>
    <row r="374" spans="1:24" ht="15.75" hidden="1" customHeight="1">
      <c r="A374" s="1163"/>
      <c r="B374" s="1164"/>
      <c r="C374" s="1165"/>
      <c r="D374" s="1165"/>
      <c r="E374" s="1165"/>
      <c r="F374" s="1163"/>
      <c r="G374" s="1163"/>
      <c r="H374" s="1175"/>
      <c r="I374" s="1178"/>
      <c r="J374" s="1178"/>
      <c r="K374" s="1178"/>
      <c r="L374" s="153">
        <f t="shared" si="25"/>
        <v>0</v>
      </c>
      <c r="M374" s="154">
        <f t="shared" si="26"/>
        <v>0</v>
      </c>
      <c r="N374" s="155">
        <f>+IF(OR($Q374=Parametres!$G$2,$Q374=Parametres!$G$3),I374,C374)</f>
        <v>0</v>
      </c>
      <c r="O374" s="1108">
        <f>+IF(OR($Q374=Parametres!$G$2,$Q374=Parametres!$G$3),J374,D374)</f>
        <v>0</v>
      </c>
      <c r="P374" s="155">
        <f>+IF(OR($Q374=Parametres!$G$2,$Q374=Parametres!$G$3),K374,E374)</f>
        <v>0</v>
      </c>
      <c r="Q374" s="154">
        <f t="shared" si="27"/>
        <v>0</v>
      </c>
      <c r="R374" s="153">
        <f t="shared" si="28"/>
        <v>0</v>
      </c>
      <c r="S374" s="154">
        <f t="shared" si="29"/>
        <v>0</v>
      </c>
      <c r="T374" s="156" t="e">
        <f>+VLOOKUP($L374,Data_Validation!$A:$D,1,0)</f>
        <v>#N/A</v>
      </c>
      <c r="U374" s="156" t="e">
        <f>+VLOOKUP($L374,Data_Validation!$A:$D,3,0)</f>
        <v>#N/A</v>
      </c>
      <c r="V374" s="156" t="e">
        <f>+VLOOKUP($L374,Data_Validation!$A:$D,4,0)</f>
        <v>#N/A</v>
      </c>
      <c r="W374" s="156" t="e">
        <f>+VLOOKUP($L374,Data_Validation!$A:$E,5,0)</f>
        <v>#N/A</v>
      </c>
      <c r="X374" s="156" t="e">
        <f>+VLOOKUP($L374,Data_Validation!$A:$F,6,0)</f>
        <v>#N/A</v>
      </c>
    </row>
    <row r="375" spans="1:24" ht="15" hidden="1" customHeight="1">
      <c r="A375" s="1163"/>
      <c r="B375" s="1164"/>
      <c r="C375" s="1165"/>
      <c r="D375" s="1165"/>
      <c r="E375" s="1165"/>
      <c r="F375" s="1163"/>
      <c r="G375" s="1163"/>
      <c r="H375" s="1168"/>
      <c r="I375" s="1170"/>
      <c r="J375" s="1170"/>
      <c r="K375" s="1170"/>
      <c r="L375" s="153">
        <f t="shared" si="25"/>
        <v>0</v>
      </c>
      <c r="M375" s="154">
        <f t="shared" si="26"/>
        <v>0</v>
      </c>
      <c r="N375" s="155">
        <f>+IF(OR($Q375=Parametres!$G$2,$Q375=Parametres!$G$3),I375,C375)</f>
        <v>0</v>
      </c>
      <c r="O375" s="1108">
        <f>+IF(OR($Q375=Parametres!$G$2,$Q375=Parametres!$G$3),J375,D375)</f>
        <v>0</v>
      </c>
      <c r="P375" s="155">
        <f>+IF(OR($Q375=Parametres!$G$2,$Q375=Parametres!$G$3),K375,E375)</f>
        <v>0</v>
      </c>
      <c r="Q375" s="154">
        <f t="shared" si="27"/>
        <v>0</v>
      </c>
      <c r="R375" s="153">
        <f t="shared" si="28"/>
        <v>0</v>
      </c>
      <c r="S375" s="154">
        <f t="shared" si="29"/>
        <v>0</v>
      </c>
      <c r="T375" s="156" t="e">
        <f>+VLOOKUP($L375,Data_Validation!$A:$D,1,0)</f>
        <v>#N/A</v>
      </c>
      <c r="U375" s="156" t="e">
        <f>+VLOOKUP($L375,Data_Validation!$A:$D,3,0)</f>
        <v>#N/A</v>
      </c>
      <c r="V375" s="156" t="e">
        <f>+VLOOKUP($L375,Data_Validation!$A:$D,4,0)</f>
        <v>#N/A</v>
      </c>
      <c r="W375" s="156" t="e">
        <f>+VLOOKUP($L375,Data_Validation!$A:$E,5,0)</f>
        <v>#N/A</v>
      </c>
      <c r="X375" s="156" t="e">
        <f>+VLOOKUP($L375,Data_Validation!$A:$F,6,0)</f>
        <v>#N/A</v>
      </c>
    </row>
    <row r="376" spans="1:24" ht="15" hidden="1" customHeight="1">
      <c r="A376" s="1163"/>
      <c r="B376" s="1164"/>
      <c r="C376" s="1165"/>
      <c r="D376" s="1165"/>
      <c r="E376" s="1165"/>
      <c r="F376" s="1163"/>
      <c r="G376" s="1163"/>
      <c r="H376" s="1168"/>
      <c r="I376" s="1174"/>
      <c r="J376" s="1174"/>
      <c r="K376" s="1174"/>
      <c r="L376" s="153">
        <f t="shared" si="25"/>
        <v>0</v>
      </c>
      <c r="M376" s="154">
        <f t="shared" si="26"/>
        <v>0</v>
      </c>
      <c r="N376" s="155">
        <f>+IF(OR($Q376=Parametres!$G$2,$Q376=Parametres!$G$3),I376,C376)</f>
        <v>0</v>
      </c>
      <c r="O376" s="1108">
        <f>+IF(OR($Q376=Parametres!$G$2,$Q376=Parametres!$G$3),J376,D376)</f>
        <v>0</v>
      </c>
      <c r="P376" s="155">
        <f>+IF(OR($Q376=Parametres!$G$2,$Q376=Parametres!$G$3),K376,E376)</f>
        <v>0</v>
      </c>
      <c r="Q376" s="154">
        <f t="shared" si="27"/>
        <v>0</v>
      </c>
      <c r="R376" s="153">
        <f t="shared" si="28"/>
        <v>0</v>
      </c>
      <c r="S376" s="154">
        <f t="shared" si="29"/>
        <v>0</v>
      </c>
      <c r="T376" s="156" t="e">
        <f>+VLOOKUP($L376,Data_Validation!$A:$D,1,0)</f>
        <v>#N/A</v>
      </c>
      <c r="U376" s="156" t="e">
        <f>+VLOOKUP($L376,Data_Validation!$A:$D,3,0)</f>
        <v>#N/A</v>
      </c>
      <c r="V376" s="156" t="e">
        <f>+VLOOKUP($L376,Data_Validation!$A:$D,4,0)</f>
        <v>#N/A</v>
      </c>
      <c r="W376" s="156" t="e">
        <f>+VLOOKUP($L376,Data_Validation!$A:$E,5,0)</f>
        <v>#N/A</v>
      </c>
      <c r="X376" s="156" t="e">
        <f>+VLOOKUP($L376,Data_Validation!$A:$F,6,0)</f>
        <v>#N/A</v>
      </c>
    </row>
    <row r="377" spans="1:24" ht="15" hidden="1" customHeight="1">
      <c r="A377" s="1163"/>
      <c r="B377" s="1164"/>
      <c r="C377" s="1165"/>
      <c r="D377" s="1165"/>
      <c r="E377" s="1165"/>
      <c r="F377" s="1163"/>
      <c r="G377" s="1163"/>
      <c r="H377" s="1168"/>
      <c r="I377" s="1174"/>
      <c r="J377" s="1174"/>
      <c r="K377" s="1174"/>
      <c r="L377" s="153">
        <f t="shared" si="25"/>
        <v>0</v>
      </c>
      <c r="M377" s="154">
        <f t="shared" si="26"/>
        <v>0</v>
      </c>
      <c r="N377" s="155">
        <f>+IF(OR($Q377=Parametres!$G$2,$Q377=Parametres!$G$3),I377,C377)</f>
        <v>0</v>
      </c>
      <c r="O377" s="1108">
        <f>+IF(OR($Q377=Parametres!$G$2,$Q377=Parametres!$G$3),J377,D377)</f>
        <v>0</v>
      </c>
      <c r="P377" s="155">
        <f>+IF(OR($Q377=Parametres!$G$2,$Q377=Parametres!$G$3),K377,E377)</f>
        <v>0</v>
      </c>
      <c r="Q377" s="154">
        <f t="shared" si="27"/>
        <v>0</v>
      </c>
      <c r="R377" s="153">
        <f t="shared" si="28"/>
        <v>0</v>
      </c>
      <c r="S377" s="154">
        <f t="shared" si="29"/>
        <v>0</v>
      </c>
      <c r="T377" s="156" t="e">
        <f>+VLOOKUP($L377,Data_Validation!$A:$D,1,0)</f>
        <v>#N/A</v>
      </c>
      <c r="U377" s="156" t="e">
        <f>+VLOOKUP($L377,Data_Validation!$A:$D,3,0)</f>
        <v>#N/A</v>
      </c>
      <c r="V377" s="156" t="e">
        <f>+VLOOKUP($L377,Data_Validation!$A:$D,4,0)</f>
        <v>#N/A</v>
      </c>
      <c r="W377" s="156" t="e">
        <f>+VLOOKUP($L377,Data_Validation!$A:$E,5,0)</f>
        <v>#N/A</v>
      </c>
      <c r="X377" s="156" t="e">
        <f>+VLOOKUP($L377,Data_Validation!$A:$F,6,0)</f>
        <v>#N/A</v>
      </c>
    </row>
    <row r="378" spans="1:24" ht="15" hidden="1" customHeight="1">
      <c r="A378" s="1163"/>
      <c r="B378" s="1164"/>
      <c r="C378" s="1165"/>
      <c r="D378" s="1165"/>
      <c r="E378" s="1165"/>
      <c r="F378" s="1163"/>
      <c r="G378" s="1163"/>
      <c r="H378" s="1168"/>
      <c r="I378" s="1174"/>
      <c r="J378" s="1174"/>
      <c r="K378" s="1174"/>
      <c r="L378" s="153">
        <f t="shared" si="25"/>
        <v>0</v>
      </c>
      <c r="M378" s="154">
        <f t="shared" si="26"/>
        <v>0</v>
      </c>
      <c r="N378" s="155">
        <f>+IF(OR($Q378=Parametres!$G$2,$Q378=Parametres!$G$3),I378,C378)</f>
        <v>0</v>
      </c>
      <c r="O378" s="1108">
        <f>+IF(OR($Q378=Parametres!$G$2,$Q378=Parametres!$G$3),J378,D378)</f>
        <v>0</v>
      </c>
      <c r="P378" s="155">
        <f>+IF(OR($Q378=Parametres!$G$2,$Q378=Parametres!$G$3),K378,E378)</f>
        <v>0</v>
      </c>
      <c r="Q378" s="154">
        <f t="shared" si="27"/>
        <v>0</v>
      </c>
      <c r="R378" s="153">
        <f t="shared" si="28"/>
        <v>0</v>
      </c>
      <c r="S378" s="154">
        <f t="shared" si="29"/>
        <v>0</v>
      </c>
      <c r="T378" s="156" t="e">
        <f>+VLOOKUP($L378,Data_Validation!$A:$D,1,0)</f>
        <v>#N/A</v>
      </c>
      <c r="U378" s="156" t="e">
        <f>+VLOOKUP($L378,Data_Validation!$A:$D,3,0)</f>
        <v>#N/A</v>
      </c>
      <c r="V378" s="156" t="e">
        <f>+VLOOKUP($L378,Data_Validation!$A:$D,4,0)</f>
        <v>#N/A</v>
      </c>
      <c r="W378" s="156" t="e">
        <f>+VLOOKUP($L378,Data_Validation!$A:$E,5,0)</f>
        <v>#N/A</v>
      </c>
      <c r="X378" s="156" t="e">
        <f>+VLOOKUP($L378,Data_Validation!$A:$F,6,0)</f>
        <v>#N/A</v>
      </c>
    </row>
    <row r="379" spans="1:24" ht="15.75" hidden="1" customHeight="1">
      <c r="A379" s="1163"/>
      <c r="B379" s="1164"/>
      <c r="C379" s="1165"/>
      <c r="D379" s="1165"/>
      <c r="E379" s="1165"/>
      <c r="F379" s="1163"/>
      <c r="G379" s="1163"/>
      <c r="H379" s="1168"/>
      <c r="I379" s="1170"/>
      <c r="J379" s="1170"/>
      <c r="K379" s="1170"/>
      <c r="L379" s="153">
        <f t="shared" si="25"/>
        <v>0</v>
      </c>
      <c r="M379" s="154">
        <f t="shared" si="26"/>
        <v>0</v>
      </c>
      <c r="N379" s="155">
        <f>+IF(OR($Q379=Parametres!$G$2,$Q379=Parametres!$G$3),I379,C379)</f>
        <v>0</v>
      </c>
      <c r="O379" s="1108">
        <f>+IF(OR($Q379=Parametres!$G$2,$Q379=Parametres!$G$3),J379,D379)</f>
        <v>0</v>
      </c>
      <c r="P379" s="155">
        <f>+IF(OR($Q379=Parametres!$G$2,$Q379=Parametres!$G$3),K379,E379)</f>
        <v>0</v>
      </c>
      <c r="Q379" s="154">
        <f t="shared" si="27"/>
        <v>0</v>
      </c>
      <c r="R379" s="153">
        <f t="shared" si="28"/>
        <v>0</v>
      </c>
      <c r="S379" s="154">
        <f t="shared" si="29"/>
        <v>0</v>
      </c>
      <c r="T379" s="156" t="e">
        <f>+VLOOKUP($L379,Data_Validation!$A:$D,1,0)</f>
        <v>#N/A</v>
      </c>
      <c r="U379" s="156" t="e">
        <f>+VLOOKUP($L379,Data_Validation!$A:$D,3,0)</f>
        <v>#N/A</v>
      </c>
      <c r="V379" s="156" t="e">
        <f>+VLOOKUP($L379,Data_Validation!$A:$D,4,0)</f>
        <v>#N/A</v>
      </c>
      <c r="W379" s="156" t="e">
        <f>+VLOOKUP($L379,Data_Validation!$A:$E,5,0)</f>
        <v>#N/A</v>
      </c>
      <c r="X379" s="156" t="e">
        <f>+VLOOKUP($L379,Data_Validation!$A:$F,6,0)</f>
        <v>#N/A</v>
      </c>
    </row>
    <row r="380" spans="1:24" ht="15" hidden="1" customHeight="1">
      <c r="A380" s="1163"/>
      <c r="B380" s="1164"/>
      <c r="C380" s="1165"/>
      <c r="D380" s="1165"/>
      <c r="E380" s="1165"/>
      <c r="F380" s="1163"/>
      <c r="G380" s="1163"/>
      <c r="H380" s="1168"/>
      <c r="I380" s="1170"/>
      <c r="J380" s="1170"/>
      <c r="K380" s="1170"/>
      <c r="L380" s="153">
        <f t="shared" si="25"/>
        <v>0</v>
      </c>
      <c r="M380" s="154">
        <f t="shared" si="26"/>
        <v>0</v>
      </c>
      <c r="N380" s="155">
        <f>+IF(OR($Q380=Parametres!$G$2,$Q380=Parametres!$G$3),I380,C380)</f>
        <v>0</v>
      </c>
      <c r="O380" s="1106">
        <f>+IF(OR($Q380=Parametres!$G$2,$Q380=Parametres!$G$3),J380,D380)</f>
        <v>0</v>
      </c>
      <c r="P380" s="155">
        <f>+IF(OR($Q380=Parametres!$G$2,$Q380=Parametres!$G$3),K380,E380)</f>
        <v>0</v>
      </c>
      <c r="Q380" s="154">
        <f t="shared" si="27"/>
        <v>0</v>
      </c>
      <c r="R380" s="153">
        <f t="shared" si="28"/>
        <v>0</v>
      </c>
      <c r="S380" s="154">
        <f t="shared" si="29"/>
        <v>0</v>
      </c>
      <c r="T380" s="156" t="e">
        <f>+VLOOKUP($L380,Data_Validation!$A:$D,1,0)</f>
        <v>#N/A</v>
      </c>
      <c r="U380" s="156" t="e">
        <f>+VLOOKUP($L380,Data_Validation!$A:$D,3,0)</f>
        <v>#N/A</v>
      </c>
      <c r="V380" s="156" t="e">
        <f>+VLOOKUP($L380,Data_Validation!$A:$D,4,0)</f>
        <v>#N/A</v>
      </c>
      <c r="W380" s="156" t="e">
        <f>+VLOOKUP($L380,Data_Validation!$A:$E,5,0)</f>
        <v>#N/A</v>
      </c>
      <c r="X380" s="156" t="e">
        <f>+VLOOKUP($L380,Data_Validation!$A:$F,6,0)</f>
        <v>#N/A</v>
      </c>
    </row>
    <row r="381" spans="1:24" ht="15" hidden="1" customHeight="1">
      <c r="A381" s="1163"/>
      <c r="B381" s="1164"/>
      <c r="C381" s="1165"/>
      <c r="D381" s="1165"/>
      <c r="E381" s="1165"/>
      <c r="F381" s="1163"/>
      <c r="G381" s="1163"/>
      <c r="H381" s="1168"/>
      <c r="I381" s="1174"/>
      <c r="J381" s="1174"/>
      <c r="K381" s="1174"/>
      <c r="L381" s="153">
        <f t="shared" si="25"/>
        <v>0</v>
      </c>
      <c r="M381" s="154">
        <f t="shared" si="26"/>
        <v>0</v>
      </c>
      <c r="N381" s="155">
        <f>+IF(OR($Q381=Parametres!$G$2,$Q381=Parametres!$G$3),I381,C381)</f>
        <v>0</v>
      </c>
      <c r="O381" s="1108">
        <f>+IF(OR($Q381=Parametres!$G$2,$Q381=Parametres!$G$3),J381,D381)</f>
        <v>0</v>
      </c>
      <c r="P381" s="155">
        <f>+IF(OR($Q381=Parametres!$G$2,$Q381=Parametres!$G$3),K381,E381)</f>
        <v>0</v>
      </c>
      <c r="Q381" s="154">
        <f t="shared" si="27"/>
        <v>0</v>
      </c>
      <c r="R381" s="153">
        <f t="shared" si="28"/>
        <v>0</v>
      </c>
      <c r="S381" s="154">
        <f t="shared" si="29"/>
        <v>0</v>
      </c>
      <c r="T381" s="156" t="e">
        <f>+VLOOKUP($L381,Data_Validation!$A:$D,1,0)</f>
        <v>#N/A</v>
      </c>
      <c r="U381" s="156" t="e">
        <f>+VLOOKUP($L381,Data_Validation!$A:$D,3,0)</f>
        <v>#N/A</v>
      </c>
      <c r="V381" s="156" t="e">
        <f>+VLOOKUP($L381,Data_Validation!$A:$D,4,0)</f>
        <v>#N/A</v>
      </c>
      <c r="W381" s="156" t="e">
        <f>+VLOOKUP($L381,Data_Validation!$A:$E,5,0)</f>
        <v>#N/A</v>
      </c>
      <c r="X381" s="156" t="e">
        <f>+VLOOKUP($L381,Data_Validation!$A:$F,6,0)</f>
        <v>#N/A</v>
      </c>
    </row>
    <row r="382" spans="1:24" ht="15" hidden="1" customHeight="1">
      <c r="A382" s="1163"/>
      <c r="B382" s="1164"/>
      <c r="C382" s="1165"/>
      <c r="D382" s="1165"/>
      <c r="E382" s="1165"/>
      <c r="F382" s="1163"/>
      <c r="G382" s="1163"/>
      <c r="H382" s="1168"/>
      <c r="I382" s="1180"/>
      <c r="J382" s="1180"/>
      <c r="K382" s="1180"/>
      <c r="L382" s="153">
        <f t="shared" si="25"/>
        <v>0</v>
      </c>
      <c r="M382" s="154">
        <f t="shared" si="26"/>
        <v>0</v>
      </c>
      <c r="N382" s="155">
        <f>+IF(OR($Q382=Parametres!$G$2,$Q382=Parametres!$G$3),I382,C382)</f>
        <v>0</v>
      </c>
      <c r="O382" s="1108">
        <f>+IF(OR($Q382=Parametres!$G$2,$Q382=Parametres!$G$3),J382,D382)</f>
        <v>0</v>
      </c>
      <c r="P382" s="155">
        <f>+IF(OR($Q382=Parametres!$G$2,$Q382=Parametres!$G$3),K382,E382)</f>
        <v>0</v>
      </c>
      <c r="Q382" s="154">
        <f t="shared" si="27"/>
        <v>0</v>
      </c>
      <c r="R382" s="153">
        <f t="shared" si="28"/>
        <v>0</v>
      </c>
      <c r="S382" s="154">
        <f t="shared" si="29"/>
        <v>0</v>
      </c>
      <c r="T382" s="156" t="e">
        <f>+VLOOKUP($L382,Data_Validation!$A:$D,1,0)</f>
        <v>#N/A</v>
      </c>
      <c r="U382" s="156" t="e">
        <f>+VLOOKUP($L382,Data_Validation!$A:$D,3,0)</f>
        <v>#N/A</v>
      </c>
      <c r="V382" s="156" t="e">
        <f>+VLOOKUP($L382,Data_Validation!$A:$D,4,0)</f>
        <v>#N/A</v>
      </c>
      <c r="W382" s="156" t="e">
        <f>+VLOOKUP($L382,Data_Validation!$A:$E,5,0)</f>
        <v>#N/A</v>
      </c>
      <c r="X382" s="156" t="e">
        <f>+VLOOKUP($L382,Data_Validation!$A:$F,6,0)</f>
        <v>#N/A</v>
      </c>
    </row>
    <row r="383" spans="1:24" ht="15.75" hidden="1" customHeight="1">
      <c r="A383" s="1163"/>
      <c r="B383" s="1164"/>
      <c r="C383" s="1165"/>
      <c r="D383" s="1165"/>
      <c r="E383" s="1165"/>
      <c r="F383" s="1163"/>
      <c r="G383" s="1163"/>
      <c r="H383" s="1168"/>
      <c r="I383" s="1170"/>
      <c r="J383" s="1170"/>
      <c r="K383" s="1170"/>
      <c r="L383" s="153">
        <f t="shared" si="25"/>
        <v>0</v>
      </c>
      <c r="M383" s="154">
        <f t="shared" si="26"/>
        <v>0</v>
      </c>
      <c r="N383" s="155">
        <f>+IF(OR($Q383=Parametres!$G$2,$Q383=Parametres!$G$3),I383,C383)</f>
        <v>0</v>
      </c>
      <c r="O383" s="1108">
        <f>+IF(OR($Q383=Parametres!$G$2,$Q383=Parametres!$G$3),J383,D383)</f>
        <v>0</v>
      </c>
      <c r="P383" s="155">
        <f>+IF(OR($Q383=Parametres!$G$2,$Q383=Parametres!$G$3),K383,E383)</f>
        <v>0</v>
      </c>
      <c r="Q383" s="154">
        <f t="shared" si="27"/>
        <v>0</v>
      </c>
      <c r="R383" s="153">
        <f t="shared" si="28"/>
        <v>0</v>
      </c>
      <c r="S383" s="154">
        <f t="shared" si="29"/>
        <v>0</v>
      </c>
      <c r="T383" s="156" t="e">
        <f>+VLOOKUP($L383,Data_Validation!$A:$D,1,0)</f>
        <v>#N/A</v>
      </c>
      <c r="U383" s="156" t="e">
        <f>+VLOOKUP($L383,Data_Validation!$A:$D,3,0)</f>
        <v>#N/A</v>
      </c>
      <c r="V383" s="156" t="e">
        <f>+VLOOKUP($L383,Data_Validation!$A:$D,4,0)</f>
        <v>#N/A</v>
      </c>
      <c r="W383" s="156" t="e">
        <f>+VLOOKUP($L383,Data_Validation!$A:$E,5,0)</f>
        <v>#N/A</v>
      </c>
      <c r="X383" s="156" t="e">
        <f>+VLOOKUP($L383,Data_Validation!$A:$F,6,0)</f>
        <v>#N/A</v>
      </c>
    </row>
    <row r="384" spans="1:24" ht="15" hidden="1" customHeight="1">
      <c r="A384" s="1163"/>
      <c r="B384" s="1164"/>
      <c r="C384" s="1165"/>
      <c r="D384" s="1165"/>
      <c r="E384" s="1165"/>
      <c r="F384" s="1163"/>
      <c r="G384" s="1163"/>
      <c r="H384" s="1168"/>
      <c r="I384" s="1174"/>
      <c r="J384" s="1174"/>
      <c r="K384" s="1174"/>
      <c r="L384" s="153">
        <f t="shared" si="25"/>
        <v>0</v>
      </c>
      <c r="M384" s="154">
        <f t="shared" si="26"/>
        <v>0</v>
      </c>
      <c r="N384" s="155">
        <f>+IF(OR($Q384=Parametres!$G$2,$Q384=Parametres!$G$3),I384,C384)</f>
        <v>0</v>
      </c>
      <c r="O384" s="1108">
        <f>+IF(OR($Q384=Parametres!$G$2,$Q384=Parametres!$G$3),J384,D384)</f>
        <v>0</v>
      </c>
      <c r="P384" s="155">
        <f>+IF(OR($Q384=Parametres!$G$2,$Q384=Parametres!$G$3),K384,E384)</f>
        <v>0</v>
      </c>
      <c r="Q384" s="154">
        <f t="shared" si="27"/>
        <v>0</v>
      </c>
      <c r="R384" s="153">
        <f t="shared" si="28"/>
        <v>0</v>
      </c>
      <c r="S384" s="154">
        <f t="shared" si="29"/>
        <v>0</v>
      </c>
      <c r="T384" s="156" t="e">
        <f>+VLOOKUP($L384,Data_Validation!$A:$D,1,0)</f>
        <v>#N/A</v>
      </c>
      <c r="U384" s="156" t="e">
        <f>+VLOOKUP($L384,Data_Validation!$A:$D,3,0)</f>
        <v>#N/A</v>
      </c>
      <c r="V384" s="156" t="e">
        <f>+VLOOKUP($L384,Data_Validation!$A:$D,4,0)</f>
        <v>#N/A</v>
      </c>
      <c r="W384" s="156" t="e">
        <f>+VLOOKUP($L384,Data_Validation!$A:$E,5,0)</f>
        <v>#N/A</v>
      </c>
      <c r="X384" s="156" t="e">
        <f>+VLOOKUP($L384,Data_Validation!$A:$F,6,0)</f>
        <v>#N/A</v>
      </c>
    </row>
    <row r="385" spans="1:24" ht="15" hidden="1" customHeight="1">
      <c r="A385" s="1163"/>
      <c r="B385" s="1164"/>
      <c r="C385" s="1165"/>
      <c r="D385" s="1165"/>
      <c r="E385" s="1165"/>
      <c r="F385" s="1163"/>
      <c r="G385" s="1163"/>
      <c r="H385" s="1168"/>
      <c r="I385" s="1174"/>
      <c r="J385" s="1174"/>
      <c r="K385" s="1174"/>
      <c r="L385" s="153">
        <f t="shared" si="25"/>
        <v>0</v>
      </c>
      <c r="M385" s="154">
        <f t="shared" si="26"/>
        <v>0</v>
      </c>
      <c r="N385" s="155">
        <f>+IF(OR($Q385=Parametres!$G$2,$Q385=Parametres!$G$3),I385,C385)</f>
        <v>0</v>
      </c>
      <c r="O385" s="1108">
        <f>+IF(OR($Q385=Parametres!$G$2,$Q385=Parametres!$G$3),J385,D385)</f>
        <v>0</v>
      </c>
      <c r="P385" s="155">
        <f>+IF(OR($Q385=Parametres!$G$2,$Q385=Parametres!$G$3),K385,E385)</f>
        <v>0</v>
      </c>
      <c r="Q385" s="154">
        <f t="shared" si="27"/>
        <v>0</v>
      </c>
      <c r="R385" s="153">
        <f t="shared" si="28"/>
        <v>0</v>
      </c>
      <c r="S385" s="154">
        <f t="shared" si="29"/>
        <v>0</v>
      </c>
      <c r="T385" s="156" t="e">
        <f>+VLOOKUP($L385,Data_Validation!$A:$D,1,0)</f>
        <v>#N/A</v>
      </c>
      <c r="U385" s="156" t="e">
        <f>+VLOOKUP($L385,Data_Validation!$A:$D,3,0)</f>
        <v>#N/A</v>
      </c>
      <c r="V385" s="156" t="e">
        <f>+VLOOKUP($L385,Data_Validation!$A:$D,4,0)</f>
        <v>#N/A</v>
      </c>
      <c r="W385" s="156" t="e">
        <f>+VLOOKUP($L385,Data_Validation!$A:$E,5,0)</f>
        <v>#N/A</v>
      </c>
      <c r="X385" s="156" t="e">
        <f>+VLOOKUP($L385,Data_Validation!$A:$F,6,0)</f>
        <v>#N/A</v>
      </c>
    </row>
    <row r="386" spans="1:24" ht="15" hidden="1" customHeight="1">
      <c r="A386" s="1163"/>
      <c r="B386" s="1164"/>
      <c r="C386" s="1165"/>
      <c r="D386" s="1165"/>
      <c r="E386" s="1165"/>
      <c r="F386" s="1163"/>
      <c r="G386" s="1163"/>
      <c r="H386" s="1168"/>
      <c r="I386" s="1180"/>
      <c r="J386" s="1180"/>
      <c r="K386" s="1180"/>
      <c r="L386" s="153">
        <f t="shared" ref="L386:L449" si="30">+B386</f>
        <v>0</v>
      </c>
      <c r="M386" s="154">
        <f t="shared" ref="M386:M449" si="31">+A386</f>
        <v>0</v>
      </c>
      <c r="N386" s="155">
        <f>+IF(OR($Q386=Parametres!$G$2,$Q386=Parametres!$G$3),I386,C386)</f>
        <v>0</v>
      </c>
      <c r="O386" s="1108">
        <f>+IF(OR($Q386=Parametres!$G$2,$Q386=Parametres!$G$3),J386,D386)</f>
        <v>0</v>
      </c>
      <c r="P386" s="155">
        <f>+IF(OR($Q386=Parametres!$G$2,$Q386=Parametres!$G$3),K386,E386)</f>
        <v>0</v>
      </c>
      <c r="Q386" s="154">
        <f t="shared" ref="Q386:Q449" si="32">+F386</f>
        <v>0</v>
      </c>
      <c r="R386" s="153">
        <f t="shared" ref="R386:R449" si="33">+G386</f>
        <v>0</v>
      </c>
      <c r="S386" s="154">
        <f t="shared" ref="S386:S449" si="34">+H386</f>
        <v>0</v>
      </c>
      <c r="T386" s="156" t="e">
        <f>+VLOOKUP($L386,Data_Validation!$A:$D,1,0)</f>
        <v>#N/A</v>
      </c>
      <c r="U386" s="156" t="e">
        <f>+VLOOKUP($L386,Data_Validation!$A:$D,3,0)</f>
        <v>#N/A</v>
      </c>
      <c r="V386" s="156" t="e">
        <f>+VLOOKUP($L386,Data_Validation!$A:$D,4,0)</f>
        <v>#N/A</v>
      </c>
      <c r="W386" s="156" t="e">
        <f>+VLOOKUP($L386,Data_Validation!$A:$E,5,0)</f>
        <v>#N/A</v>
      </c>
      <c r="X386" s="156" t="e">
        <f>+VLOOKUP($L386,Data_Validation!$A:$F,6,0)</f>
        <v>#N/A</v>
      </c>
    </row>
    <row r="387" spans="1:24" ht="15.75" hidden="1" customHeight="1">
      <c r="A387" s="1163"/>
      <c r="B387" s="1164"/>
      <c r="C387" s="1165"/>
      <c r="D387" s="1165"/>
      <c r="E387" s="1165"/>
      <c r="F387" s="1163"/>
      <c r="G387" s="1163"/>
      <c r="H387" s="1168"/>
      <c r="I387" s="1174"/>
      <c r="J387" s="1174"/>
      <c r="K387" s="1174"/>
      <c r="L387" s="153">
        <f t="shared" si="30"/>
        <v>0</v>
      </c>
      <c r="M387" s="154">
        <f t="shared" si="31"/>
        <v>0</v>
      </c>
      <c r="N387" s="155">
        <f>+IF(OR($Q387=Parametres!$G$2,$Q387=Parametres!$G$3),I387,C387)</f>
        <v>0</v>
      </c>
      <c r="O387" s="1108">
        <f>+IF(OR($Q387=Parametres!$G$2,$Q387=Parametres!$G$3),J387,D387)</f>
        <v>0</v>
      </c>
      <c r="P387" s="155">
        <f>+IF(OR($Q387=Parametres!$G$2,$Q387=Parametres!$G$3),K387,E387)</f>
        <v>0</v>
      </c>
      <c r="Q387" s="154">
        <f t="shared" si="32"/>
        <v>0</v>
      </c>
      <c r="R387" s="153">
        <f t="shared" si="33"/>
        <v>0</v>
      </c>
      <c r="S387" s="154">
        <f t="shared" si="34"/>
        <v>0</v>
      </c>
      <c r="T387" s="156" t="e">
        <f>+VLOOKUP($L387,Data_Validation!$A:$D,1,0)</f>
        <v>#N/A</v>
      </c>
      <c r="U387" s="156" t="e">
        <f>+VLOOKUP($L387,Data_Validation!$A:$D,3,0)</f>
        <v>#N/A</v>
      </c>
      <c r="V387" s="156" t="e">
        <f>+VLOOKUP($L387,Data_Validation!$A:$D,4,0)</f>
        <v>#N/A</v>
      </c>
      <c r="W387" s="156" t="e">
        <f>+VLOOKUP($L387,Data_Validation!$A:$E,5,0)</f>
        <v>#N/A</v>
      </c>
      <c r="X387" s="156" t="e">
        <f>+VLOOKUP($L387,Data_Validation!$A:$F,6,0)</f>
        <v>#N/A</v>
      </c>
    </row>
    <row r="388" spans="1:24" ht="15" hidden="1" customHeight="1">
      <c r="A388" s="1163"/>
      <c r="B388" s="1164"/>
      <c r="C388" s="1165"/>
      <c r="D388" s="1165"/>
      <c r="E388" s="1165"/>
      <c r="F388" s="1163"/>
      <c r="G388" s="1163"/>
      <c r="H388" s="1168"/>
      <c r="I388" s="1180"/>
      <c r="J388" s="1180"/>
      <c r="K388" s="1180"/>
      <c r="L388" s="153">
        <f t="shared" si="30"/>
        <v>0</v>
      </c>
      <c r="M388" s="154">
        <f t="shared" si="31"/>
        <v>0</v>
      </c>
      <c r="N388" s="155">
        <f>+IF(OR($Q388=Parametres!$G$2,$Q388=Parametres!$G$3),I388,C388)</f>
        <v>0</v>
      </c>
      <c r="O388" s="1108">
        <f>+IF(OR($Q388=Parametres!$G$2,$Q388=Parametres!$G$3),J388,D388)</f>
        <v>0</v>
      </c>
      <c r="P388" s="155">
        <f>+IF(OR($Q388=Parametres!$G$2,$Q388=Parametres!$G$3),K388,E388)</f>
        <v>0</v>
      </c>
      <c r="Q388" s="154">
        <f t="shared" si="32"/>
        <v>0</v>
      </c>
      <c r="R388" s="153">
        <f t="shared" si="33"/>
        <v>0</v>
      </c>
      <c r="S388" s="154">
        <f t="shared" si="34"/>
        <v>0</v>
      </c>
      <c r="T388" s="156" t="e">
        <f>+VLOOKUP($L388,Data_Validation!$A:$D,1,0)</f>
        <v>#N/A</v>
      </c>
      <c r="U388" s="156" t="e">
        <f>+VLOOKUP($L388,Data_Validation!$A:$D,3,0)</f>
        <v>#N/A</v>
      </c>
      <c r="V388" s="156" t="e">
        <f>+VLOOKUP($L388,Data_Validation!$A:$D,4,0)</f>
        <v>#N/A</v>
      </c>
      <c r="W388" s="156" t="e">
        <f>+VLOOKUP($L388,Data_Validation!$A:$E,5,0)</f>
        <v>#N/A</v>
      </c>
      <c r="X388" s="156" t="e">
        <f>+VLOOKUP($L388,Data_Validation!$A:$F,6,0)</f>
        <v>#N/A</v>
      </c>
    </row>
    <row r="389" spans="1:24" ht="15" hidden="1" customHeight="1">
      <c r="A389" s="1163"/>
      <c r="B389" s="1164"/>
      <c r="C389" s="1165"/>
      <c r="D389" s="1165"/>
      <c r="E389" s="1165"/>
      <c r="F389" s="1163"/>
      <c r="G389" s="1163"/>
      <c r="H389" s="1168"/>
      <c r="I389" s="1180"/>
      <c r="J389" s="1180"/>
      <c r="K389" s="1180"/>
      <c r="L389" s="153">
        <f t="shared" si="30"/>
        <v>0</v>
      </c>
      <c r="M389" s="154">
        <f t="shared" si="31"/>
        <v>0</v>
      </c>
      <c r="N389" s="155">
        <f>+IF(OR($Q389=Parametres!$G$2,$Q389=Parametres!$G$3),I389,C389)</f>
        <v>0</v>
      </c>
      <c r="O389" s="1108">
        <f>+IF(OR($Q389=Parametres!$G$2,$Q389=Parametres!$G$3),J389,D389)</f>
        <v>0</v>
      </c>
      <c r="P389" s="155">
        <f>+IF(OR($Q389=Parametres!$G$2,$Q389=Parametres!$G$3),K389,E389)</f>
        <v>0</v>
      </c>
      <c r="Q389" s="154">
        <f t="shared" si="32"/>
        <v>0</v>
      </c>
      <c r="R389" s="153">
        <f t="shared" si="33"/>
        <v>0</v>
      </c>
      <c r="S389" s="154">
        <f t="shared" si="34"/>
        <v>0</v>
      </c>
      <c r="T389" s="156" t="e">
        <f>+VLOOKUP($L389,Data_Validation!$A:$D,1,0)</f>
        <v>#N/A</v>
      </c>
      <c r="U389" s="156" t="e">
        <f>+VLOOKUP($L389,Data_Validation!$A:$D,3,0)</f>
        <v>#N/A</v>
      </c>
      <c r="V389" s="156" t="e">
        <f>+VLOOKUP($L389,Data_Validation!$A:$D,4,0)</f>
        <v>#N/A</v>
      </c>
      <c r="W389" s="156" t="e">
        <f>+VLOOKUP($L389,Data_Validation!$A:$E,5,0)</f>
        <v>#N/A</v>
      </c>
      <c r="X389" s="156" t="e">
        <f>+VLOOKUP($L389,Data_Validation!$A:$F,6,0)</f>
        <v>#N/A</v>
      </c>
    </row>
    <row r="390" spans="1:24" ht="15" hidden="1" customHeight="1">
      <c r="A390" s="1163"/>
      <c r="B390" s="1164"/>
      <c r="C390" s="1165"/>
      <c r="D390" s="1165"/>
      <c r="E390" s="1165"/>
      <c r="F390" s="1163"/>
      <c r="G390" s="1163"/>
      <c r="H390" s="1175"/>
      <c r="I390" s="1178"/>
      <c r="J390" s="1178"/>
      <c r="K390" s="1178"/>
      <c r="L390" s="153">
        <f t="shared" si="30"/>
        <v>0</v>
      </c>
      <c r="M390" s="154">
        <f t="shared" si="31"/>
        <v>0</v>
      </c>
      <c r="N390" s="155">
        <f>+IF(OR($Q390=Parametres!$G$2,$Q390=Parametres!$G$3),I390,C390)</f>
        <v>0</v>
      </c>
      <c r="O390" s="1108">
        <f>+IF(OR($Q390=Parametres!$G$2,$Q390=Parametres!$G$3),J390,D390)</f>
        <v>0</v>
      </c>
      <c r="P390" s="155">
        <f>+IF(OR($Q390=Parametres!$G$2,$Q390=Parametres!$G$3),K390,E390)</f>
        <v>0</v>
      </c>
      <c r="Q390" s="154">
        <f t="shared" si="32"/>
        <v>0</v>
      </c>
      <c r="R390" s="153">
        <f t="shared" si="33"/>
        <v>0</v>
      </c>
      <c r="S390" s="154">
        <f t="shared" si="34"/>
        <v>0</v>
      </c>
      <c r="T390" s="156" t="e">
        <f>+VLOOKUP($L390,Data_Validation!$A:$D,1,0)</f>
        <v>#N/A</v>
      </c>
      <c r="U390" s="156" t="e">
        <f>+VLOOKUP($L390,Data_Validation!$A:$D,3,0)</f>
        <v>#N/A</v>
      </c>
      <c r="V390" s="156" t="e">
        <f>+VLOOKUP($L390,Data_Validation!$A:$D,4,0)</f>
        <v>#N/A</v>
      </c>
      <c r="W390" s="156" t="e">
        <f>+VLOOKUP($L390,Data_Validation!$A:$E,5,0)</f>
        <v>#N/A</v>
      </c>
      <c r="X390" s="156" t="e">
        <f>+VLOOKUP($L390,Data_Validation!$A:$F,6,0)</f>
        <v>#N/A</v>
      </c>
    </row>
    <row r="391" spans="1:24" ht="15.75" hidden="1" customHeight="1">
      <c r="A391" s="1163"/>
      <c r="B391" s="1164"/>
      <c r="C391" s="1165"/>
      <c r="D391" s="1165"/>
      <c r="E391" s="1165"/>
      <c r="F391" s="1163"/>
      <c r="G391" s="1163"/>
      <c r="H391" s="1168"/>
      <c r="I391" s="1174"/>
      <c r="J391" s="1174"/>
      <c r="K391" s="1174"/>
      <c r="L391" s="153">
        <f t="shared" si="30"/>
        <v>0</v>
      </c>
      <c r="M391" s="154">
        <f t="shared" si="31"/>
        <v>0</v>
      </c>
      <c r="N391" s="155">
        <f>+IF(OR($Q391=Parametres!$G$2,$Q391=Parametres!$G$3),I391,C391)</f>
        <v>0</v>
      </c>
      <c r="O391" s="1108">
        <f>+IF(OR($Q391=Parametres!$G$2,$Q391=Parametres!$G$3),J391,D391)</f>
        <v>0</v>
      </c>
      <c r="P391" s="155">
        <f>+IF(OR($Q391=Parametres!$G$2,$Q391=Parametres!$G$3),K391,E391)</f>
        <v>0</v>
      </c>
      <c r="Q391" s="154">
        <f t="shared" si="32"/>
        <v>0</v>
      </c>
      <c r="R391" s="153">
        <f t="shared" si="33"/>
        <v>0</v>
      </c>
      <c r="S391" s="154">
        <f t="shared" si="34"/>
        <v>0</v>
      </c>
      <c r="T391" s="156" t="e">
        <f>+VLOOKUP($L391,Data_Validation!$A:$D,1,0)</f>
        <v>#N/A</v>
      </c>
      <c r="U391" s="156" t="e">
        <f>+VLOOKUP($L391,Data_Validation!$A:$D,3,0)</f>
        <v>#N/A</v>
      </c>
      <c r="V391" s="156" t="e">
        <f>+VLOOKUP($L391,Data_Validation!$A:$D,4,0)</f>
        <v>#N/A</v>
      </c>
      <c r="W391" s="156" t="e">
        <f>+VLOOKUP($L391,Data_Validation!$A:$E,5,0)</f>
        <v>#N/A</v>
      </c>
      <c r="X391" s="156" t="e">
        <f>+VLOOKUP($L391,Data_Validation!$A:$F,6,0)</f>
        <v>#N/A</v>
      </c>
    </row>
    <row r="392" spans="1:24" ht="15" hidden="1" customHeight="1">
      <c r="A392" s="1163"/>
      <c r="B392" s="1164"/>
      <c r="C392" s="1165"/>
      <c r="D392" s="1165"/>
      <c r="E392" s="1165"/>
      <c r="F392" s="1163"/>
      <c r="G392" s="1163"/>
      <c r="H392" s="1168"/>
      <c r="I392" s="1170"/>
      <c r="J392" s="1170"/>
      <c r="K392" s="1170"/>
      <c r="L392" s="153">
        <f t="shared" si="30"/>
        <v>0</v>
      </c>
      <c r="M392" s="154">
        <f t="shared" si="31"/>
        <v>0</v>
      </c>
      <c r="N392" s="155">
        <f>+IF(OR($Q392=Parametres!$G$2,$Q392=Parametres!$G$3),I392,C392)</f>
        <v>0</v>
      </c>
      <c r="O392" s="1108">
        <f>+IF(OR($Q392=Parametres!$G$2,$Q392=Parametres!$G$3),J392,D392)</f>
        <v>0</v>
      </c>
      <c r="P392" s="155">
        <f>+IF(OR($Q392=Parametres!$G$2,$Q392=Parametres!$G$3),K392,E392)</f>
        <v>0</v>
      </c>
      <c r="Q392" s="154">
        <f t="shared" si="32"/>
        <v>0</v>
      </c>
      <c r="R392" s="153">
        <f t="shared" si="33"/>
        <v>0</v>
      </c>
      <c r="S392" s="154">
        <f t="shared" si="34"/>
        <v>0</v>
      </c>
      <c r="T392" s="156" t="e">
        <f>+VLOOKUP($L392,Data_Validation!$A:$D,1,0)</f>
        <v>#N/A</v>
      </c>
      <c r="U392" s="156" t="e">
        <f>+VLOOKUP($L392,Data_Validation!$A:$D,3,0)</f>
        <v>#N/A</v>
      </c>
      <c r="V392" s="156" t="e">
        <f>+VLOOKUP($L392,Data_Validation!$A:$D,4,0)</f>
        <v>#N/A</v>
      </c>
      <c r="W392" s="156" t="e">
        <f>+VLOOKUP($L392,Data_Validation!$A:$E,5,0)</f>
        <v>#N/A</v>
      </c>
      <c r="X392" s="156" t="e">
        <f>+VLOOKUP($L392,Data_Validation!$A:$F,6,0)</f>
        <v>#N/A</v>
      </c>
    </row>
    <row r="393" spans="1:24" ht="15" hidden="1" customHeight="1">
      <c r="A393" s="1163"/>
      <c r="B393" s="1164"/>
      <c r="C393" s="1165"/>
      <c r="D393" s="1165"/>
      <c r="E393" s="1165"/>
      <c r="F393" s="1163"/>
      <c r="G393" s="1163"/>
      <c r="H393" s="1168"/>
      <c r="I393" s="1174"/>
      <c r="J393" s="1174"/>
      <c r="K393" s="1174"/>
      <c r="L393" s="153">
        <f t="shared" si="30"/>
        <v>0</v>
      </c>
      <c r="M393" s="154">
        <f t="shared" si="31"/>
        <v>0</v>
      </c>
      <c r="N393" s="155">
        <f>+IF(OR($Q393=Parametres!$G$2,$Q393=Parametres!$G$3),I393,C393)</f>
        <v>0</v>
      </c>
      <c r="O393" s="1108">
        <f>+IF(OR($Q393=Parametres!$G$2,$Q393=Parametres!$G$3),J393,D393)</f>
        <v>0</v>
      </c>
      <c r="P393" s="155">
        <f>+IF(OR($Q393=Parametres!$G$2,$Q393=Parametres!$G$3),K393,E393)</f>
        <v>0</v>
      </c>
      <c r="Q393" s="154">
        <f t="shared" si="32"/>
        <v>0</v>
      </c>
      <c r="R393" s="153">
        <f t="shared" si="33"/>
        <v>0</v>
      </c>
      <c r="S393" s="154">
        <f t="shared" si="34"/>
        <v>0</v>
      </c>
      <c r="T393" s="156" t="e">
        <f>+VLOOKUP($L393,Data_Validation!$A:$D,1,0)</f>
        <v>#N/A</v>
      </c>
      <c r="U393" s="156" t="e">
        <f>+VLOOKUP($L393,Data_Validation!$A:$D,3,0)</f>
        <v>#N/A</v>
      </c>
      <c r="V393" s="156" t="e">
        <f>+VLOOKUP($L393,Data_Validation!$A:$D,4,0)</f>
        <v>#N/A</v>
      </c>
      <c r="W393" s="156" t="e">
        <f>+VLOOKUP($L393,Data_Validation!$A:$E,5,0)</f>
        <v>#N/A</v>
      </c>
      <c r="X393" s="156" t="e">
        <f>+VLOOKUP($L393,Data_Validation!$A:$F,6,0)</f>
        <v>#N/A</v>
      </c>
    </row>
    <row r="394" spans="1:24" ht="15" hidden="1" customHeight="1">
      <c r="A394" s="1163"/>
      <c r="B394" s="1164"/>
      <c r="C394" s="1165"/>
      <c r="D394" s="1165"/>
      <c r="E394" s="1165"/>
      <c r="F394" s="1163"/>
      <c r="G394" s="1163"/>
      <c r="H394" s="1168"/>
      <c r="I394" s="1170"/>
      <c r="J394" s="1170"/>
      <c r="K394" s="1170"/>
      <c r="L394" s="153">
        <f t="shared" si="30"/>
        <v>0</v>
      </c>
      <c r="M394" s="154">
        <f t="shared" si="31"/>
        <v>0</v>
      </c>
      <c r="N394" s="155">
        <f>+IF(OR($Q394=Parametres!$G$2,$Q394=Parametres!$G$3),I394,C394)</f>
        <v>0</v>
      </c>
      <c r="O394" s="1108">
        <f>+IF(OR($Q394=Parametres!$G$2,$Q394=Parametres!$G$3),J394,D394)</f>
        <v>0</v>
      </c>
      <c r="P394" s="155">
        <f>+IF(OR($Q394=Parametres!$G$2,$Q394=Parametres!$G$3),K394,E394)</f>
        <v>0</v>
      </c>
      <c r="Q394" s="154">
        <f t="shared" si="32"/>
        <v>0</v>
      </c>
      <c r="R394" s="153">
        <f t="shared" si="33"/>
        <v>0</v>
      </c>
      <c r="S394" s="154">
        <f t="shared" si="34"/>
        <v>0</v>
      </c>
      <c r="T394" s="156" t="e">
        <f>+VLOOKUP($L394,Data_Validation!$A:$D,1,0)</f>
        <v>#N/A</v>
      </c>
      <c r="U394" s="156" t="e">
        <f>+VLOOKUP($L394,Data_Validation!$A:$D,3,0)</f>
        <v>#N/A</v>
      </c>
      <c r="V394" s="156" t="e">
        <f>+VLOOKUP($L394,Data_Validation!$A:$D,4,0)</f>
        <v>#N/A</v>
      </c>
      <c r="W394" s="156" t="e">
        <f>+VLOOKUP($L394,Data_Validation!$A:$E,5,0)</f>
        <v>#N/A</v>
      </c>
      <c r="X394" s="156" t="e">
        <f>+VLOOKUP($L394,Data_Validation!$A:$F,6,0)</f>
        <v>#N/A</v>
      </c>
    </row>
    <row r="395" spans="1:24" ht="15.75" hidden="1" customHeight="1">
      <c r="A395" s="1163"/>
      <c r="B395" s="1164"/>
      <c r="C395" s="1165"/>
      <c r="D395" s="1165"/>
      <c r="E395" s="1165"/>
      <c r="F395" s="1163"/>
      <c r="G395" s="1163"/>
      <c r="H395" s="1168"/>
      <c r="I395" s="1174"/>
      <c r="J395" s="1174"/>
      <c r="K395" s="1174"/>
      <c r="L395" s="153">
        <f t="shared" si="30"/>
        <v>0</v>
      </c>
      <c r="M395" s="154">
        <f t="shared" si="31"/>
        <v>0</v>
      </c>
      <c r="N395" s="155">
        <f>+IF(OR($Q395=Parametres!$G$2,$Q395=Parametres!$G$3),I395,C395)</f>
        <v>0</v>
      </c>
      <c r="O395" s="1108">
        <f>+IF(OR($Q395=Parametres!$G$2,$Q395=Parametres!$G$3),J395,D395)</f>
        <v>0</v>
      </c>
      <c r="P395" s="155">
        <f>+IF(OR($Q395=Parametres!$G$2,$Q395=Parametres!$G$3),K395,E395)</f>
        <v>0</v>
      </c>
      <c r="Q395" s="154">
        <f t="shared" si="32"/>
        <v>0</v>
      </c>
      <c r="R395" s="153">
        <f t="shared" si="33"/>
        <v>0</v>
      </c>
      <c r="S395" s="154">
        <f t="shared" si="34"/>
        <v>0</v>
      </c>
      <c r="T395" s="156" t="e">
        <f>+VLOOKUP($L395,Data_Validation!$A:$D,1,0)</f>
        <v>#N/A</v>
      </c>
      <c r="U395" s="156" t="e">
        <f>+VLOOKUP($L395,Data_Validation!$A:$D,3,0)</f>
        <v>#N/A</v>
      </c>
      <c r="V395" s="156" t="e">
        <f>+VLOOKUP($L395,Data_Validation!$A:$D,4,0)</f>
        <v>#N/A</v>
      </c>
      <c r="W395" s="156" t="e">
        <f>+VLOOKUP($L395,Data_Validation!$A:$E,5,0)</f>
        <v>#N/A</v>
      </c>
      <c r="X395" s="156" t="e">
        <f>+VLOOKUP($L395,Data_Validation!$A:$F,6,0)</f>
        <v>#N/A</v>
      </c>
    </row>
    <row r="396" spans="1:24" ht="15" hidden="1" customHeight="1">
      <c r="A396" s="1163"/>
      <c r="B396" s="1164"/>
      <c r="C396" s="1165"/>
      <c r="D396" s="1165"/>
      <c r="E396" s="1165"/>
      <c r="F396" s="1163"/>
      <c r="G396" s="1163"/>
      <c r="H396" s="1168"/>
      <c r="I396" s="1170"/>
      <c r="J396" s="1170"/>
      <c r="K396" s="1170"/>
      <c r="L396" s="153">
        <f t="shared" si="30"/>
        <v>0</v>
      </c>
      <c r="M396" s="154">
        <f t="shared" si="31"/>
        <v>0</v>
      </c>
      <c r="N396" s="155">
        <f>+IF(OR($Q396=Parametres!$G$2,$Q396=Parametres!$G$3),I396,C396)</f>
        <v>0</v>
      </c>
      <c r="O396" s="1108">
        <f>+IF(OR($Q396=Parametres!$G$2,$Q396=Parametres!$G$3),J396,D396)</f>
        <v>0</v>
      </c>
      <c r="P396" s="155">
        <f>+IF(OR($Q396=Parametres!$G$2,$Q396=Parametres!$G$3),K396,E396)</f>
        <v>0</v>
      </c>
      <c r="Q396" s="154">
        <f t="shared" si="32"/>
        <v>0</v>
      </c>
      <c r="R396" s="153">
        <f t="shared" si="33"/>
        <v>0</v>
      </c>
      <c r="S396" s="154">
        <f t="shared" si="34"/>
        <v>0</v>
      </c>
      <c r="T396" s="156" t="e">
        <f>+VLOOKUP($L396,Data_Validation!$A:$D,1,0)</f>
        <v>#N/A</v>
      </c>
      <c r="U396" s="156" t="e">
        <f>+VLOOKUP($L396,Data_Validation!$A:$D,3,0)</f>
        <v>#N/A</v>
      </c>
      <c r="V396" s="156" t="e">
        <f>+VLOOKUP($L396,Data_Validation!$A:$D,4,0)</f>
        <v>#N/A</v>
      </c>
      <c r="W396" s="156" t="e">
        <f>+VLOOKUP($L396,Data_Validation!$A:$E,5,0)</f>
        <v>#N/A</v>
      </c>
      <c r="X396" s="156" t="e">
        <f>+VLOOKUP($L396,Data_Validation!$A:$F,6,0)</f>
        <v>#N/A</v>
      </c>
    </row>
    <row r="397" spans="1:24" ht="15" hidden="1" customHeight="1">
      <c r="A397" s="1163"/>
      <c r="B397" s="1164"/>
      <c r="C397" s="1165"/>
      <c r="D397" s="1165"/>
      <c r="E397" s="1165"/>
      <c r="F397" s="1163"/>
      <c r="G397" s="1163"/>
      <c r="H397" s="1168"/>
      <c r="I397" s="1180"/>
      <c r="J397" s="1180"/>
      <c r="K397" s="1180"/>
      <c r="L397" s="153">
        <f t="shared" si="30"/>
        <v>0</v>
      </c>
      <c r="M397" s="154">
        <f t="shared" si="31"/>
        <v>0</v>
      </c>
      <c r="N397" s="155">
        <f>+IF(OR($Q397=Parametres!$G$2,$Q397=Parametres!$G$3),I397,C397)</f>
        <v>0</v>
      </c>
      <c r="O397" s="1106">
        <f>+IF(OR($Q397=Parametres!$G$2,$Q397=Parametres!$G$3),J397,D397)</f>
        <v>0</v>
      </c>
      <c r="P397" s="155">
        <f>+IF(OR($Q397=Parametres!$G$2,$Q397=Parametres!$G$3),K397,E397)</f>
        <v>0</v>
      </c>
      <c r="Q397" s="154">
        <f t="shared" si="32"/>
        <v>0</v>
      </c>
      <c r="R397" s="153">
        <f t="shared" si="33"/>
        <v>0</v>
      </c>
      <c r="S397" s="154">
        <f t="shared" si="34"/>
        <v>0</v>
      </c>
      <c r="T397" s="156" t="e">
        <f>+VLOOKUP($L397,Data_Validation!$A:$D,1,0)</f>
        <v>#N/A</v>
      </c>
      <c r="U397" s="156" t="e">
        <f>+VLOOKUP($L397,Data_Validation!$A:$D,3,0)</f>
        <v>#N/A</v>
      </c>
      <c r="V397" s="156" t="e">
        <f>+VLOOKUP($L397,Data_Validation!$A:$D,4,0)</f>
        <v>#N/A</v>
      </c>
      <c r="W397" s="156" t="e">
        <f>+VLOOKUP($L397,Data_Validation!$A:$E,5,0)</f>
        <v>#N/A</v>
      </c>
      <c r="X397" s="156" t="e">
        <f>+VLOOKUP($L397,Data_Validation!$A:$F,6,0)</f>
        <v>#N/A</v>
      </c>
    </row>
    <row r="398" spans="1:24" ht="15" hidden="1" customHeight="1">
      <c r="A398" s="1163"/>
      <c r="B398" s="1164"/>
      <c r="C398" s="1165"/>
      <c r="D398" s="1165"/>
      <c r="E398" s="1165"/>
      <c r="F398" s="1163"/>
      <c r="G398" s="1163"/>
      <c r="H398" s="1168"/>
      <c r="I398" s="1170"/>
      <c r="J398" s="1170"/>
      <c r="K398" s="1170"/>
      <c r="L398" s="153">
        <f t="shared" si="30"/>
        <v>0</v>
      </c>
      <c r="M398" s="154">
        <f t="shared" si="31"/>
        <v>0</v>
      </c>
      <c r="N398" s="155">
        <f>+IF(OR($Q398=Parametres!$G$2,$Q398=Parametres!$G$3),I398,C398)</f>
        <v>0</v>
      </c>
      <c r="O398" s="1108">
        <f>+IF(OR($Q398=Parametres!$G$2,$Q398=Parametres!$G$3),J398,D398)</f>
        <v>0</v>
      </c>
      <c r="P398" s="155">
        <f>+IF(OR($Q398=Parametres!$G$2,$Q398=Parametres!$G$3),K398,E398)</f>
        <v>0</v>
      </c>
      <c r="Q398" s="154">
        <f t="shared" si="32"/>
        <v>0</v>
      </c>
      <c r="R398" s="153">
        <f t="shared" si="33"/>
        <v>0</v>
      </c>
      <c r="S398" s="154">
        <f t="shared" si="34"/>
        <v>0</v>
      </c>
      <c r="T398" s="156" t="e">
        <f>+VLOOKUP($L398,Data_Validation!$A:$D,1,0)</f>
        <v>#N/A</v>
      </c>
      <c r="U398" s="156" t="e">
        <f>+VLOOKUP($L398,Data_Validation!$A:$D,3,0)</f>
        <v>#N/A</v>
      </c>
      <c r="V398" s="156" t="e">
        <f>+VLOOKUP($L398,Data_Validation!$A:$D,4,0)</f>
        <v>#N/A</v>
      </c>
      <c r="W398" s="156" t="e">
        <f>+VLOOKUP($L398,Data_Validation!$A:$E,5,0)</f>
        <v>#N/A</v>
      </c>
      <c r="X398" s="156" t="e">
        <f>+VLOOKUP($L398,Data_Validation!$A:$F,6,0)</f>
        <v>#N/A</v>
      </c>
    </row>
    <row r="399" spans="1:24" ht="15.75" hidden="1" customHeight="1">
      <c r="A399" s="1163"/>
      <c r="B399" s="1164"/>
      <c r="C399" s="1165"/>
      <c r="D399" s="1165"/>
      <c r="E399" s="1165"/>
      <c r="F399" s="1163"/>
      <c r="G399" s="1163"/>
      <c r="H399" s="1168"/>
      <c r="I399" s="1174"/>
      <c r="J399" s="1174"/>
      <c r="K399" s="1174"/>
      <c r="L399" s="153">
        <f t="shared" si="30"/>
        <v>0</v>
      </c>
      <c r="M399" s="154">
        <f t="shared" si="31"/>
        <v>0</v>
      </c>
      <c r="N399" s="155">
        <f>+IF(OR($Q399=Parametres!$G$2,$Q399=Parametres!$G$3),I399,C399)</f>
        <v>0</v>
      </c>
      <c r="O399" s="1108">
        <f>+IF(OR($Q399=Parametres!$G$2,$Q399=Parametres!$G$3),J399,D399)</f>
        <v>0</v>
      </c>
      <c r="P399" s="155">
        <f>+IF(OR($Q399=Parametres!$G$2,$Q399=Parametres!$G$3),K399,E399)</f>
        <v>0</v>
      </c>
      <c r="Q399" s="154">
        <f t="shared" si="32"/>
        <v>0</v>
      </c>
      <c r="R399" s="153">
        <f t="shared" si="33"/>
        <v>0</v>
      </c>
      <c r="S399" s="154">
        <f t="shared" si="34"/>
        <v>0</v>
      </c>
      <c r="T399" s="156" t="e">
        <f>+VLOOKUP($L399,Data_Validation!$A:$D,1,0)</f>
        <v>#N/A</v>
      </c>
      <c r="U399" s="156" t="e">
        <f>+VLOOKUP($L399,Data_Validation!$A:$D,3,0)</f>
        <v>#N/A</v>
      </c>
      <c r="V399" s="156" t="e">
        <f>+VLOOKUP($L399,Data_Validation!$A:$D,4,0)</f>
        <v>#N/A</v>
      </c>
      <c r="W399" s="156" t="e">
        <f>+VLOOKUP($L399,Data_Validation!$A:$E,5,0)</f>
        <v>#N/A</v>
      </c>
      <c r="X399" s="156" t="e">
        <f>+VLOOKUP($L399,Data_Validation!$A:$F,6,0)</f>
        <v>#N/A</v>
      </c>
    </row>
    <row r="400" spans="1:24" ht="15" hidden="1" customHeight="1">
      <c r="A400" s="1163"/>
      <c r="B400" s="1164"/>
      <c r="C400" s="1165"/>
      <c r="D400" s="1165"/>
      <c r="E400" s="1165"/>
      <c r="F400" s="1163"/>
      <c r="G400" s="1163"/>
      <c r="H400" s="1168"/>
      <c r="I400" s="1170"/>
      <c r="J400" s="1170"/>
      <c r="K400" s="1170"/>
      <c r="L400" s="153">
        <f t="shared" si="30"/>
        <v>0</v>
      </c>
      <c r="M400" s="154">
        <f t="shared" si="31"/>
        <v>0</v>
      </c>
      <c r="N400" s="155">
        <f>+IF(OR($Q400=Parametres!$G$2,$Q400=Parametres!$G$3),I400,C400)</f>
        <v>0</v>
      </c>
      <c r="O400" s="1108">
        <f>+IF(OR($Q400=Parametres!$G$2,$Q400=Parametres!$G$3),J400,D400)</f>
        <v>0</v>
      </c>
      <c r="P400" s="155">
        <f>+IF(OR($Q400=Parametres!$G$2,$Q400=Parametres!$G$3),K400,E400)</f>
        <v>0</v>
      </c>
      <c r="Q400" s="154">
        <f t="shared" si="32"/>
        <v>0</v>
      </c>
      <c r="R400" s="153">
        <f t="shared" si="33"/>
        <v>0</v>
      </c>
      <c r="S400" s="154">
        <f t="shared" si="34"/>
        <v>0</v>
      </c>
      <c r="T400" s="156" t="e">
        <f>+VLOOKUP($L400,Data_Validation!$A:$D,1,0)</f>
        <v>#N/A</v>
      </c>
      <c r="U400" s="156" t="e">
        <f>+VLOOKUP($L400,Data_Validation!$A:$D,3,0)</f>
        <v>#N/A</v>
      </c>
      <c r="V400" s="156" t="e">
        <f>+VLOOKUP($L400,Data_Validation!$A:$D,4,0)</f>
        <v>#N/A</v>
      </c>
      <c r="W400" s="156" t="e">
        <f>+VLOOKUP($L400,Data_Validation!$A:$E,5,0)</f>
        <v>#N/A</v>
      </c>
      <c r="X400" s="156" t="e">
        <f>+VLOOKUP($L400,Data_Validation!$A:$F,6,0)</f>
        <v>#N/A</v>
      </c>
    </row>
    <row r="401" spans="1:24" ht="15" hidden="1" customHeight="1">
      <c r="A401" s="1163"/>
      <c r="B401" s="1164"/>
      <c r="C401" s="1165"/>
      <c r="D401" s="1165"/>
      <c r="E401" s="1165"/>
      <c r="F401" s="1163"/>
      <c r="G401" s="1163"/>
      <c r="H401" s="1168"/>
      <c r="I401" s="1174"/>
      <c r="J401" s="1174"/>
      <c r="K401" s="1174"/>
      <c r="L401" s="153">
        <f t="shared" si="30"/>
        <v>0</v>
      </c>
      <c r="M401" s="154">
        <f t="shared" si="31"/>
        <v>0</v>
      </c>
      <c r="N401" s="155">
        <f>+IF(OR($Q401=Parametres!$G$2,$Q401=Parametres!$G$3),I401,C401)</f>
        <v>0</v>
      </c>
      <c r="O401" s="1108">
        <f>+IF(OR($Q401=Parametres!$G$2,$Q401=Parametres!$G$3),J401,D401)</f>
        <v>0</v>
      </c>
      <c r="P401" s="155">
        <f>+IF(OR($Q401=Parametres!$G$2,$Q401=Parametres!$G$3),K401,E401)</f>
        <v>0</v>
      </c>
      <c r="Q401" s="154">
        <f t="shared" si="32"/>
        <v>0</v>
      </c>
      <c r="R401" s="153">
        <f t="shared" si="33"/>
        <v>0</v>
      </c>
      <c r="S401" s="154">
        <f t="shared" si="34"/>
        <v>0</v>
      </c>
      <c r="T401" s="156" t="e">
        <f>+VLOOKUP($L401,Data_Validation!$A:$D,1,0)</f>
        <v>#N/A</v>
      </c>
      <c r="U401" s="156" t="e">
        <f>+VLOOKUP($L401,Data_Validation!$A:$D,3,0)</f>
        <v>#N/A</v>
      </c>
      <c r="V401" s="156" t="e">
        <f>+VLOOKUP($L401,Data_Validation!$A:$D,4,0)</f>
        <v>#N/A</v>
      </c>
      <c r="W401" s="156" t="e">
        <f>+VLOOKUP($L401,Data_Validation!$A:$E,5,0)</f>
        <v>#N/A</v>
      </c>
      <c r="X401" s="156" t="e">
        <f>+VLOOKUP($L401,Data_Validation!$A:$F,6,0)</f>
        <v>#N/A</v>
      </c>
    </row>
    <row r="402" spans="1:24" ht="15" hidden="1" customHeight="1">
      <c r="A402" s="1163"/>
      <c r="B402" s="1164"/>
      <c r="C402" s="1165"/>
      <c r="D402" s="1165"/>
      <c r="E402" s="1165"/>
      <c r="F402" s="1163"/>
      <c r="G402" s="1163"/>
      <c r="H402" s="1175"/>
      <c r="I402" s="1178"/>
      <c r="J402" s="1178"/>
      <c r="K402" s="1178"/>
      <c r="L402" s="153">
        <f t="shared" si="30"/>
        <v>0</v>
      </c>
      <c r="M402" s="154">
        <f t="shared" si="31"/>
        <v>0</v>
      </c>
      <c r="N402" s="155">
        <f>+IF(OR($Q402=Parametres!$G$2,$Q402=Parametres!$G$3),I402,C402)</f>
        <v>0</v>
      </c>
      <c r="O402" s="1106">
        <f>+IF(OR($Q402=Parametres!$G$2,$Q402=Parametres!$G$3),J402,D402)</f>
        <v>0</v>
      </c>
      <c r="P402" s="155">
        <f>+IF(OR($Q402=Parametres!$G$2,$Q402=Parametres!$G$3),K402,E402)</f>
        <v>0</v>
      </c>
      <c r="Q402" s="154">
        <f t="shared" si="32"/>
        <v>0</v>
      </c>
      <c r="R402" s="153">
        <f t="shared" si="33"/>
        <v>0</v>
      </c>
      <c r="S402" s="154">
        <f t="shared" si="34"/>
        <v>0</v>
      </c>
      <c r="T402" s="156" t="e">
        <f>+VLOOKUP($L402,Data_Validation!$A:$D,1,0)</f>
        <v>#N/A</v>
      </c>
      <c r="U402" s="156" t="e">
        <f>+VLOOKUP($L402,Data_Validation!$A:$D,3,0)</f>
        <v>#N/A</v>
      </c>
      <c r="V402" s="156" t="e">
        <f>+VLOOKUP($L402,Data_Validation!$A:$D,4,0)</f>
        <v>#N/A</v>
      </c>
      <c r="W402" s="156" t="e">
        <f>+VLOOKUP($L402,Data_Validation!$A:$E,5,0)</f>
        <v>#N/A</v>
      </c>
      <c r="X402" s="156" t="e">
        <f>+VLOOKUP($L402,Data_Validation!$A:$F,6,0)</f>
        <v>#N/A</v>
      </c>
    </row>
    <row r="403" spans="1:24" ht="15.75" hidden="1" customHeight="1">
      <c r="A403" s="1163"/>
      <c r="B403" s="1164"/>
      <c r="C403" s="1165"/>
      <c r="D403" s="1165"/>
      <c r="E403" s="1165"/>
      <c r="F403" s="1163"/>
      <c r="G403" s="1163"/>
      <c r="H403" s="1168"/>
      <c r="I403" s="1170"/>
      <c r="J403" s="1170"/>
      <c r="K403" s="1170"/>
      <c r="L403" s="153">
        <f t="shared" si="30"/>
        <v>0</v>
      </c>
      <c r="M403" s="154">
        <f t="shared" si="31"/>
        <v>0</v>
      </c>
      <c r="N403" s="155">
        <f>+IF(OR($Q403=Parametres!$G$2,$Q403=Parametres!$G$3),I403,C403)</f>
        <v>0</v>
      </c>
      <c r="O403" s="1108">
        <f>+IF(OR($Q403=Parametres!$G$2,$Q403=Parametres!$G$3),J403,D403)</f>
        <v>0</v>
      </c>
      <c r="P403" s="155">
        <f>+IF(OR($Q403=Parametres!$G$2,$Q403=Parametres!$G$3),K403,E403)</f>
        <v>0</v>
      </c>
      <c r="Q403" s="154">
        <f t="shared" si="32"/>
        <v>0</v>
      </c>
      <c r="R403" s="153">
        <f t="shared" si="33"/>
        <v>0</v>
      </c>
      <c r="S403" s="154">
        <f t="shared" si="34"/>
        <v>0</v>
      </c>
      <c r="T403" s="156" t="e">
        <f>+VLOOKUP($L403,Data_Validation!$A:$D,1,0)</f>
        <v>#N/A</v>
      </c>
      <c r="U403" s="156" t="e">
        <f>+VLOOKUP($L403,Data_Validation!$A:$D,3,0)</f>
        <v>#N/A</v>
      </c>
      <c r="V403" s="156" t="e">
        <f>+VLOOKUP($L403,Data_Validation!$A:$D,4,0)</f>
        <v>#N/A</v>
      </c>
      <c r="W403" s="156" t="e">
        <f>+VLOOKUP($L403,Data_Validation!$A:$E,5,0)</f>
        <v>#N/A</v>
      </c>
      <c r="X403" s="156" t="e">
        <f>+VLOOKUP($L403,Data_Validation!$A:$F,6,0)</f>
        <v>#N/A</v>
      </c>
    </row>
    <row r="404" spans="1:24" ht="15" hidden="1" customHeight="1">
      <c r="A404" s="1163"/>
      <c r="B404" s="1164"/>
      <c r="C404" s="1165"/>
      <c r="D404" s="1165"/>
      <c r="E404" s="1165"/>
      <c r="F404" s="1163"/>
      <c r="G404" s="1163"/>
      <c r="H404" s="1168"/>
      <c r="I404" s="1174"/>
      <c r="J404" s="1174"/>
      <c r="K404" s="1174"/>
      <c r="L404" s="153">
        <f t="shared" si="30"/>
        <v>0</v>
      </c>
      <c r="M404" s="154">
        <f t="shared" si="31"/>
        <v>0</v>
      </c>
      <c r="N404" s="155">
        <f>+IF(OR($Q404=Parametres!$G$2,$Q404=Parametres!$G$3),I404,C404)</f>
        <v>0</v>
      </c>
      <c r="O404" s="1108">
        <f>+IF(OR($Q404=Parametres!$G$2,$Q404=Parametres!$G$3),J404,D404)</f>
        <v>0</v>
      </c>
      <c r="P404" s="155">
        <f>+IF(OR($Q404=Parametres!$G$2,$Q404=Parametres!$G$3),K404,E404)</f>
        <v>0</v>
      </c>
      <c r="Q404" s="154">
        <f t="shared" si="32"/>
        <v>0</v>
      </c>
      <c r="R404" s="153">
        <f t="shared" si="33"/>
        <v>0</v>
      </c>
      <c r="S404" s="154">
        <f t="shared" si="34"/>
        <v>0</v>
      </c>
      <c r="T404" s="156" t="e">
        <f>+VLOOKUP($L404,Data_Validation!$A:$D,1,0)</f>
        <v>#N/A</v>
      </c>
      <c r="U404" s="156" t="e">
        <f>+VLOOKUP($L404,Data_Validation!$A:$D,3,0)</f>
        <v>#N/A</v>
      </c>
      <c r="V404" s="156" t="e">
        <f>+VLOOKUP($L404,Data_Validation!$A:$D,4,0)</f>
        <v>#N/A</v>
      </c>
      <c r="W404" s="156" t="e">
        <f>+VLOOKUP($L404,Data_Validation!$A:$E,5,0)</f>
        <v>#N/A</v>
      </c>
      <c r="X404" s="156" t="e">
        <f>+VLOOKUP($L404,Data_Validation!$A:$F,6,0)</f>
        <v>#N/A</v>
      </c>
    </row>
    <row r="405" spans="1:24" ht="15" hidden="1" customHeight="1">
      <c r="A405" s="1163"/>
      <c r="B405" s="1164"/>
      <c r="C405" s="1165"/>
      <c r="D405" s="1165"/>
      <c r="E405" s="1165"/>
      <c r="F405" s="1163"/>
      <c r="G405" s="1163"/>
      <c r="H405" s="1168"/>
      <c r="I405" s="1170"/>
      <c r="J405" s="1170"/>
      <c r="K405" s="1170"/>
      <c r="L405" s="153">
        <f t="shared" si="30"/>
        <v>0</v>
      </c>
      <c r="M405" s="154">
        <f t="shared" si="31"/>
        <v>0</v>
      </c>
      <c r="N405" s="155">
        <f>+IF(OR($Q405=Parametres!$G$2,$Q405=Parametres!$G$3),I405,C405)</f>
        <v>0</v>
      </c>
      <c r="O405" s="1108">
        <f>+IF(OR($Q405=Parametres!$G$2,$Q405=Parametres!$G$3),J405,D405)</f>
        <v>0</v>
      </c>
      <c r="P405" s="155">
        <f>+IF(OR($Q405=Parametres!$G$2,$Q405=Parametres!$G$3),K405,E405)</f>
        <v>0</v>
      </c>
      <c r="Q405" s="154">
        <f t="shared" si="32"/>
        <v>0</v>
      </c>
      <c r="R405" s="153">
        <f t="shared" si="33"/>
        <v>0</v>
      </c>
      <c r="S405" s="154">
        <f t="shared" si="34"/>
        <v>0</v>
      </c>
      <c r="T405" s="156" t="e">
        <f>+VLOOKUP($L405,Data_Validation!$A:$D,1,0)</f>
        <v>#N/A</v>
      </c>
      <c r="U405" s="156" t="e">
        <f>+VLOOKUP($L405,Data_Validation!$A:$D,3,0)</f>
        <v>#N/A</v>
      </c>
      <c r="V405" s="156" t="e">
        <f>+VLOOKUP($L405,Data_Validation!$A:$D,4,0)</f>
        <v>#N/A</v>
      </c>
      <c r="W405" s="156" t="e">
        <f>+VLOOKUP($L405,Data_Validation!$A:$E,5,0)</f>
        <v>#N/A</v>
      </c>
      <c r="X405" s="156" t="e">
        <f>+VLOOKUP($L405,Data_Validation!$A:$F,6,0)</f>
        <v>#N/A</v>
      </c>
    </row>
    <row r="406" spans="1:24" ht="15" hidden="1" customHeight="1">
      <c r="A406" s="1163"/>
      <c r="B406" s="1164"/>
      <c r="C406" s="1165"/>
      <c r="D406" s="1165"/>
      <c r="E406" s="1165"/>
      <c r="F406" s="1163"/>
      <c r="G406" s="1163"/>
      <c r="H406" s="1168"/>
      <c r="I406" s="1174"/>
      <c r="J406" s="1174"/>
      <c r="K406" s="1174"/>
      <c r="L406" s="153">
        <f t="shared" si="30"/>
        <v>0</v>
      </c>
      <c r="M406" s="154">
        <f t="shared" si="31"/>
        <v>0</v>
      </c>
      <c r="N406" s="155">
        <f>+IF(OR($Q406=Parametres!$G$2,$Q406=Parametres!$G$3),I406,C406)</f>
        <v>0</v>
      </c>
      <c r="O406" s="1108">
        <f>+IF(OR($Q406=Parametres!$G$2,$Q406=Parametres!$G$3),J406,D406)</f>
        <v>0</v>
      </c>
      <c r="P406" s="155">
        <f>+IF(OR($Q406=Parametres!$G$2,$Q406=Parametres!$G$3),K406,E406)</f>
        <v>0</v>
      </c>
      <c r="Q406" s="154">
        <f t="shared" si="32"/>
        <v>0</v>
      </c>
      <c r="R406" s="153">
        <f t="shared" si="33"/>
        <v>0</v>
      </c>
      <c r="S406" s="154">
        <f t="shared" si="34"/>
        <v>0</v>
      </c>
      <c r="T406" s="156" t="e">
        <f>+VLOOKUP($L406,Data_Validation!$A:$D,1,0)</f>
        <v>#N/A</v>
      </c>
      <c r="U406" s="156" t="e">
        <f>+VLOOKUP($L406,Data_Validation!$A:$D,3,0)</f>
        <v>#N/A</v>
      </c>
      <c r="V406" s="156" t="e">
        <f>+VLOOKUP($L406,Data_Validation!$A:$D,4,0)</f>
        <v>#N/A</v>
      </c>
      <c r="W406" s="156" t="e">
        <f>+VLOOKUP($L406,Data_Validation!$A:$E,5,0)</f>
        <v>#N/A</v>
      </c>
      <c r="X406" s="156" t="e">
        <f>+VLOOKUP($L406,Data_Validation!$A:$F,6,0)</f>
        <v>#N/A</v>
      </c>
    </row>
    <row r="407" spans="1:24" ht="15.75" hidden="1" customHeight="1">
      <c r="A407" s="1163"/>
      <c r="B407" s="1164"/>
      <c r="C407" s="1165"/>
      <c r="D407" s="1165"/>
      <c r="E407" s="1165"/>
      <c r="F407" s="1163"/>
      <c r="G407" s="1163"/>
      <c r="H407" s="1175"/>
      <c r="I407" s="1178"/>
      <c r="J407" s="1178"/>
      <c r="K407" s="1178"/>
      <c r="L407" s="153">
        <f t="shared" si="30"/>
        <v>0</v>
      </c>
      <c r="M407" s="579">
        <f t="shared" si="31"/>
        <v>0</v>
      </c>
      <c r="N407" s="155">
        <f>+IF(OR($Q407=Parametres!$G$2,$Q407=Parametres!$G$3),I407,C407)</f>
        <v>0</v>
      </c>
      <c r="O407" s="1106">
        <f>+IF(OR($Q407=Parametres!$G$2,$Q407=Parametres!$G$3),J407,D407)</f>
        <v>0</v>
      </c>
      <c r="P407" s="581">
        <f>+IF(OR($Q407=Parametres!$G$2,$Q407=Parametres!$G$3),K407,E407)</f>
        <v>0</v>
      </c>
      <c r="Q407" s="154">
        <f t="shared" si="32"/>
        <v>0</v>
      </c>
      <c r="R407" s="153">
        <f t="shared" si="33"/>
        <v>0</v>
      </c>
      <c r="S407" s="154">
        <f t="shared" si="34"/>
        <v>0</v>
      </c>
      <c r="T407" s="156" t="e">
        <f>+VLOOKUP($L407,Data_Validation!$A:$D,1,0)</f>
        <v>#N/A</v>
      </c>
      <c r="U407" s="156" t="e">
        <f>+VLOOKUP($L407,Data_Validation!$A:$D,3,0)</f>
        <v>#N/A</v>
      </c>
      <c r="V407" s="156" t="e">
        <f>+VLOOKUP($L407,Data_Validation!$A:$D,4,0)</f>
        <v>#N/A</v>
      </c>
      <c r="W407" s="156" t="e">
        <f>+VLOOKUP($L407,Data_Validation!$A:$E,5,0)</f>
        <v>#N/A</v>
      </c>
      <c r="X407" s="156" t="e">
        <f>+VLOOKUP($L407,Data_Validation!$A:$F,6,0)</f>
        <v>#N/A</v>
      </c>
    </row>
    <row r="408" spans="1:24" ht="15" hidden="1" customHeight="1">
      <c r="A408" s="1163"/>
      <c r="B408" s="1164"/>
      <c r="C408" s="1165"/>
      <c r="D408" s="1165"/>
      <c r="E408" s="1165"/>
      <c r="F408" s="1163"/>
      <c r="G408" s="1163"/>
      <c r="H408" s="1171"/>
      <c r="I408" s="1172"/>
      <c r="J408" s="1171"/>
      <c r="K408" s="1172"/>
      <c r="L408" s="153">
        <f t="shared" si="30"/>
        <v>0</v>
      </c>
      <c r="M408" s="154">
        <f t="shared" si="31"/>
        <v>0</v>
      </c>
      <c r="N408" s="155">
        <f>+IF(OR($Q408=Parametres!$G$2,$Q408=Parametres!$G$3),I408,C408)</f>
        <v>0</v>
      </c>
      <c r="O408" s="1108">
        <f>+IF(OR($Q408=Parametres!$G$2,$Q408=Parametres!$G$3),J408,D408)</f>
        <v>0</v>
      </c>
      <c r="P408" s="155">
        <f>+IF(OR($Q408=Parametres!$G$2,$Q408=Parametres!$G$3),K408,E408)</f>
        <v>0</v>
      </c>
      <c r="Q408" s="154">
        <f t="shared" si="32"/>
        <v>0</v>
      </c>
      <c r="R408" s="153">
        <f t="shared" si="33"/>
        <v>0</v>
      </c>
      <c r="S408" s="154">
        <f t="shared" si="34"/>
        <v>0</v>
      </c>
      <c r="T408" s="156" t="e">
        <f>+VLOOKUP($L408,Data_Validation!$A:$D,1,0)</f>
        <v>#N/A</v>
      </c>
      <c r="U408" s="156" t="e">
        <f>+VLOOKUP($L408,Data_Validation!$A:$D,3,0)</f>
        <v>#N/A</v>
      </c>
      <c r="V408" s="156" t="e">
        <f>+VLOOKUP($L408,Data_Validation!$A:$D,4,0)</f>
        <v>#N/A</v>
      </c>
      <c r="W408" s="156" t="e">
        <f>+VLOOKUP($L408,Data_Validation!$A:$E,5,0)</f>
        <v>#N/A</v>
      </c>
      <c r="X408" s="156" t="e">
        <f>+VLOOKUP($L408,Data_Validation!$A:$F,6,0)</f>
        <v>#N/A</v>
      </c>
    </row>
    <row r="409" spans="1:24" ht="15" hidden="1" customHeight="1">
      <c r="A409" s="1163"/>
      <c r="B409" s="1164"/>
      <c r="C409" s="1165"/>
      <c r="D409" s="1165"/>
      <c r="E409" s="1165"/>
      <c r="F409" s="1163"/>
      <c r="G409" s="1163"/>
      <c r="H409" s="1171"/>
      <c r="I409" s="1173"/>
      <c r="J409" s="1173"/>
      <c r="K409" s="1173"/>
      <c r="L409" s="153">
        <f t="shared" si="30"/>
        <v>0</v>
      </c>
      <c r="M409" s="154">
        <f t="shared" si="31"/>
        <v>0</v>
      </c>
      <c r="N409" s="155">
        <f>+IF(OR($Q409=Parametres!$G$2,$Q409=Parametres!$G$3),I409,C409)</f>
        <v>0</v>
      </c>
      <c r="O409" s="1108">
        <f>+IF(OR($Q409=Parametres!$G$2,$Q409=Parametres!$G$3),J409,D409)</f>
        <v>0</v>
      </c>
      <c r="P409" s="155">
        <f>+IF(OR($Q409=Parametres!$G$2,$Q409=Parametres!$G$3),K409,E409)</f>
        <v>0</v>
      </c>
      <c r="Q409" s="154">
        <f t="shared" si="32"/>
        <v>0</v>
      </c>
      <c r="R409" s="153">
        <f t="shared" si="33"/>
        <v>0</v>
      </c>
      <c r="S409" s="154">
        <f t="shared" si="34"/>
        <v>0</v>
      </c>
      <c r="T409" s="156" t="e">
        <f>+VLOOKUP($L409,Data_Validation!$A:$D,1,0)</f>
        <v>#N/A</v>
      </c>
      <c r="U409" s="156" t="e">
        <f>+VLOOKUP($L409,Data_Validation!$A:$D,3,0)</f>
        <v>#N/A</v>
      </c>
      <c r="V409" s="156" t="e">
        <f>+VLOOKUP($L409,Data_Validation!$A:$D,4,0)</f>
        <v>#N/A</v>
      </c>
      <c r="W409" s="156" t="e">
        <f>+VLOOKUP($L409,Data_Validation!$A:$E,5,0)</f>
        <v>#N/A</v>
      </c>
      <c r="X409" s="156" t="e">
        <f>+VLOOKUP($L409,Data_Validation!$A:$F,6,0)</f>
        <v>#N/A</v>
      </c>
    </row>
    <row r="410" spans="1:24" ht="15" hidden="1" customHeight="1">
      <c r="A410" s="1163"/>
      <c r="B410" s="1164"/>
      <c r="C410" s="1165"/>
      <c r="D410" s="1165"/>
      <c r="E410" s="1165"/>
      <c r="F410" s="1163"/>
      <c r="G410" s="1163"/>
      <c r="H410" s="1171"/>
      <c r="I410" s="1171"/>
      <c r="J410" s="1171"/>
      <c r="K410" s="1172"/>
      <c r="L410" s="153">
        <f t="shared" si="30"/>
        <v>0</v>
      </c>
      <c r="M410" s="154">
        <f t="shared" si="31"/>
        <v>0</v>
      </c>
      <c r="N410" s="155">
        <f>+IF(OR($Q410=Parametres!$G$2,$Q410=Parametres!$G$3),I410,C410)</f>
        <v>0</v>
      </c>
      <c r="O410" s="1106">
        <f>+IF(OR($Q410=Parametres!$G$2,$Q410=Parametres!$G$3),J410,D410)</f>
        <v>0</v>
      </c>
      <c r="P410" s="155">
        <f>+IF(OR($Q410=Parametres!$G$2,$Q410=Parametres!$G$3),K410,E410)</f>
        <v>0</v>
      </c>
      <c r="Q410" s="154">
        <f t="shared" si="32"/>
        <v>0</v>
      </c>
      <c r="R410" s="153">
        <f t="shared" si="33"/>
        <v>0</v>
      </c>
      <c r="S410" s="154">
        <f t="shared" si="34"/>
        <v>0</v>
      </c>
      <c r="T410" s="156" t="e">
        <f>+VLOOKUP($L410,Data_Validation!$A:$D,1,0)</f>
        <v>#N/A</v>
      </c>
      <c r="U410" s="156" t="e">
        <f>+VLOOKUP($L410,Data_Validation!$A:$D,3,0)</f>
        <v>#N/A</v>
      </c>
      <c r="V410" s="156" t="e">
        <f>+VLOOKUP($L410,Data_Validation!$A:$D,4,0)</f>
        <v>#N/A</v>
      </c>
      <c r="W410" s="156" t="e">
        <f>+VLOOKUP($L410,Data_Validation!$A:$E,5,0)</f>
        <v>#N/A</v>
      </c>
      <c r="X410" s="156" t="e">
        <f>+VLOOKUP($L410,Data_Validation!$A:$F,6,0)</f>
        <v>#N/A</v>
      </c>
    </row>
    <row r="411" spans="1:24" ht="15.75" hidden="1" customHeight="1">
      <c r="A411" s="1163"/>
      <c r="B411" s="1164"/>
      <c r="C411" s="1165"/>
      <c r="D411" s="1165"/>
      <c r="E411" s="1165"/>
      <c r="F411" s="1163"/>
      <c r="G411" s="1163"/>
      <c r="H411" s="1171"/>
      <c r="I411" s="1173"/>
      <c r="J411" s="1173"/>
      <c r="K411" s="1173"/>
      <c r="L411" s="153">
        <f t="shared" si="30"/>
        <v>0</v>
      </c>
      <c r="M411" s="154">
        <f t="shared" si="31"/>
        <v>0</v>
      </c>
      <c r="N411" s="155">
        <f>+IF(OR($Q411=Parametres!$G$2,$Q411=Parametres!$G$3),I411,C411)</f>
        <v>0</v>
      </c>
      <c r="O411" s="1108">
        <f>+IF(OR($Q411=Parametres!$G$2,$Q411=Parametres!$G$3),J411,D411)</f>
        <v>0</v>
      </c>
      <c r="P411" s="155">
        <f>+IF(OR($Q411=Parametres!$G$2,$Q411=Parametres!$G$3),K411,E411)</f>
        <v>0</v>
      </c>
      <c r="Q411" s="154">
        <f t="shared" si="32"/>
        <v>0</v>
      </c>
      <c r="R411" s="153">
        <f t="shared" si="33"/>
        <v>0</v>
      </c>
      <c r="S411" s="154">
        <f t="shared" si="34"/>
        <v>0</v>
      </c>
      <c r="T411" s="156" t="e">
        <f>+VLOOKUP($L411,Data_Validation!$A:$D,1,0)</f>
        <v>#N/A</v>
      </c>
      <c r="U411" s="156" t="e">
        <f>+VLOOKUP($L411,Data_Validation!$A:$D,3,0)</f>
        <v>#N/A</v>
      </c>
      <c r="V411" s="156" t="e">
        <f>+VLOOKUP($L411,Data_Validation!$A:$D,4,0)</f>
        <v>#N/A</v>
      </c>
      <c r="W411" s="156" t="e">
        <f>+VLOOKUP($L411,Data_Validation!$A:$E,5,0)</f>
        <v>#N/A</v>
      </c>
      <c r="X411" s="156" t="e">
        <f>+VLOOKUP($L411,Data_Validation!$A:$F,6,0)</f>
        <v>#N/A</v>
      </c>
    </row>
    <row r="412" spans="1:24" ht="15" hidden="1" customHeight="1">
      <c r="A412" s="1163"/>
      <c r="B412" s="1164"/>
      <c r="C412" s="1165"/>
      <c r="D412" s="1165"/>
      <c r="E412" s="1165"/>
      <c r="F412" s="1163"/>
      <c r="G412" s="1163"/>
      <c r="H412" s="1171"/>
      <c r="I412" s="1172"/>
      <c r="J412" s="1171"/>
      <c r="K412" s="1172"/>
      <c r="L412" s="153">
        <f t="shared" si="30"/>
        <v>0</v>
      </c>
      <c r="M412" s="154">
        <f t="shared" si="31"/>
        <v>0</v>
      </c>
      <c r="N412" s="155">
        <f>+IF(OR($Q412=Parametres!$G$2,$Q412=Parametres!$G$3),I412,C412)</f>
        <v>0</v>
      </c>
      <c r="O412" s="1108">
        <f>+IF(OR($Q412=Parametres!$G$2,$Q412=Parametres!$G$3),J412,D412)</f>
        <v>0</v>
      </c>
      <c r="P412" s="155">
        <f>+IF(OR($Q412=Parametres!$G$2,$Q412=Parametres!$G$3),K412,E412)</f>
        <v>0</v>
      </c>
      <c r="Q412" s="154">
        <f t="shared" si="32"/>
        <v>0</v>
      </c>
      <c r="R412" s="153">
        <f t="shared" si="33"/>
        <v>0</v>
      </c>
      <c r="S412" s="154">
        <f t="shared" si="34"/>
        <v>0</v>
      </c>
      <c r="T412" s="156" t="e">
        <f>+VLOOKUP($L412,Data_Validation!$A:$D,1,0)</f>
        <v>#N/A</v>
      </c>
      <c r="U412" s="156" t="e">
        <f>+VLOOKUP($L412,Data_Validation!$A:$D,3,0)</f>
        <v>#N/A</v>
      </c>
      <c r="V412" s="156" t="e">
        <f>+VLOOKUP($L412,Data_Validation!$A:$D,4,0)</f>
        <v>#N/A</v>
      </c>
      <c r="W412" s="156" t="e">
        <f>+VLOOKUP($L412,Data_Validation!$A:$E,5,0)</f>
        <v>#N/A</v>
      </c>
      <c r="X412" s="156" t="e">
        <f>+VLOOKUP($L412,Data_Validation!$A:$F,6,0)</f>
        <v>#N/A</v>
      </c>
    </row>
    <row r="413" spans="1:24" ht="15" hidden="1" customHeight="1">
      <c r="A413" s="1163"/>
      <c r="B413" s="1164"/>
      <c r="C413" s="1165"/>
      <c r="D413" s="1165"/>
      <c r="E413" s="1165"/>
      <c r="F413" s="1163"/>
      <c r="G413" s="1163"/>
      <c r="H413" s="1171"/>
      <c r="I413" s="1173"/>
      <c r="J413" s="1173"/>
      <c r="K413" s="1173"/>
      <c r="L413" s="153">
        <f t="shared" si="30"/>
        <v>0</v>
      </c>
      <c r="M413" s="154">
        <f t="shared" si="31"/>
        <v>0</v>
      </c>
      <c r="N413" s="155">
        <f>+IF(OR($Q413=Parametres!$G$2,$Q413=Parametres!$G$3),I413,C413)</f>
        <v>0</v>
      </c>
      <c r="O413" s="1108">
        <f>+IF(OR($Q413=Parametres!$G$2,$Q413=Parametres!$G$3),J413,D413)</f>
        <v>0</v>
      </c>
      <c r="P413" s="155">
        <f>+IF(OR($Q413=Parametres!$G$2,$Q413=Parametres!$G$3),K413,E413)</f>
        <v>0</v>
      </c>
      <c r="Q413" s="154">
        <f t="shared" si="32"/>
        <v>0</v>
      </c>
      <c r="R413" s="153">
        <f t="shared" si="33"/>
        <v>0</v>
      </c>
      <c r="S413" s="154">
        <f t="shared" si="34"/>
        <v>0</v>
      </c>
      <c r="T413" s="156" t="e">
        <f>+VLOOKUP($L413,Data_Validation!$A:$D,1,0)</f>
        <v>#N/A</v>
      </c>
      <c r="U413" s="156" t="e">
        <f>+VLOOKUP($L413,Data_Validation!$A:$D,3,0)</f>
        <v>#N/A</v>
      </c>
      <c r="V413" s="156" t="e">
        <f>+VLOOKUP($L413,Data_Validation!$A:$D,4,0)</f>
        <v>#N/A</v>
      </c>
      <c r="W413" s="156" t="e">
        <f>+VLOOKUP($L413,Data_Validation!$A:$E,5,0)</f>
        <v>#N/A</v>
      </c>
      <c r="X413" s="156" t="e">
        <f>+VLOOKUP($L413,Data_Validation!$A:$F,6,0)</f>
        <v>#N/A</v>
      </c>
    </row>
    <row r="414" spans="1:24" ht="15" hidden="1" customHeight="1">
      <c r="A414" s="1163"/>
      <c r="B414" s="1164"/>
      <c r="C414" s="1165"/>
      <c r="D414" s="1165"/>
      <c r="E414" s="1165"/>
      <c r="F414" s="1163"/>
      <c r="G414" s="1163"/>
      <c r="H414" s="1175"/>
      <c r="I414" s="1178"/>
      <c r="J414" s="1178"/>
      <c r="K414" s="1178"/>
      <c r="L414" s="153">
        <f t="shared" si="30"/>
        <v>0</v>
      </c>
      <c r="M414" s="154">
        <f t="shared" si="31"/>
        <v>0</v>
      </c>
      <c r="N414" s="155">
        <f>+IF(OR($Q414=Parametres!$G$2,$Q414=Parametres!$G$3),I414,C414)</f>
        <v>0</v>
      </c>
      <c r="O414" s="1108">
        <f>+IF(OR($Q414=Parametres!$G$2,$Q414=Parametres!$G$3),J414,D414)</f>
        <v>0</v>
      </c>
      <c r="P414" s="155">
        <f>+IF(OR($Q414=Parametres!$G$2,$Q414=Parametres!$G$3),K414,E414)</f>
        <v>0</v>
      </c>
      <c r="Q414" s="154">
        <f t="shared" si="32"/>
        <v>0</v>
      </c>
      <c r="R414" s="153">
        <f t="shared" si="33"/>
        <v>0</v>
      </c>
      <c r="S414" s="154">
        <f t="shared" si="34"/>
        <v>0</v>
      </c>
      <c r="T414" s="156" t="e">
        <f>+VLOOKUP($L414,Data_Validation!$A:$D,1,0)</f>
        <v>#N/A</v>
      </c>
      <c r="U414" s="156" t="e">
        <f>+VLOOKUP($L414,Data_Validation!$A:$D,3,0)</f>
        <v>#N/A</v>
      </c>
      <c r="V414" s="156" t="e">
        <f>+VLOOKUP($L414,Data_Validation!$A:$D,4,0)</f>
        <v>#N/A</v>
      </c>
      <c r="W414" s="156" t="e">
        <f>+VLOOKUP($L414,Data_Validation!$A:$E,5,0)</f>
        <v>#N/A</v>
      </c>
      <c r="X414" s="156" t="e">
        <f>+VLOOKUP($L414,Data_Validation!$A:$F,6,0)</f>
        <v>#N/A</v>
      </c>
    </row>
    <row r="415" spans="1:24" ht="15.75" hidden="1" customHeight="1">
      <c r="A415" s="1163"/>
      <c r="B415" s="1164"/>
      <c r="C415" s="1165"/>
      <c r="D415" s="1165"/>
      <c r="E415" s="1165"/>
      <c r="F415" s="1163"/>
      <c r="G415" s="1163"/>
      <c r="H415" s="1175"/>
      <c r="I415" s="1178"/>
      <c r="J415" s="1178"/>
      <c r="K415" s="1178"/>
      <c r="L415" s="153">
        <f t="shared" si="30"/>
        <v>0</v>
      </c>
      <c r="M415" s="154">
        <f t="shared" si="31"/>
        <v>0</v>
      </c>
      <c r="N415" s="155">
        <f>+IF(OR($Q415=Parametres!$G$2,$Q415=Parametres!$G$3),I415,C415)</f>
        <v>0</v>
      </c>
      <c r="O415" s="1108">
        <f>+IF(OR($Q415=Parametres!$G$2,$Q415=Parametres!$G$3),J415,D415)</f>
        <v>0</v>
      </c>
      <c r="P415" s="155">
        <f>+IF(OR($Q415=Parametres!$G$2,$Q415=Parametres!$G$3),K415,E415)</f>
        <v>0</v>
      </c>
      <c r="Q415" s="154">
        <f t="shared" si="32"/>
        <v>0</v>
      </c>
      <c r="R415" s="153">
        <f t="shared" si="33"/>
        <v>0</v>
      </c>
      <c r="S415" s="154">
        <f t="shared" si="34"/>
        <v>0</v>
      </c>
      <c r="T415" s="156" t="e">
        <f>+VLOOKUP($L415,Data_Validation!$A:$D,1,0)</f>
        <v>#N/A</v>
      </c>
      <c r="U415" s="156" t="e">
        <f>+VLOOKUP($L415,Data_Validation!$A:$D,3,0)</f>
        <v>#N/A</v>
      </c>
      <c r="V415" s="156" t="e">
        <f>+VLOOKUP($L415,Data_Validation!$A:$D,4,0)</f>
        <v>#N/A</v>
      </c>
      <c r="W415" s="156" t="e">
        <f>+VLOOKUP($L415,Data_Validation!$A:$E,5,0)</f>
        <v>#N/A</v>
      </c>
      <c r="X415" s="156" t="e">
        <f>+VLOOKUP($L415,Data_Validation!$A:$F,6,0)</f>
        <v>#N/A</v>
      </c>
    </row>
    <row r="416" spans="1:24" ht="15" hidden="1" customHeight="1">
      <c r="A416" s="1163"/>
      <c r="B416" s="1164"/>
      <c r="C416" s="1165"/>
      <c r="D416" s="1165"/>
      <c r="E416" s="1165"/>
      <c r="F416" s="1163"/>
      <c r="G416" s="1163"/>
      <c r="H416" s="1168"/>
      <c r="I416" s="1170"/>
      <c r="J416" s="1170"/>
      <c r="K416" s="1170"/>
      <c r="L416" s="153">
        <f t="shared" si="30"/>
        <v>0</v>
      </c>
      <c r="M416" s="154">
        <f t="shared" si="31"/>
        <v>0</v>
      </c>
      <c r="N416" s="155">
        <f>+IF(OR($Q416=Parametres!$G$2,$Q416=Parametres!$G$3),I416,C416)</f>
        <v>0</v>
      </c>
      <c r="O416" s="1108">
        <f>+IF(OR($Q416=Parametres!$G$2,$Q416=Parametres!$G$3),J416,D416)</f>
        <v>0</v>
      </c>
      <c r="P416" s="155">
        <f>+IF(OR($Q416=Parametres!$G$2,$Q416=Parametres!$G$3),K416,E416)</f>
        <v>0</v>
      </c>
      <c r="Q416" s="154">
        <f t="shared" si="32"/>
        <v>0</v>
      </c>
      <c r="R416" s="153">
        <f t="shared" si="33"/>
        <v>0</v>
      </c>
      <c r="S416" s="154">
        <f t="shared" si="34"/>
        <v>0</v>
      </c>
      <c r="T416" s="156" t="e">
        <f>+VLOOKUP($L416,Data_Validation!$A:$D,1,0)</f>
        <v>#N/A</v>
      </c>
      <c r="U416" s="156" t="e">
        <f>+VLOOKUP($L416,Data_Validation!$A:$D,3,0)</f>
        <v>#N/A</v>
      </c>
      <c r="V416" s="156" t="e">
        <f>+VLOOKUP($L416,Data_Validation!$A:$D,4,0)</f>
        <v>#N/A</v>
      </c>
      <c r="W416" s="156" t="e">
        <f>+VLOOKUP($L416,Data_Validation!$A:$E,5,0)</f>
        <v>#N/A</v>
      </c>
      <c r="X416" s="156" t="e">
        <f>+VLOOKUP($L416,Data_Validation!$A:$F,6,0)</f>
        <v>#N/A</v>
      </c>
    </row>
    <row r="417" spans="1:24" ht="15" hidden="1" customHeight="1">
      <c r="A417" s="1163"/>
      <c r="B417" s="1164"/>
      <c r="C417" s="1165"/>
      <c r="D417" s="1165"/>
      <c r="E417" s="1165"/>
      <c r="F417" s="1163"/>
      <c r="G417" s="1163"/>
      <c r="H417" s="1168"/>
      <c r="I417" s="1170"/>
      <c r="J417" s="1170"/>
      <c r="K417" s="1170"/>
      <c r="L417" s="153">
        <f t="shared" si="30"/>
        <v>0</v>
      </c>
      <c r="M417" s="154">
        <f t="shared" si="31"/>
        <v>0</v>
      </c>
      <c r="N417" s="155">
        <f>+IF(OR($Q417=Parametres!$G$2,$Q417=Parametres!$G$3),I417,C417)</f>
        <v>0</v>
      </c>
      <c r="O417" s="1108">
        <f>+IF(OR($Q417=Parametres!$G$2,$Q417=Parametres!$G$3),J417,D417)</f>
        <v>0</v>
      </c>
      <c r="P417" s="155">
        <f>+IF(OR($Q417=Parametres!$G$2,$Q417=Parametres!$G$3),K417,E417)</f>
        <v>0</v>
      </c>
      <c r="Q417" s="154">
        <f t="shared" si="32"/>
        <v>0</v>
      </c>
      <c r="R417" s="153">
        <f t="shared" si="33"/>
        <v>0</v>
      </c>
      <c r="S417" s="154">
        <f t="shared" si="34"/>
        <v>0</v>
      </c>
      <c r="T417" s="156" t="e">
        <f>+VLOOKUP($L417,Data_Validation!$A:$D,1,0)</f>
        <v>#N/A</v>
      </c>
      <c r="U417" s="156" t="e">
        <f>+VLOOKUP($L417,Data_Validation!$A:$D,3,0)</f>
        <v>#N/A</v>
      </c>
      <c r="V417" s="156" t="e">
        <f>+VLOOKUP($L417,Data_Validation!$A:$D,4,0)</f>
        <v>#N/A</v>
      </c>
      <c r="W417" s="156" t="e">
        <f>+VLOOKUP($L417,Data_Validation!$A:$E,5,0)</f>
        <v>#N/A</v>
      </c>
      <c r="X417" s="156" t="e">
        <f>+VLOOKUP($L417,Data_Validation!$A:$F,6,0)</f>
        <v>#N/A</v>
      </c>
    </row>
    <row r="418" spans="1:24" ht="15" hidden="1" customHeight="1">
      <c r="A418" s="1163"/>
      <c r="B418" s="1164"/>
      <c r="C418" s="1165"/>
      <c r="D418" s="1165"/>
      <c r="E418" s="1165"/>
      <c r="F418" s="1163"/>
      <c r="G418" s="1163"/>
      <c r="H418" s="1168"/>
      <c r="I418" s="1180"/>
      <c r="J418" s="1180"/>
      <c r="K418" s="1180"/>
      <c r="L418" s="153">
        <f t="shared" si="30"/>
        <v>0</v>
      </c>
      <c r="M418" s="154">
        <f t="shared" si="31"/>
        <v>0</v>
      </c>
      <c r="N418" s="155">
        <f>+IF(OR($Q418=Parametres!$G$2,$Q418=Parametres!$G$3),I418,C418)</f>
        <v>0</v>
      </c>
      <c r="O418" s="1108">
        <f>+IF(OR($Q418=Parametres!$G$2,$Q418=Parametres!$G$3),J418,D418)</f>
        <v>0</v>
      </c>
      <c r="P418" s="155">
        <f>+IF(OR($Q418=Parametres!$G$2,$Q418=Parametres!$G$3),K418,E418)</f>
        <v>0</v>
      </c>
      <c r="Q418" s="154">
        <f t="shared" si="32"/>
        <v>0</v>
      </c>
      <c r="R418" s="153">
        <f t="shared" si="33"/>
        <v>0</v>
      </c>
      <c r="S418" s="154">
        <f t="shared" si="34"/>
        <v>0</v>
      </c>
      <c r="T418" s="156" t="e">
        <f>+VLOOKUP($L418,Data_Validation!$A:$D,1,0)</f>
        <v>#N/A</v>
      </c>
      <c r="U418" s="156" t="e">
        <f>+VLOOKUP($L418,Data_Validation!$A:$D,3,0)</f>
        <v>#N/A</v>
      </c>
      <c r="V418" s="156" t="e">
        <f>+VLOOKUP($L418,Data_Validation!$A:$D,4,0)</f>
        <v>#N/A</v>
      </c>
      <c r="W418" s="156" t="e">
        <f>+VLOOKUP($L418,Data_Validation!$A:$E,5,0)</f>
        <v>#N/A</v>
      </c>
      <c r="X418" s="156" t="e">
        <f>+VLOOKUP($L418,Data_Validation!$A:$F,6,0)</f>
        <v>#N/A</v>
      </c>
    </row>
    <row r="419" spans="1:24" ht="15.75" hidden="1" customHeight="1">
      <c r="A419" s="1163"/>
      <c r="B419" s="1164"/>
      <c r="C419" s="1165"/>
      <c r="D419" s="1165"/>
      <c r="E419" s="1165"/>
      <c r="F419" s="1163"/>
      <c r="G419" s="1163"/>
      <c r="H419" s="1168"/>
      <c r="I419" s="1170"/>
      <c r="J419" s="1170"/>
      <c r="K419" s="1170"/>
      <c r="L419" s="153">
        <f t="shared" si="30"/>
        <v>0</v>
      </c>
      <c r="M419" s="154">
        <f t="shared" si="31"/>
        <v>0</v>
      </c>
      <c r="N419" s="155">
        <f>+IF(OR($Q419=Parametres!$G$2,$Q419=Parametres!$G$3),I419,C419)</f>
        <v>0</v>
      </c>
      <c r="O419" s="1108">
        <f>+IF(OR($Q419=Parametres!$G$2,$Q419=Parametres!$G$3),J419,D419)</f>
        <v>0</v>
      </c>
      <c r="P419" s="155">
        <f>+IF(OR($Q419=Parametres!$G$2,$Q419=Parametres!$G$3),K419,E419)</f>
        <v>0</v>
      </c>
      <c r="Q419" s="154">
        <f t="shared" si="32"/>
        <v>0</v>
      </c>
      <c r="R419" s="153">
        <f t="shared" si="33"/>
        <v>0</v>
      </c>
      <c r="S419" s="154">
        <f t="shared" si="34"/>
        <v>0</v>
      </c>
      <c r="T419" s="156" t="e">
        <f>+VLOOKUP($L419,Data_Validation!$A:$D,1,0)</f>
        <v>#N/A</v>
      </c>
      <c r="U419" s="156" t="e">
        <f>+VLOOKUP($L419,Data_Validation!$A:$D,3,0)</f>
        <v>#N/A</v>
      </c>
      <c r="V419" s="156" t="e">
        <f>+VLOOKUP($L419,Data_Validation!$A:$D,4,0)</f>
        <v>#N/A</v>
      </c>
      <c r="W419" s="156" t="e">
        <f>+VLOOKUP($L419,Data_Validation!$A:$E,5,0)</f>
        <v>#N/A</v>
      </c>
      <c r="X419" s="156" t="e">
        <f>+VLOOKUP($L419,Data_Validation!$A:$F,6,0)</f>
        <v>#N/A</v>
      </c>
    </row>
    <row r="420" spans="1:24" ht="15.75" hidden="1" customHeight="1">
      <c r="A420" s="1163"/>
      <c r="B420" s="1164"/>
      <c r="C420" s="1165"/>
      <c r="D420" s="1165"/>
      <c r="E420" s="1165"/>
      <c r="F420" s="1163"/>
      <c r="G420" s="1163"/>
      <c r="H420" s="1168"/>
      <c r="I420" s="1174"/>
      <c r="J420" s="1174"/>
      <c r="K420" s="1174"/>
      <c r="L420" s="153">
        <f t="shared" si="30"/>
        <v>0</v>
      </c>
      <c r="M420" s="154">
        <f t="shared" si="31"/>
        <v>0</v>
      </c>
      <c r="N420" s="155">
        <f>+IF(OR($Q420=Parametres!$G$2,$Q420=Parametres!$G$3),I420,C420)</f>
        <v>0</v>
      </c>
      <c r="O420" s="1108">
        <f>+IF(OR($Q420=Parametres!$G$2,$Q420=Parametres!$G$3),J420,D420)</f>
        <v>0</v>
      </c>
      <c r="P420" s="155">
        <f>+IF(OR($Q420=Parametres!$G$2,$Q420=Parametres!$G$3),K420,E420)</f>
        <v>0</v>
      </c>
      <c r="Q420" s="154">
        <f t="shared" si="32"/>
        <v>0</v>
      </c>
      <c r="R420" s="153">
        <f t="shared" si="33"/>
        <v>0</v>
      </c>
      <c r="S420" s="154">
        <f t="shared" si="34"/>
        <v>0</v>
      </c>
      <c r="T420" s="156" t="e">
        <f>+VLOOKUP($L420,Data_Validation!$A:$D,1,0)</f>
        <v>#N/A</v>
      </c>
      <c r="U420" s="156" t="e">
        <f>+VLOOKUP($L420,Data_Validation!$A:$D,3,0)</f>
        <v>#N/A</v>
      </c>
      <c r="V420" s="156" t="e">
        <f>+VLOOKUP($L420,Data_Validation!$A:$D,4,0)</f>
        <v>#N/A</v>
      </c>
      <c r="W420" s="156" t="e">
        <f>+VLOOKUP($L420,Data_Validation!$A:$E,5,0)</f>
        <v>#N/A</v>
      </c>
      <c r="X420" s="156" t="e">
        <f>+VLOOKUP($L420,Data_Validation!$A:$F,6,0)</f>
        <v>#N/A</v>
      </c>
    </row>
    <row r="421" spans="1:24" ht="15" hidden="1" customHeight="1">
      <c r="A421" s="1163"/>
      <c r="B421" s="1164"/>
      <c r="C421" s="1165"/>
      <c r="D421" s="1165"/>
      <c r="E421" s="1165"/>
      <c r="F421" s="1163"/>
      <c r="G421" s="1163"/>
      <c r="H421" s="1168"/>
      <c r="I421" s="1174"/>
      <c r="J421" s="1174"/>
      <c r="K421" s="1174"/>
      <c r="L421" s="153">
        <f t="shared" si="30"/>
        <v>0</v>
      </c>
      <c r="M421" s="154">
        <f t="shared" si="31"/>
        <v>0</v>
      </c>
      <c r="N421" s="155">
        <f>+IF(OR($Q421=Parametres!$G$2,$Q421=Parametres!$G$3),I421,C421)</f>
        <v>0</v>
      </c>
      <c r="O421" s="1108">
        <f>+IF(OR($Q421=Parametres!$G$2,$Q421=Parametres!$G$3),J421,D421)</f>
        <v>0</v>
      </c>
      <c r="P421" s="155">
        <f>+IF(OR($Q421=Parametres!$G$2,$Q421=Parametres!$G$3),K421,E421)</f>
        <v>0</v>
      </c>
      <c r="Q421" s="154">
        <f t="shared" si="32"/>
        <v>0</v>
      </c>
      <c r="R421" s="153">
        <f t="shared" si="33"/>
        <v>0</v>
      </c>
      <c r="S421" s="154">
        <f t="shared" si="34"/>
        <v>0</v>
      </c>
      <c r="T421" s="156" t="e">
        <f>+VLOOKUP($L421,Data_Validation!$A:$D,1,0)</f>
        <v>#N/A</v>
      </c>
      <c r="U421" s="156" t="e">
        <f>+VLOOKUP($L421,Data_Validation!$A:$D,3,0)</f>
        <v>#N/A</v>
      </c>
      <c r="V421" s="156" t="e">
        <f>+VLOOKUP($L421,Data_Validation!$A:$D,4,0)</f>
        <v>#N/A</v>
      </c>
      <c r="W421" s="156" t="e">
        <f>+VLOOKUP($L421,Data_Validation!$A:$E,5,0)</f>
        <v>#N/A</v>
      </c>
      <c r="X421" s="156" t="e">
        <f>+VLOOKUP($L421,Data_Validation!$A:$F,6,0)</f>
        <v>#N/A</v>
      </c>
    </row>
    <row r="422" spans="1:24" ht="15" hidden="1" customHeight="1">
      <c r="A422" s="1163"/>
      <c r="B422" s="1164"/>
      <c r="C422" s="1165"/>
      <c r="D422" s="1165"/>
      <c r="E422" s="1165"/>
      <c r="F422" s="1163"/>
      <c r="G422" s="1163"/>
      <c r="H422" s="1177"/>
      <c r="I422" s="1179"/>
      <c r="J422" s="1179"/>
      <c r="K422" s="1179"/>
      <c r="L422" s="153">
        <f t="shared" si="30"/>
        <v>0</v>
      </c>
      <c r="M422" s="154">
        <f t="shared" si="31"/>
        <v>0</v>
      </c>
      <c r="N422" s="155">
        <f>+IF(OR($Q422=Parametres!$G$2,$Q422=Parametres!$G$3),I422,C422)</f>
        <v>0</v>
      </c>
      <c r="O422" s="1108">
        <f>+IF(OR($Q422=Parametres!$G$2,$Q422=Parametres!$G$3),J422,D422)</f>
        <v>0</v>
      </c>
      <c r="P422" s="155">
        <f>+IF(OR($Q422=Parametres!$G$2,$Q422=Parametres!$G$3),K422,E422)</f>
        <v>0</v>
      </c>
      <c r="Q422" s="154">
        <f t="shared" si="32"/>
        <v>0</v>
      </c>
      <c r="R422" s="153">
        <f t="shared" si="33"/>
        <v>0</v>
      </c>
      <c r="S422" s="154">
        <f t="shared" si="34"/>
        <v>0</v>
      </c>
      <c r="T422" s="156" t="e">
        <f>+VLOOKUP($L422,Data_Validation!$A:$D,1,0)</f>
        <v>#N/A</v>
      </c>
      <c r="U422" s="156" t="e">
        <f>+VLOOKUP($L422,Data_Validation!$A:$D,3,0)</f>
        <v>#N/A</v>
      </c>
      <c r="V422" s="156" t="e">
        <f>+VLOOKUP($L422,Data_Validation!$A:$D,4,0)</f>
        <v>#N/A</v>
      </c>
      <c r="W422" s="156" t="e">
        <f>+VLOOKUP($L422,Data_Validation!$A:$E,5,0)</f>
        <v>#N/A</v>
      </c>
      <c r="X422" s="156" t="e">
        <f>+VLOOKUP($L422,Data_Validation!$A:$F,6,0)</f>
        <v>#N/A</v>
      </c>
    </row>
    <row r="423" spans="1:24" ht="15" hidden="1" customHeight="1">
      <c r="A423" s="1163"/>
      <c r="B423" s="1164"/>
      <c r="C423" s="1165"/>
      <c r="D423" s="1165"/>
      <c r="E423" s="1165"/>
      <c r="F423" s="1163"/>
      <c r="G423" s="1163"/>
      <c r="H423" s="1177"/>
      <c r="I423" s="1177"/>
      <c r="J423" s="1177"/>
      <c r="K423" s="1177"/>
      <c r="L423" s="153">
        <f t="shared" si="30"/>
        <v>0</v>
      </c>
      <c r="M423" s="154">
        <f t="shared" si="31"/>
        <v>0</v>
      </c>
      <c r="N423" s="155">
        <f>+IF(OR($Q423=Parametres!$G$2,$Q423=Parametres!$G$3),I423,C423)</f>
        <v>0</v>
      </c>
      <c r="O423" s="1108">
        <f>+IF(OR($Q423=Parametres!$G$2,$Q423=Parametres!$G$3),J423,D423)</f>
        <v>0</v>
      </c>
      <c r="P423" s="155">
        <f>+IF(OR($Q423=Parametres!$G$2,$Q423=Parametres!$G$3),K423,E423)</f>
        <v>0</v>
      </c>
      <c r="Q423" s="154">
        <f t="shared" si="32"/>
        <v>0</v>
      </c>
      <c r="R423" s="153">
        <f t="shared" si="33"/>
        <v>0</v>
      </c>
      <c r="S423" s="154">
        <f t="shared" si="34"/>
        <v>0</v>
      </c>
      <c r="T423" s="156" t="e">
        <f>+VLOOKUP($L423,Data_Validation!$A:$D,1,0)</f>
        <v>#N/A</v>
      </c>
      <c r="U423" s="156" t="e">
        <f>+VLOOKUP($L423,Data_Validation!$A:$D,3,0)</f>
        <v>#N/A</v>
      </c>
      <c r="V423" s="156" t="e">
        <f>+VLOOKUP($L423,Data_Validation!$A:$D,4,0)</f>
        <v>#N/A</v>
      </c>
      <c r="W423" s="156" t="e">
        <f>+VLOOKUP($L423,Data_Validation!$A:$E,5,0)</f>
        <v>#N/A</v>
      </c>
      <c r="X423" s="156" t="e">
        <f>+VLOOKUP($L423,Data_Validation!$A:$F,6,0)</f>
        <v>#N/A</v>
      </c>
    </row>
    <row r="424" spans="1:24" ht="15" hidden="1" customHeight="1">
      <c r="A424" s="1163"/>
      <c r="B424" s="1164"/>
      <c r="C424" s="1165"/>
      <c r="D424" s="1165"/>
      <c r="E424" s="1165"/>
      <c r="F424" s="1163"/>
      <c r="G424" s="1163"/>
      <c r="H424" s="1177"/>
      <c r="I424" s="1179"/>
      <c r="J424" s="1179"/>
      <c r="K424" s="1179"/>
      <c r="L424" s="153">
        <f t="shared" si="30"/>
        <v>0</v>
      </c>
      <c r="M424" s="154">
        <f t="shared" si="31"/>
        <v>0</v>
      </c>
      <c r="N424" s="155">
        <f>+IF(OR($Q424=Parametres!$G$2,$Q424=Parametres!$G$3),I424,C424)</f>
        <v>0</v>
      </c>
      <c r="O424" s="1108">
        <f>+IF(OR($Q424=Parametres!$G$2,$Q424=Parametres!$G$3),J424,D424)</f>
        <v>0</v>
      </c>
      <c r="P424" s="155">
        <f>+IF(OR($Q424=Parametres!$G$2,$Q424=Parametres!$G$3),K424,E424)</f>
        <v>0</v>
      </c>
      <c r="Q424" s="154">
        <f t="shared" si="32"/>
        <v>0</v>
      </c>
      <c r="R424" s="153">
        <f t="shared" si="33"/>
        <v>0</v>
      </c>
      <c r="S424" s="154">
        <f t="shared" si="34"/>
        <v>0</v>
      </c>
      <c r="T424" s="156" t="e">
        <f>+VLOOKUP($L424,Data_Validation!$A:$D,1,0)</f>
        <v>#N/A</v>
      </c>
      <c r="U424" s="156" t="e">
        <f>+VLOOKUP($L424,Data_Validation!$A:$D,3,0)</f>
        <v>#N/A</v>
      </c>
      <c r="V424" s="156" t="e">
        <f>+VLOOKUP($L424,Data_Validation!$A:$D,4,0)</f>
        <v>#N/A</v>
      </c>
      <c r="W424" s="156" t="e">
        <f>+VLOOKUP($L424,Data_Validation!$A:$E,5,0)</f>
        <v>#N/A</v>
      </c>
      <c r="X424" s="156" t="e">
        <f>+VLOOKUP($L424,Data_Validation!$A:$F,6,0)</f>
        <v>#N/A</v>
      </c>
    </row>
    <row r="425" spans="1:24" ht="15.75" hidden="1" customHeight="1">
      <c r="A425" s="1163"/>
      <c r="B425" s="1164"/>
      <c r="C425" s="1165"/>
      <c r="D425" s="1165"/>
      <c r="E425" s="1165"/>
      <c r="F425" s="1163"/>
      <c r="G425" s="1163"/>
      <c r="H425" s="1177"/>
      <c r="I425" s="1177"/>
      <c r="J425" s="1177"/>
      <c r="K425" s="1177"/>
      <c r="L425" s="153">
        <f t="shared" si="30"/>
        <v>0</v>
      </c>
      <c r="M425" s="154">
        <f t="shared" si="31"/>
        <v>0</v>
      </c>
      <c r="N425" s="155">
        <f>+IF(OR($Q425=Parametres!$G$2,$Q425=Parametres!$G$3),I425,C425)</f>
        <v>0</v>
      </c>
      <c r="O425" s="1108">
        <f>+IF(OR($Q425=Parametres!$G$2,$Q425=Parametres!$G$3),J425,D425)</f>
        <v>0</v>
      </c>
      <c r="P425" s="155">
        <f>+IF(OR($Q425=Parametres!$G$2,$Q425=Parametres!$G$3),K425,E425)</f>
        <v>0</v>
      </c>
      <c r="Q425" s="154">
        <f t="shared" si="32"/>
        <v>0</v>
      </c>
      <c r="R425" s="153">
        <f t="shared" si="33"/>
        <v>0</v>
      </c>
      <c r="S425" s="154">
        <f t="shared" si="34"/>
        <v>0</v>
      </c>
      <c r="T425" s="156" t="e">
        <f>+VLOOKUP($L425,Data_Validation!$A:$D,1,0)</f>
        <v>#N/A</v>
      </c>
      <c r="U425" s="156" t="e">
        <f>+VLOOKUP($L425,Data_Validation!$A:$D,3,0)</f>
        <v>#N/A</v>
      </c>
      <c r="V425" s="156" t="e">
        <f>+VLOOKUP($L425,Data_Validation!$A:$D,4,0)</f>
        <v>#N/A</v>
      </c>
      <c r="W425" s="156" t="e">
        <f>+VLOOKUP($L425,Data_Validation!$A:$E,5,0)</f>
        <v>#N/A</v>
      </c>
      <c r="X425" s="156" t="e">
        <f>+VLOOKUP($L425,Data_Validation!$A:$F,6,0)</f>
        <v>#N/A</v>
      </c>
    </row>
    <row r="426" spans="1:24" ht="15" hidden="1" customHeight="1">
      <c r="A426" s="1163"/>
      <c r="B426" s="1164"/>
      <c r="C426" s="1165"/>
      <c r="D426" s="1165"/>
      <c r="E426" s="1165"/>
      <c r="F426" s="1163"/>
      <c r="G426" s="1163"/>
      <c r="H426" s="1177"/>
      <c r="I426" s="1179"/>
      <c r="J426" s="1179"/>
      <c r="K426" s="1179"/>
      <c r="L426" s="153">
        <f t="shared" si="30"/>
        <v>0</v>
      </c>
      <c r="M426" s="154">
        <f t="shared" si="31"/>
        <v>0</v>
      </c>
      <c r="N426" s="155">
        <f>+IF(OR($Q426=Parametres!$G$2,$Q426=Parametres!$G$3),I426,C426)</f>
        <v>0</v>
      </c>
      <c r="O426" s="1108">
        <f>+IF(OR($Q426=Parametres!$G$2,$Q426=Parametres!$G$3),J426,D426)</f>
        <v>0</v>
      </c>
      <c r="P426" s="155">
        <f>+IF(OR($Q426=Parametres!$G$2,$Q426=Parametres!$G$3),K426,E426)</f>
        <v>0</v>
      </c>
      <c r="Q426" s="154">
        <f t="shared" si="32"/>
        <v>0</v>
      </c>
      <c r="R426" s="153">
        <f t="shared" si="33"/>
        <v>0</v>
      </c>
      <c r="S426" s="154">
        <f t="shared" si="34"/>
        <v>0</v>
      </c>
      <c r="T426" s="156" t="e">
        <f>+VLOOKUP($L426,Data_Validation!$A:$D,1,0)</f>
        <v>#N/A</v>
      </c>
      <c r="U426" s="156" t="e">
        <f>+VLOOKUP($L426,Data_Validation!$A:$D,3,0)</f>
        <v>#N/A</v>
      </c>
      <c r="V426" s="156" t="e">
        <f>+VLOOKUP($L426,Data_Validation!$A:$D,4,0)</f>
        <v>#N/A</v>
      </c>
      <c r="W426" s="156" t="e">
        <f>+VLOOKUP($L426,Data_Validation!$A:$E,5,0)</f>
        <v>#N/A</v>
      </c>
      <c r="X426" s="156" t="e">
        <f>+VLOOKUP($L426,Data_Validation!$A:$F,6,0)</f>
        <v>#N/A</v>
      </c>
    </row>
    <row r="427" spans="1:24" ht="15" hidden="1" customHeight="1">
      <c r="A427" s="1163"/>
      <c r="B427" s="1164"/>
      <c r="C427" s="1165"/>
      <c r="D427" s="1165"/>
      <c r="E427" s="1165"/>
      <c r="F427" s="1163"/>
      <c r="G427" s="1163"/>
      <c r="H427" s="1177"/>
      <c r="I427" s="1177"/>
      <c r="J427" s="1177"/>
      <c r="K427" s="1177"/>
      <c r="L427" s="153">
        <f t="shared" si="30"/>
        <v>0</v>
      </c>
      <c r="M427" s="154">
        <f t="shared" si="31"/>
        <v>0</v>
      </c>
      <c r="N427" s="155">
        <f>+IF(OR($Q427=Parametres!$G$2,$Q427=Parametres!$G$3),I427,C427)</f>
        <v>0</v>
      </c>
      <c r="O427" s="1108">
        <f>+IF(OR($Q427=Parametres!$G$2,$Q427=Parametres!$G$3),J427,D427)</f>
        <v>0</v>
      </c>
      <c r="P427" s="155">
        <f>+IF(OR($Q427=Parametres!$G$2,$Q427=Parametres!$G$3),K427,E427)</f>
        <v>0</v>
      </c>
      <c r="Q427" s="154">
        <f t="shared" si="32"/>
        <v>0</v>
      </c>
      <c r="R427" s="153">
        <f t="shared" si="33"/>
        <v>0</v>
      </c>
      <c r="S427" s="154">
        <f t="shared" si="34"/>
        <v>0</v>
      </c>
      <c r="T427" s="156" t="e">
        <f>+VLOOKUP($L427,Data_Validation!$A:$D,1,0)</f>
        <v>#N/A</v>
      </c>
      <c r="U427" s="156" t="e">
        <f>+VLOOKUP($L427,Data_Validation!$A:$D,3,0)</f>
        <v>#N/A</v>
      </c>
      <c r="V427" s="156" t="e">
        <f>+VLOOKUP($L427,Data_Validation!$A:$D,4,0)</f>
        <v>#N/A</v>
      </c>
      <c r="W427" s="156" t="e">
        <f>+VLOOKUP($L427,Data_Validation!$A:$E,5,0)</f>
        <v>#N/A</v>
      </c>
      <c r="X427" s="156" t="e">
        <f>+VLOOKUP($L427,Data_Validation!$A:$F,6,0)</f>
        <v>#N/A</v>
      </c>
    </row>
    <row r="428" spans="1:24" ht="15" hidden="1" customHeight="1">
      <c r="A428" s="1163"/>
      <c r="B428" s="1164"/>
      <c r="C428" s="1165"/>
      <c r="D428" s="1165"/>
      <c r="E428" s="1165"/>
      <c r="F428" s="1163"/>
      <c r="G428" s="1163"/>
      <c r="H428" s="1168"/>
      <c r="I428" s="1170"/>
      <c r="J428" s="1170"/>
      <c r="K428" s="1170"/>
      <c r="L428" s="153">
        <f t="shared" si="30"/>
        <v>0</v>
      </c>
      <c r="M428" s="154">
        <f t="shared" si="31"/>
        <v>0</v>
      </c>
      <c r="N428" s="155">
        <f>+IF(OR($Q428=Parametres!$G$2,$Q428=Parametres!$G$3),I428,C428)</f>
        <v>0</v>
      </c>
      <c r="O428" s="1108">
        <f>+IF(OR($Q428=Parametres!$G$2,$Q428=Parametres!$G$3),J428,D428)</f>
        <v>0</v>
      </c>
      <c r="P428" s="155">
        <f>+IF(OR($Q428=Parametres!$G$2,$Q428=Parametres!$G$3),K428,E428)</f>
        <v>0</v>
      </c>
      <c r="Q428" s="154">
        <f t="shared" si="32"/>
        <v>0</v>
      </c>
      <c r="R428" s="153">
        <f t="shared" si="33"/>
        <v>0</v>
      </c>
      <c r="S428" s="154">
        <f t="shared" si="34"/>
        <v>0</v>
      </c>
      <c r="T428" s="156" t="e">
        <f>+VLOOKUP($L428,Data_Validation!$A:$D,1,0)</f>
        <v>#N/A</v>
      </c>
      <c r="U428" s="156" t="e">
        <f>+VLOOKUP($L428,Data_Validation!$A:$D,3,0)</f>
        <v>#N/A</v>
      </c>
      <c r="V428" s="156" t="e">
        <f>+VLOOKUP($L428,Data_Validation!$A:$D,4,0)</f>
        <v>#N/A</v>
      </c>
      <c r="W428" s="156" t="e">
        <f>+VLOOKUP($L428,Data_Validation!$A:$E,5,0)</f>
        <v>#N/A</v>
      </c>
      <c r="X428" s="156" t="e">
        <f>+VLOOKUP($L428,Data_Validation!$A:$F,6,0)</f>
        <v>#N/A</v>
      </c>
    </row>
    <row r="429" spans="1:24" ht="15" hidden="1" customHeight="1">
      <c r="A429" s="1163"/>
      <c r="B429" s="1164"/>
      <c r="C429" s="1165"/>
      <c r="D429" s="1165"/>
      <c r="E429" s="1165"/>
      <c r="F429" s="1163"/>
      <c r="G429" s="1163"/>
      <c r="H429" s="1168"/>
      <c r="I429" s="1170"/>
      <c r="J429" s="1170"/>
      <c r="K429" s="1170"/>
      <c r="L429" s="153">
        <f t="shared" si="30"/>
        <v>0</v>
      </c>
      <c r="M429" s="154">
        <f t="shared" si="31"/>
        <v>0</v>
      </c>
      <c r="N429" s="155">
        <f>+IF(OR($Q429=Parametres!$G$2,$Q429=Parametres!$G$3),I429,C429)</f>
        <v>0</v>
      </c>
      <c r="O429" s="1108">
        <f>+IF(OR($Q429=Parametres!$G$2,$Q429=Parametres!$G$3),J429,D429)</f>
        <v>0</v>
      </c>
      <c r="P429" s="155">
        <f>+IF(OR($Q429=Parametres!$G$2,$Q429=Parametres!$G$3),K429,E429)</f>
        <v>0</v>
      </c>
      <c r="Q429" s="154">
        <f t="shared" si="32"/>
        <v>0</v>
      </c>
      <c r="R429" s="153">
        <f t="shared" si="33"/>
        <v>0</v>
      </c>
      <c r="S429" s="154">
        <f t="shared" si="34"/>
        <v>0</v>
      </c>
      <c r="T429" s="156" t="e">
        <f>+VLOOKUP($L429,Data_Validation!$A:$D,1,0)</f>
        <v>#N/A</v>
      </c>
      <c r="U429" s="156" t="e">
        <f>+VLOOKUP($L429,Data_Validation!$A:$D,3,0)</f>
        <v>#N/A</v>
      </c>
      <c r="V429" s="156" t="e">
        <f>+VLOOKUP($L429,Data_Validation!$A:$D,4,0)</f>
        <v>#N/A</v>
      </c>
      <c r="W429" s="156" t="e">
        <f>+VLOOKUP($L429,Data_Validation!$A:$E,5,0)</f>
        <v>#N/A</v>
      </c>
      <c r="X429" s="156" t="e">
        <f>+VLOOKUP($L429,Data_Validation!$A:$F,6,0)</f>
        <v>#N/A</v>
      </c>
    </row>
    <row r="430" spans="1:24" ht="15" hidden="1" customHeight="1">
      <c r="A430" s="1163"/>
      <c r="B430" s="1164"/>
      <c r="C430" s="1165"/>
      <c r="D430" s="1165"/>
      <c r="E430" s="1165"/>
      <c r="F430" s="1163"/>
      <c r="G430" s="1163"/>
      <c r="H430" s="1168"/>
      <c r="I430" s="1174"/>
      <c r="J430" s="1174"/>
      <c r="K430" s="1174"/>
      <c r="L430" s="153">
        <f t="shared" si="30"/>
        <v>0</v>
      </c>
      <c r="M430" s="154">
        <f t="shared" si="31"/>
        <v>0</v>
      </c>
      <c r="N430" s="155">
        <f>+IF(OR($Q430=Parametres!$G$2,$Q430=Parametres!$G$3),I430,C430)</f>
        <v>0</v>
      </c>
      <c r="O430" s="1108">
        <f>+IF(OR($Q430=Parametres!$G$2,$Q430=Parametres!$G$3),J430,D430)</f>
        <v>0</v>
      </c>
      <c r="P430" s="155">
        <f>+IF(OR($Q430=Parametres!$G$2,$Q430=Parametres!$G$3),K430,E430)</f>
        <v>0</v>
      </c>
      <c r="Q430" s="154">
        <f t="shared" si="32"/>
        <v>0</v>
      </c>
      <c r="R430" s="153">
        <f t="shared" si="33"/>
        <v>0</v>
      </c>
      <c r="S430" s="154">
        <f t="shared" si="34"/>
        <v>0</v>
      </c>
      <c r="T430" s="156" t="e">
        <f>+VLOOKUP($L430,Data_Validation!$A:$D,1,0)</f>
        <v>#N/A</v>
      </c>
      <c r="U430" s="156" t="e">
        <f>+VLOOKUP($L430,Data_Validation!$A:$D,3,0)</f>
        <v>#N/A</v>
      </c>
      <c r="V430" s="156" t="e">
        <f>+VLOOKUP($L430,Data_Validation!$A:$D,4,0)</f>
        <v>#N/A</v>
      </c>
      <c r="W430" s="156" t="e">
        <f>+VLOOKUP($L430,Data_Validation!$A:$E,5,0)</f>
        <v>#N/A</v>
      </c>
      <c r="X430" s="156" t="e">
        <f>+VLOOKUP($L430,Data_Validation!$A:$F,6,0)</f>
        <v>#N/A</v>
      </c>
    </row>
    <row r="431" spans="1:24" ht="15.75" hidden="1" customHeight="1">
      <c r="A431" s="1163"/>
      <c r="B431" s="1164"/>
      <c r="C431" s="1165"/>
      <c r="D431" s="1165"/>
      <c r="E431" s="1165"/>
      <c r="F431" s="1163"/>
      <c r="G431" s="1163"/>
      <c r="H431" s="1168"/>
      <c r="I431" s="1174"/>
      <c r="J431" s="1174"/>
      <c r="K431" s="1174"/>
      <c r="L431" s="153">
        <f t="shared" si="30"/>
        <v>0</v>
      </c>
      <c r="M431" s="154">
        <f t="shared" si="31"/>
        <v>0</v>
      </c>
      <c r="N431" s="155">
        <f>+IF(OR($Q431=Parametres!$G$2,$Q431=Parametres!$G$3),I431,C431)</f>
        <v>0</v>
      </c>
      <c r="O431" s="1108">
        <f>+IF(OR($Q431=Parametres!$G$2,$Q431=Parametres!$G$3),J431,D431)</f>
        <v>0</v>
      </c>
      <c r="P431" s="155">
        <f>+IF(OR($Q431=Parametres!$G$2,$Q431=Parametres!$G$3),K431,E431)</f>
        <v>0</v>
      </c>
      <c r="Q431" s="154">
        <f t="shared" si="32"/>
        <v>0</v>
      </c>
      <c r="R431" s="153">
        <f t="shared" si="33"/>
        <v>0</v>
      </c>
      <c r="S431" s="154">
        <f t="shared" si="34"/>
        <v>0</v>
      </c>
      <c r="T431" s="156" t="e">
        <f>+VLOOKUP($L431,Data_Validation!$A:$D,1,0)</f>
        <v>#N/A</v>
      </c>
      <c r="U431" s="156" t="e">
        <f>+VLOOKUP($L431,Data_Validation!$A:$D,3,0)</f>
        <v>#N/A</v>
      </c>
      <c r="V431" s="156" t="e">
        <f>+VLOOKUP($L431,Data_Validation!$A:$D,4,0)</f>
        <v>#N/A</v>
      </c>
      <c r="W431" s="156" t="e">
        <f>+VLOOKUP($L431,Data_Validation!$A:$E,5,0)</f>
        <v>#N/A</v>
      </c>
      <c r="X431" s="156" t="e">
        <f>+VLOOKUP($L431,Data_Validation!$A:$F,6,0)</f>
        <v>#N/A</v>
      </c>
    </row>
    <row r="432" spans="1:24" ht="15" hidden="1" customHeight="1">
      <c r="A432" s="1163"/>
      <c r="B432" s="1164"/>
      <c r="C432" s="1165"/>
      <c r="D432" s="1165"/>
      <c r="E432" s="1165"/>
      <c r="F432" s="1163"/>
      <c r="G432" s="1163"/>
      <c r="H432" s="1175"/>
      <c r="I432" s="1175"/>
      <c r="J432" s="1175"/>
      <c r="K432" s="1175"/>
      <c r="L432" s="153">
        <f t="shared" si="30"/>
        <v>0</v>
      </c>
      <c r="M432" s="154">
        <f t="shared" si="31"/>
        <v>0</v>
      </c>
      <c r="N432" s="155">
        <f>+IF(OR($Q432=Parametres!$G$2,$Q432=Parametres!$G$3),I432,C432)</f>
        <v>0</v>
      </c>
      <c r="O432" s="1106">
        <f>+IF(OR($Q432=Parametres!$G$2,$Q432=Parametres!$G$3),J432,D432)</f>
        <v>0</v>
      </c>
      <c r="P432" s="155">
        <f>+IF(OR($Q432=Parametres!$G$2,$Q432=Parametres!$G$3),K432,E432)</f>
        <v>0</v>
      </c>
      <c r="Q432" s="154">
        <f t="shared" si="32"/>
        <v>0</v>
      </c>
      <c r="R432" s="153">
        <f t="shared" si="33"/>
        <v>0</v>
      </c>
      <c r="S432" s="154">
        <f t="shared" si="34"/>
        <v>0</v>
      </c>
      <c r="T432" s="156" t="e">
        <f>+VLOOKUP($L432,Data_Validation!$A:$D,1,0)</f>
        <v>#N/A</v>
      </c>
      <c r="U432" s="156" t="e">
        <f>+VLOOKUP($L432,Data_Validation!$A:$D,3,0)</f>
        <v>#N/A</v>
      </c>
      <c r="V432" s="156" t="e">
        <f>+VLOOKUP($L432,Data_Validation!$A:$D,4,0)</f>
        <v>#N/A</v>
      </c>
      <c r="W432" s="156" t="e">
        <f>+VLOOKUP($L432,Data_Validation!$A:$E,5,0)</f>
        <v>#N/A</v>
      </c>
      <c r="X432" s="156" t="e">
        <f>+VLOOKUP($L432,Data_Validation!$A:$F,6,0)</f>
        <v>#N/A</v>
      </c>
    </row>
    <row r="433" spans="1:24" ht="15" hidden="1" customHeight="1">
      <c r="A433" s="1163"/>
      <c r="B433" s="1164"/>
      <c r="C433" s="1165"/>
      <c r="D433" s="1165"/>
      <c r="E433" s="1165"/>
      <c r="F433" s="1163"/>
      <c r="G433" s="1163"/>
      <c r="H433" s="1168"/>
      <c r="I433" s="1174"/>
      <c r="J433" s="1174"/>
      <c r="K433" s="1174"/>
      <c r="L433" s="153">
        <f t="shared" si="30"/>
        <v>0</v>
      </c>
      <c r="M433" s="154">
        <f t="shared" si="31"/>
        <v>0</v>
      </c>
      <c r="N433" s="155">
        <f>+IF(OR($Q433=Parametres!$G$2,$Q433=Parametres!$G$3),I433,C433)</f>
        <v>0</v>
      </c>
      <c r="O433" s="1108">
        <f>+IF(OR($Q433=Parametres!$G$2,$Q433=Parametres!$G$3),J433,D433)</f>
        <v>0</v>
      </c>
      <c r="P433" s="155">
        <f>+IF(OR($Q433=Parametres!$G$2,$Q433=Parametres!$G$3),K433,E433)</f>
        <v>0</v>
      </c>
      <c r="Q433" s="154">
        <f t="shared" si="32"/>
        <v>0</v>
      </c>
      <c r="R433" s="153">
        <f t="shared" si="33"/>
        <v>0</v>
      </c>
      <c r="S433" s="154">
        <f t="shared" si="34"/>
        <v>0</v>
      </c>
      <c r="T433" s="156" t="e">
        <f>+VLOOKUP($L433,Data_Validation!$A:$D,1,0)</f>
        <v>#N/A</v>
      </c>
      <c r="U433" s="156" t="e">
        <f>+VLOOKUP($L433,Data_Validation!$A:$D,3,0)</f>
        <v>#N/A</v>
      </c>
      <c r="V433" s="156" t="e">
        <f>+VLOOKUP($L433,Data_Validation!$A:$D,4,0)</f>
        <v>#N/A</v>
      </c>
      <c r="W433" s="156" t="e">
        <f>+VLOOKUP($L433,Data_Validation!$A:$E,5,0)</f>
        <v>#N/A</v>
      </c>
      <c r="X433" s="156" t="e">
        <f>+VLOOKUP($L433,Data_Validation!$A:$F,6,0)</f>
        <v>#N/A</v>
      </c>
    </row>
    <row r="434" spans="1:24" ht="15" hidden="1" customHeight="1">
      <c r="A434" s="1163"/>
      <c r="B434" s="1164"/>
      <c r="C434" s="1165"/>
      <c r="D434" s="1165"/>
      <c r="E434" s="1165"/>
      <c r="F434" s="1163"/>
      <c r="G434" s="1163"/>
      <c r="H434" s="1168"/>
      <c r="I434" s="1174"/>
      <c r="J434" s="1174"/>
      <c r="K434" s="1174"/>
      <c r="L434" s="153">
        <f t="shared" si="30"/>
        <v>0</v>
      </c>
      <c r="M434" s="154">
        <f t="shared" si="31"/>
        <v>0</v>
      </c>
      <c r="N434" s="155">
        <f>+IF(OR($Q434=Parametres!$G$2,$Q434=Parametres!$G$3),I434,C434)</f>
        <v>0</v>
      </c>
      <c r="O434" s="1108">
        <f>+IF(OR($Q434=Parametres!$G$2,$Q434=Parametres!$G$3),J434,D434)</f>
        <v>0</v>
      </c>
      <c r="P434" s="155">
        <f>+IF(OR($Q434=Parametres!$G$2,$Q434=Parametres!$G$3),K434,E434)</f>
        <v>0</v>
      </c>
      <c r="Q434" s="154">
        <f t="shared" si="32"/>
        <v>0</v>
      </c>
      <c r="R434" s="153">
        <f t="shared" si="33"/>
        <v>0</v>
      </c>
      <c r="S434" s="154">
        <f t="shared" si="34"/>
        <v>0</v>
      </c>
      <c r="T434" s="156" t="e">
        <f>+VLOOKUP($L434,Data_Validation!$A:$D,1,0)</f>
        <v>#N/A</v>
      </c>
      <c r="U434" s="156" t="e">
        <f>+VLOOKUP($L434,Data_Validation!$A:$D,3,0)</f>
        <v>#N/A</v>
      </c>
      <c r="V434" s="156" t="e">
        <f>+VLOOKUP($L434,Data_Validation!$A:$D,4,0)</f>
        <v>#N/A</v>
      </c>
      <c r="W434" s="156" t="e">
        <f>+VLOOKUP($L434,Data_Validation!$A:$E,5,0)</f>
        <v>#N/A</v>
      </c>
      <c r="X434" s="156" t="e">
        <f>+VLOOKUP($L434,Data_Validation!$A:$F,6,0)</f>
        <v>#N/A</v>
      </c>
    </row>
    <row r="435" spans="1:24" ht="15.75" hidden="1" customHeight="1">
      <c r="A435" s="1163"/>
      <c r="B435" s="1164"/>
      <c r="C435" s="1165"/>
      <c r="D435" s="1165"/>
      <c r="E435" s="1165"/>
      <c r="F435" s="1163"/>
      <c r="G435" s="1163"/>
      <c r="H435" s="1168"/>
      <c r="I435" s="1174"/>
      <c r="J435" s="1174"/>
      <c r="K435" s="1174"/>
      <c r="L435" s="153">
        <f t="shared" si="30"/>
        <v>0</v>
      </c>
      <c r="M435" s="154">
        <f t="shared" si="31"/>
        <v>0</v>
      </c>
      <c r="N435" s="155">
        <f>+IF(OR($Q435=Parametres!$G$2,$Q435=Parametres!$G$3),I435,C435)</f>
        <v>0</v>
      </c>
      <c r="O435" s="1108">
        <f>+IF(OR($Q435=Parametres!$G$2,$Q435=Parametres!$G$3),J435,D435)</f>
        <v>0</v>
      </c>
      <c r="P435" s="155">
        <f>+IF(OR($Q435=Parametres!$G$2,$Q435=Parametres!$G$3),K435,E435)</f>
        <v>0</v>
      </c>
      <c r="Q435" s="154">
        <f t="shared" si="32"/>
        <v>0</v>
      </c>
      <c r="R435" s="153">
        <f t="shared" si="33"/>
        <v>0</v>
      </c>
      <c r="S435" s="154">
        <f t="shared" si="34"/>
        <v>0</v>
      </c>
      <c r="T435" s="156" t="e">
        <f>+VLOOKUP($L435,Data_Validation!$A:$D,1,0)</f>
        <v>#N/A</v>
      </c>
      <c r="U435" s="156" t="e">
        <f>+VLOOKUP($L435,Data_Validation!$A:$D,3,0)</f>
        <v>#N/A</v>
      </c>
      <c r="V435" s="156" t="e">
        <f>+VLOOKUP($L435,Data_Validation!$A:$D,4,0)</f>
        <v>#N/A</v>
      </c>
      <c r="W435" s="156" t="e">
        <f>+VLOOKUP($L435,Data_Validation!$A:$E,5,0)</f>
        <v>#N/A</v>
      </c>
      <c r="X435" s="156" t="e">
        <f>+VLOOKUP($L435,Data_Validation!$A:$F,6,0)</f>
        <v>#N/A</v>
      </c>
    </row>
    <row r="436" spans="1:24" ht="15" hidden="1" customHeight="1">
      <c r="A436" s="1163"/>
      <c r="B436" s="1164"/>
      <c r="C436" s="1165"/>
      <c r="D436" s="1165"/>
      <c r="E436" s="1165"/>
      <c r="F436" s="1163"/>
      <c r="G436" s="1163"/>
      <c r="H436" s="1168"/>
      <c r="I436" s="1174"/>
      <c r="J436" s="1174"/>
      <c r="K436" s="1174"/>
      <c r="L436" s="153">
        <f t="shared" si="30"/>
        <v>0</v>
      </c>
      <c r="M436" s="154">
        <f t="shared" si="31"/>
        <v>0</v>
      </c>
      <c r="N436" s="155">
        <f>+IF(OR($Q436=Parametres!$G$2,$Q436=Parametres!$G$3),I436,C436)</f>
        <v>0</v>
      </c>
      <c r="O436" s="1108">
        <f>+IF(OR($Q436=Parametres!$G$2,$Q436=Parametres!$G$3),J436,D436)</f>
        <v>0</v>
      </c>
      <c r="P436" s="155">
        <f>+IF(OR($Q436=Parametres!$G$2,$Q436=Parametres!$G$3),K436,E436)</f>
        <v>0</v>
      </c>
      <c r="Q436" s="154">
        <f t="shared" si="32"/>
        <v>0</v>
      </c>
      <c r="R436" s="153">
        <f t="shared" si="33"/>
        <v>0</v>
      </c>
      <c r="S436" s="154">
        <f t="shared" si="34"/>
        <v>0</v>
      </c>
      <c r="T436" s="156" t="e">
        <f>+VLOOKUP($L436,Data_Validation!$A:$D,1,0)</f>
        <v>#N/A</v>
      </c>
      <c r="U436" s="156" t="e">
        <f>+VLOOKUP($L436,Data_Validation!$A:$D,3,0)</f>
        <v>#N/A</v>
      </c>
      <c r="V436" s="156" t="e">
        <f>+VLOOKUP($L436,Data_Validation!$A:$D,4,0)</f>
        <v>#N/A</v>
      </c>
      <c r="W436" s="156" t="e">
        <f>+VLOOKUP($L436,Data_Validation!$A:$E,5,0)</f>
        <v>#N/A</v>
      </c>
      <c r="X436" s="156" t="e">
        <f>+VLOOKUP($L436,Data_Validation!$A:$F,6,0)</f>
        <v>#N/A</v>
      </c>
    </row>
    <row r="437" spans="1:24" ht="15" hidden="1" customHeight="1">
      <c r="A437" s="1163"/>
      <c r="B437" s="1164"/>
      <c r="C437" s="1165"/>
      <c r="D437" s="1165"/>
      <c r="E437" s="1165"/>
      <c r="F437" s="1163"/>
      <c r="G437" s="1163"/>
      <c r="H437" s="1168"/>
      <c r="I437" s="1174"/>
      <c r="J437" s="1174"/>
      <c r="K437" s="1174"/>
      <c r="L437" s="153">
        <f t="shared" si="30"/>
        <v>0</v>
      </c>
      <c r="M437" s="154">
        <f t="shared" si="31"/>
        <v>0</v>
      </c>
      <c r="N437" s="155">
        <f>+IF(OR($Q437=Parametres!$G$2,$Q437=Parametres!$G$3),I437,C437)</f>
        <v>0</v>
      </c>
      <c r="O437" s="1108">
        <f>+IF(OR($Q437=Parametres!$G$2,$Q437=Parametres!$G$3),J437,D437)</f>
        <v>0</v>
      </c>
      <c r="P437" s="155">
        <f>+IF(OR($Q437=Parametres!$G$2,$Q437=Parametres!$G$3),K437,E437)</f>
        <v>0</v>
      </c>
      <c r="Q437" s="154">
        <f t="shared" si="32"/>
        <v>0</v>
      </c>
      <c r="R437" s="153">
        <f t="shared" si="33"/>
        <v>0</v>
      </c>
      <c r="S437" s="154">
        <f t="shared" si="34"/>
        <v>0</v>
      </c>
      <c r="T437" s="156" t="e">
        <f>+VLOOKUP($L437,Data_Validation!$A:$D,1,0)</f>
        <v>#N/A</v>
      </c>
      <c r="U437" s="156" t="e">
        <f>+VLOOKUP($L437,Data_Validation!$A:$D,3,0)</f>
        <v>#N/A</v>
      </c>
      <c r="V437" s="156" t="e">
        <f>+VLOOKUP($L437,Data_Validation!$A:$D,4,0)</f>
        <v>#N/A</v>
      </c>
      <c r="W437" s="156" t="e">
        <f>+VLOOKUP($L437,Data_Validation!$A:$E,5,0)</f>
        <v>#N/A</v>
      </c>
      <c r="X437" s="156" t="e">
        <f>+VLOOKUP($L437,Data_Validation!$A:$F,6,0)</f>
        <v>#N/A</v>
      </c>
    </row>
    <row r="438" spans="1:24" ht="15" hidden="1" customHeight="1">
      <c r="A438" s="1163"/>
      <c r="B438" s="1164"/>
      <c r="C438" s="1165"/>
      <c r="D438" s="1165"/>
      <c r="E438" s="1165"/>
      <c r="F438" s="1163"/>
      <c r="G438" s="1163"/>
      <c r="H438" s="1171"/>
      <c r="I438" s="1171"/>
      <c r="J438" s="1171"/>
      <c r="K438" s="1171"/>
      <c r="L438" s="153">
        <f t="shared" si="30"/>
        <v>0</v>
      </c>
      <c r="M438" s="154">
        <f t="shared" si="31"/>
        <v>0</v>
      </c>
      <c r="N438" s="155">
        <f>+IF(OR($Q438=Parametres!$G$2,$Q438=Parametres!$G$3),I438,C438)</f>
        <v>0</v>
      </c>
      <c r="O438" s="1108">
        <f>+IF(OR($Q438=Parametres!$G$2,$Q438=Parametres!$G$3),J438,D438)</f>
        <v>0</v>
      </c>
      <c r="P438" s="155">
        <f>+IF(OR($Q438=Parametres!$G$2,$Q438=Parametres!$G$3),K438,E438)</f>
        <v>0</v>
      </c>
      <c r="Q438" s="154">
        <f t="shared" si="32"/>
        <v>0</v>
      </c>
      <c r="R438" s="153">
        <f t="shared" si="33"/>
        <v>0</v>
      </c>
      <c r="S438" s="154">
        <f t="shared" si="34"/>
        <v>0</v>
      </c>
      <c r="T438" s="156" t="e">
        <f>+VLOOKUP($L438,Data_Validation!$A:$D,1,0)</f>
        <v>#N/A</v>
      </c>
      <c r="U438" s="156" t="e">
        <f>+VLOOKUP($L438,Data_Validation!$A:$D,3,0)</f>
        <v>#N/A</v>
      </c>
      <c r="V438" s="156" t="e">
        <f>+VLOOKUP($L438,Data_Validation!$A:$D,4,0)</f>
        <v>#N/A</v>
      </c>
      <c r="W438" s="156" t="e">
        <f>+VLOOKUP($L438,Data_Validation!$A:$E,5,0)</f>
        <v>#N/A</v>
      </c>
      <c r="X438" s="156" t="e">
        <f>+VLOOKUP($L438,Data_Validation!$A:$F,6,0)</f>
        <v>#N/A</v>
      </c>
    </row>
    <row r="439" spans="1:24" ht="15" hidden="1" customHeight="1">
      <c r="A439" s="1163"/>
      <c r="B439" s="1164"/>
      <c r="C439" s="1165"/>
      <c r="D439" s="1165"/>
      <c r="E439" s="1165"/>
      <c r="F439" s="1163"/>
      <c r="G439" s="1163"/>
      <c r="H439" s="1175"/>
      <c r="I439" s="1178"/>
      <c r="J439" s="1178"/>
      <c r="K439" s="1178"/>
      <c r="L439" s="153">
        <f t="shared" si="30"/>
        <v>0</v>
      </c>
      <c r="M439" s="154">
        <f t="shared" si="31"/>
        <v>0</v>
      </c>
      <c r="N439" s="155">
        <f>+IF(OR($Q439=Parametres!$G$2,$Q439=Parametres!$G$3),I439,C439)</f>
        <v>0</v>
      </c>
      <c r="O439" s="1108">
        <f>+IF(OR($Q439=Parametres!$G$2,$Q439=Parametres!$G$3),J439,D439)</f>
        <v>0</v>
      </c>
      <c r="P439" s="155">
        <f>+IF(OR($Q439=Parametres!$G$2,$Q439=Parametres!$G$3),K439,E439)</f>
        <v>0</v>
      </c>
      <c r="Q439" s="154">
        <f t="shared" si="32"/>
        <v>0</v>
      </c>
      <c r="R439" s="153">
        <f t="shared" si="33"/>
        <v>0</v>
      </c>
      <c r="S439" s="154">
        <f t="shared" si="34"/>
        <v>0</v>
      </c>
      <c r="T439" s="156" t="e">
        <f>+VLOOKUP($L439,Data_Validation!$A:$D,1,0)</f>
        <v>#N/A</v>
      </c>
      <c r="U439" s="156" t="e">
        <f>+VLOOKUP($L439,Data_Validation!$A:$D,3,0)</f>
        <v>#N/A</v>
      </c>
      <c r="V439" s="156" t="e">
        <f>+VLOOKUP($L439,Data_Validation!$A:$D,4,0)</f>
        <v>#N/A</v>
      </c>
      <c r="W439" s="156" t="e">
        <f>+VLOOKUP($L439,Data_Validation!$A:$E,5,0)</f>
        <v>#N/A</v>
      </c>
      <c r="X439" s="156" t="e">
        <f>+VLOOKUP($L439,Data_Validation!$A:$F,6,0)</f>
        <v>#N/A</v>
      </c>
    </row>
    <row r="440" spans="1:24" ht="15" hidden="1" customHeight="1">
      <c r="A440" s="1163"/>
      <c r="B440" s="1164"/>
      <c r="C440" s="1165"/>
      <c r="D440" s="1165"/>
      <c r="E440" s="1165"/>
      <c r="F440" s="1163"/>
      <c r="G440" s="1163"/>
      <c r="H440" s="1171"/>
      <c r="I440" s="1171"/>
      <c r="J440" s="1171"/>
      <c r="K440" s="1171"/>
      <c r="L440" s="153">
        <f t="shared" si="30"/>
        <v>0</v>
      </c>
      <c r="M440" s="154">
        <f t="shared" si="31"/>
        <v>0</v>
      </c>
      <c r="N440" s="155">
        <f>+IF(OR($Q440=Parametres!$G$2,$Q440=Parametres!$G$3),I440,C440)</f>
        <v>0</v>
      </c>
      <c r="O440" s="1108">
        <f>+IF(OR($Q440=Parametres!$G$2,$Q440=Parametres!$G$3),J440,D440)</f>
        <v>0</v>
      </c>
      <c r="P440" s="155">
        <f>+IF(OR($Q440=Parametres!$G$2,$Q440=Parametres!$G$3),K440,E440)</f>
        <v>0</v>
      </c>
      <c r="Q440" s="154">
        <f t="shared" si="32"/>
        <v>0</v>
      </c>
      <c r="R440" s="153">
        <f t="shared" si="33"/>
        <v>0</v>
      </c>
      <c r="S440" s="154">
        <f t="shared" si="34"/>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hidden="1" customHeight="1">
      <c r="A441" s="1163"/>
      <c r="B441" s="1164"/>
      <c r="C441" s="1165"/>
      <c r="D441" s="1165"/>
      <c r="E441" s="1165"/>
      <c r="F441" s="1163"/>
      <c r="G441" s="1163"/>
      <c r="H441" s="1171"/>
      <c r="I441" s="1171"/>
      <c r="J441" s="1171"/>
      <c r="K441" s="1171"/>
      <c r="L441" s="153">
        <f t="shared" si="30"/>
        <v>0</v>
      </c>
      <c r="M441" s="154">
        <f t="shared" si="31"/>
        <v>0</v>
      </c>
      <c r="N441" s="155">
        <f>+IF(OR($Q441=Parametres!$G$2,$Q441=Parametres!$G$3),I441,C441)</f>
        <v>0</v>
      </c>
      <c r="O441" s="1108">
        <f>+IF(OR($Q441=Parametres!$G$2,$Q441=Parametres!$G$3),J441,D441)</f>
        <v>0</v>
      </c>
      <c r="P441" s="155">
        <f>+IF(OR($Q441=Parametres!$G$2,$Q441=Parametres!$G$3),K441,E441)</f>
        <v>0</v>
      </c>
      <c r="Q441" s="154">
        <f t="shared" si="32"/>
        <v>0</v>
      </c>
      <c r="R441" s="153">
        <f t="shared" si="33"/>
        <v>0</v>
      </c>
      <c r="S441" s="154">
        <f t="shared" si="34"/>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hidden="1" customHeight="1">
      <c r="A442" s="1163"/>
      <c r="B442" s="1164"/>
      <c r="C442" s="1165"/>
      <c r="D442" s="1165"/>
      <c r="E442" s="1165"/>
      <c r="F442" s="1163"/>
      <c r="G442" s="1163"/>
      <c r="H442" s="1175"/>
      <c r="I442" s="1178"/>
      <c r="J442" s="1178"/>
      <c r="K442" s="1178"/>
      <c r="L442" s="153">
        <f t="shared" si="30"/>
        <v>0</v>
      </c>
      <c r="M442" s="154">
        <f t="shared" si="31"/>
        <v>0</v>
      </c>
      <c r="N442" s="155">
        <f>+IF(OR($Q442=Parametres!$G$2,$Q442=Parametres!$G$3),I442,C442)</f>
        <v>0</v>
      </c>
      <c r="O442" s="1108">
        <f>+IF(OR($Q442=Parametres!$G$2,$Q442=Parametres!$G$3),J442,D442)</f>
        <v>0</v>
      </c>
      <c r="P442" s="155">
        <f>+IF(OR($Q442=Parametres!$G$2,$Q442=Parametres!$G$3),K442,E442)</f>
        <v>0</v>
      </c>
      <c r="Q442" s="154">
        <f t="shared" si="32"/>
        <v>0</v>
      </c>
      <c r="R442" s="153">
        <f t="shared" si="33"/>
        <v>0</v>
      </c>
      <c r="S442" s="154">
        <f t="shared" si="34"/>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hidden="1" customHeight="1">
      <c r="A443" s="1163"/>
      <c r="B443" s="1164"/>
      <c r="C443" s="1165"/>
      <c r="D443" s="1165"/>
      <c r="E443" s="1165"/>
      <c r="F443" s="1163"/>
      <c r="G443" s="1163"/>
      <c r="H443" s="1171"/>
      <c r="I443" s="1171"/>
      <c r="J443" s="1171"/>
      <c r="K443" s="1171"/>
      <c r="L443" s="153">
        <f t="shared" si="30"/>
        <v>0</v>
      </c>
      <c r="M443" s="154">
        <f t="shared" si="31"/>
        <v>0</v>
      </c>
      <c r="N443" s="155">
        <f>+IF(OR($Q443=Parametres!$G$2,$Q443=Parametres!$G$3),I443,C443)</f>
        <v>0</v>
      </c>
      <c r="O443" s="1109">
        <f>+IF(OR($Q443=Parametres!$G$2,$Q443=Parametres!$G$3),J443,D443)</f>
        <v>0</v>
      </c>
      <c r="P443" s="155">
        <f>+IF(OR($Q443=Parametres!$G$2,$Q443=Parametres!$G$3),K443,E443)</f>
        <v>0</v>
      </c>
      <c r="Q443" s="154">
        <f t="shared" si="32"/>
        <v>0</v>
      </c>
      <c r="R443" s="153">
        <f t="shared" si="33"/>
        <v>0</v>
      </c>
      <c r="S443" s="154">
        <f t="shared" si="34"/>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hidden="1" customHeight="1">
      <c r="A444" s="1163"/>
      <c r="B444" s="1164"/>
      <c r="C444" s="1165"/>
      <c r="D444" s="1165"/>
      <c r="E444" s="1165"/>
      <c r="F444" s="1163"/>
      <c r="G444" s="1163"/>
      <c r="H444" s="1171"/>
      <c r="I444" s="1171"/>
      <c r="J444" s="1171"/>
      <c r="K444" s="1171"/>
      <c r="L444" s="153">
        <f t="shared" si="30"/>
        <v>0</v>
      </c>
      <c r="M444" s="154">
        <f t="shared" si="31"/>
        <v>0</v>
      </c>
      <c r="N444" s="155">
        <f>+IF(OR($Q444=Parametres!$G$2,$Q444=Parametres!$G$3),I444,C444)</f>
        <v>0</v>
      </c>
      <c r="O444" s="1106">
        <f>+IF(OR($Q444=Parametres!$G$2,$Q444=Parametres!$G$3),J444,D444)</f>
        <v>0</v>
      </c>
      <c r="P444" s="155">
        <f>+IF(OR($Q444=Parametres!$G$2,$Q444=Parametres!$G$3),K444,E444)</f>
        <v>0</v>
      </c>
      <c r="Q444" s="154">
        <f t="shared" si="32"/>
        <v>0</v>
      </c>
      <c r="R444" s="153">
        <f t="shared" si="33"/>
        <v>0</v>
      </c>
      <c r="S444" s="154">
        <f t="shared" si="34"/>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hidden="1" customHeight="1">
      <c r="A445" s="1163"/>
      <c r="B445" s="1164"/>
      <c r="C445" s="1165"/>
      <c r="D445" s="1165"/>
      <c r="E445" s="1165"/>
      <c r="F445" s="1163"/>
      <c r="G445" s="1163"/>
      <c r="H445" s="1168"/>
      <c r="I445" s="1170"/>
      <c r="J445" s="1170"/>
      <c r="K445" s="1170"/>
      <c r="L445" s="153">
        <f t="shared" si="30"/>
        <v>0</v>
      </c>
      <c r="M445" s="154">
        <f t="shared" si="31"/>
        <v>0</v>
      </c>
      <c r="N445" s="155">
        <f>+IF(OR($Q445=Parametres!$G$2,$Q445=Parametres!$G$3),I445,C445)</f>
        <v>0</v>
      </c>
      <c r="O445" s="1108">
        <f>+IF(OR($Q445=Parametres!$G$2,$Q445=Parametres!$G$3),J445,D445)</f>
        <v>0</v>
      </c>
      <c r="P445" s="155">
        <f>+IF(OR($Q445=Parametres!$G$2,$Q445=Parametres!$G$3),K445,E445)</f>
        <v>0</v>
      </c>
      <c r="Q445" s="154">
        <f t="shared" si="32"/>
        <v>0</v>
      </c>
      <c r="R445" s="153">
        <f t="shared" si="33"/>
        <v>0</v>
      </c>
      <c r="S445" s="154">
        <f t="shared" si="34"/>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hidden="1" customHeight="1">
      <c r="A446" s="1163"/>
      <c r="B446" s="1164"/>
      <c r="C446" s="1165"/>
      <c r="D446" s="1165"/>
      <c r="E446" s="1165"/>
      <c r="F446" s="1163"/>
      <c r="G446" s="1163"/>
      <c r="H446" s="1171"/>
      <c r="I446" s="1171"/>
      <c r="J446" s="1171"/>
      <c r="K446" s="1171"/>
      <c r="L446" s="153">
        <f t="shared" si="30"/>
        <v>0</v>
      </c>
      <c r="M446" s="154">
        <f t="shared" si="31"/>
        <v>0</v>
      </c>
      <c r="N446" s="155">
        <f>+IF(OR($Q446=Parametres!$G$2,$Q446=Parametres!$G$3),I446,C446)</f>
        <v>0</v>
      </c>
      <c r="O446" s="1108">
        <f>+IF(OR($Q446=Parametres!$G$2,$Q446=Parametres!$G$3),J446,D446)</f>
        <v>0</v>
      </c>
      <c r="P446" s="155">
        <f>+IF(OR($Q446=Parametres!$G$2,$Q446=Parametres!$G$3),K446,E446)</f>
        <v>0</v>
      </c>
      <c r="Q446" s="154">
        <f t="shared" si="32"/>
        <v>0</v>
      </c>
      <c r="R446" s="153">
        <f t="shared" si="33"/>
        <v>0</v>
      </c>
      <c r="S446" s="154">
        <f t="shared" si="34"/>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hidden="1" customHeight="1">
      <c r="A447" s="1163"/>
      <c r="B447" s="1164"/>
      <c r="C447" s="1165"/>
      <c r="D447" s="1165"/>
      <c r="E447" s="1165"/>
      <c r="F447" s="1163"/>
      <c r="G447" s="1163"/>
      <c r="H447" s="1171"/>
      <c r="I447" s="1173"/>
      <c r="J447" s="1173"/>
      <c r="K447" s="1173"/>
      <c r="L447" s="153">
        <f t="shared" si="30"/>
        <v>0</v>
      </c>
      <c r="M447" s="154">
        <f t="shared" si="31"/>
        <v>0</v>
      </c>
      <c r="N447" s="155">
        <f>+IF(OR($Q447=Parametres!$G$2,$Q447=Parametres!$G$3),I447,C447)</f>
        <v>0</v>
      </c>
      <c r="O447" s="1106">
        <f>+IF(OR($Q447=Parametres!$G$2,$Q447=Parametres!$G$3),J447,D447)</f>
        <v>0</v>
      </c>
      <c r="P447" s="155">
        <f>+IF(OR($Q447=Parametres!$G$2,$Q447=Parametres!$G$3),K447,E447)</f>
        <v>0</v>
      </c>
      <c r="Q447" s="154">
        <f t="shared" si="32"/>
        <v>0</v>
      </c>
      <c r="R447" s="153">
        <f t="shared" si="33"/>
        <v>0</v>
      </c>
      <c r="S447" s="154">
        <f t="shared" si="34"/>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hidden="1" customHeight="1">
      <c r="A448" s="1163"/>
      <c r="B448" s="1164"/>
      <c r="C448" s="1165"/>
      <c r="D448" s="1165"/>
      <c r="E448" s="1165"/>
      <c r="F448" s="1163"/>
      <c r="G448" s="1163"/>
      <c r="H448" s="1168"/>
      <c r="I448" s="1170"/>
      <c r="J448" s="1170"/>
      <c r="K448" s="1170"/>
      <c r="L448" s="153">
        <f t="shared" si="30"/>
        <v>0</v>
      </c>
      <c r="M448" s="154">
        <f t="shared" si="31"/>
        <v>0</v>
      </c>
      <c r="N448" s="155">
        <f>+IF(OR($Q448=Parametres!$G$2,$Q448=Parametres!$G$3),I448,C448)</f>
        <v>0</v>
      </c>
      <c r="O448" s="1108">
        <f>+IF(OR($Q448=Parametres!$G$2,$Q448=Parametres!$G$3),J448,D448)</f>
        <v>0</v>
      </c>
      <c r="P448" s="155">
        <f>+IF(OR($Q448=Parametres!$G$2,$Q448=Parametres!$G$3),K448,E448)</f>
        <v>0</v>
      </c>
      <c r="Q448" s="154">
        <f t="shared" si="32"/>
        <v>0</v>
      </c>
      <c r="R448" s="153">
        <f t="shared" si="33"/>
        <v>0</v>
      </c>
      <c r="S448" s="154">
        <f t="shared" si="34"/>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hidden="1" customHeight="1">
      <c r="A449" s="1163"/>
      <c r="B449" s="1164"/>
      <c r="C449" s="1165"/>
      <c r="D449" s="1165"/>
      <c r="E449" s="1165"/>
      <c r="F449" s="1163"/>
      <c r="G449" s="1163"/>
      <c r="H449" s="1171"/>
      <c r="I449" s="1173"/>
      <c r="J449" s="1173"/>
      <c r="K449" s="1173"/>
      <c r="L449" s="153">
        <f t="shared" si="30"/>
        <v>0</v>
      </c>
      <c r="M449" s="154">
        <f t="shared" si="31"/>
        <v>0</v>
      </c>
      <c r="N449" s="155">
        <f>+IF(OR($Q449=Parametres!$G$2,$Q449=Parametres!$G$3),I449,C449)</f>
        <v>0</v>
      </c>
      <c r="O449" s="1106">
        <f>+IF(OR($Q449=Parametres!$G$2,$Q449=Parametres!$G$3),J449,D449)</f>
        <v>0</v>
      </c>
      <c r="P449" s="155">
        <f>+IF(OR($Q449=Parametres!$G$2,$Q449=Parametres!$G$3),K449,E449)</f>
        <v>0</v>
      </c>
      <c r="Q449" s="154">
        <f t="shared" si="32"/>
        <v>0</v>
      </c>
      <c r="R449" s="153">
        <f t="shared" si="33"/>
        <v>0</v>
      </c>
      <c r="S449" s="154">
        <f t="shared" si="34"/>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hidden="1" customHeight="1">
      <c r="A450" s="1163"/>
      <c r="B450" s="1164"/>
      <c r="C450" s="1165"/>
      <c r="D450" s="1165"/>
      <c r="E450" s="1165"/>
      <c r="F450" s="1163"/>
      <c r="G450" s="1163"/>
      <c r="H450" s="1171"/>
      <c r="I450" s="1172"/>
      <c r="J450" s="1171"/>
      <c r="K450" s="1172"/>
      <c r="L450" s="153">
        <f t="shared" ref="L450:L513" si="35">+B450</f>
        <v>0</v>
      </c>
      <c r="M450" s="154">
        <f t="shared" ref="M450:M513" si="36">+A450</f>
        <v>0</v>
      </c>
      <c r="N450" s="155">
        <f>+IF(OR($Q450=Parametres!$G$2,$Q450=Parametres!$G$3),I450,C450)</f>
        <v>0</v>
      </c>
      <c r="O450" s="1108">
        <f>+IF(OR($Q450=Parametres!$G$2,$Q450=Parametres!$G$3),J450,D450)</f>
        <v>0</v>
      </c>
      <c r="P450" s="155">
        <f>+IF(OR($Q450=Parametres!$G$2,$Q450=Parametres!$G$3),K450,E450)</f>
        <v>0</v>
      </c>
      <c r="Q450" s="154">
        <f t="shared" ref="Q450:Q513" si="37">+F450</f>
        <v>0</v>
      </c>
      <c r="R450" s="153">
        <f t="shared" ref="R450:R513" si="38">+G450</f>
        <v>0</v>
      </c>
      <c r="S450" s="154">
        <f t="shared" ref="S450:S513" si="39">+H450</f>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75" hidden="1" customHeight="1">
      <c r="A451" s="1163"/>
      <c r="B451" s="1164"/>
      <c r="C451" s="1165"/>
      <c r="D451" s="1165"/>
      <c r="E451" s="1165"/>
      <c r="F451" s="1163"/>
      <c r="G451" s="1163"/>
      <c r="H451" s="1175"/>
      <c r="I451" s="1178"/>
      <c r="J451" s="1178"/>
      <c r="K451" s="1178"/>
      <c r="L451" s="153">
        <f t="shared" si="35"/>
        <v>0</v>
      </c>
      <c r="M451" s="154">
        <f t="shared" si="36"/>
        <v>0</v>
      </c>
      <c r="N451" s="155">
        <f>+IF(OR($Q451=Parametres!$G$2,$Q451=Parametres!$G$3),I451,C451)</f>
        <v>0</v>
      </c>
      <c r="O451" s="1108">
        <f>+IF(OR($Q451=Parametres!$G$2,$Q451=Parametres!$G$3),J451,D451)</f>
        <v>0</v>
      </c>
      <c r="P451" s="155">
        <f>+IF(OR($Q451=Parametres!$G$2,$Q451=Parametres!$G$3),K451,E451)</f>
        <v>0</v>
      </c>
      <c r="Q451" s="154">
        <f t="shared" si="37"/>
        <v>0</v>
      </c>
      <c r="R451" s="153">
        <f t="shared" si="38"/>
        <v>0</v>
      </c>
      <c r="S451" s="154">
        <f t="shared" si="39"/>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 hidden="1" customHeight="1">
      <c r="A452" s="1163"/>
      <c r="B452" s="1164"/>
      <c r="C452" s="1165"/>
      <c r="D452" s="1165"/>
      <c r="E452" s="1165"/>
      <c r="F452" s="1163"/>
      <c r="G452" s="1163"/>
      <c r="H452" s="1171"/>
      <c r="I452" s="1171"/>
      <c r="J452" s="1171"/>
      <c r="K452" s="1171"/>
      <c r="L452" s="153">
        <f t="shared" si="35"/>
        <v>0</v>
      </c>
      <c r="M452" s="154">
        <f t="shared" si="36"/>
        <v>0</v>
      </c>
      <c r="N452" s="155">
        <f>+IF(OR($Q452=Parametres!$G$2,$Q452=Parametres!$G$3),I452,C452)</f>
        <v>0</v>
      </c>
      <c r="O452" s="1108">
        <f>+IF(OR($Q452=Parametres!$G$2,$Q452=Parametres!$G$3),J452,D452)</f>
        <v>0</v>
      </c>
      <c r="P452" s="155">
        <f>+IF(OR($Q452=Parametres!$G$2,$Q452=Parametres!$G$3),K452,E452)</f>
        <v>0</v>
      </c>
      <c r="Q452" s="154">
        <f t="shared" si="37"/>
        <v>0</v>
      </c>
      <c r="R452" s="153">
        <f t="shared" si="38"/>
        <v>0</v>
      </c>
      <c r="S452" s="154">
        <f t="shared" si="39"/>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hidden="1" customHeight="1">
      <c r="A453" s="1163"/>
      <c r="B453" s="1164"/>
      <c r="C453" s="1165"/>
      <c r="D453" s="1165"/>
      <c r="E453" s="1165"/>
      <c r="F453" s="1163"/>
      <c r="G453" s="1163"/>
      <c r="H453" s="1171"/>
      <c r="I453" s="1171"/>
      <c r="J453" s="1171"/>
      <c r="K453" s="1171"/>
      <c r="L453" s="153">
        <f t="shared" si="35"/>
        <v>0</v>
      </c>
      <c r="M453" s="154">
        <f t="shared" si="36"/>
        <v>0</v>
      </c>
      <c r="N453" s="155">
        <f>+IF(OR($Q453=Parametres!$G$2,$Q453=Parametres!$G$3),I453,C453)</f>
        <v>0</v>
      </c>
      <c r="O453" s="1106">
        <f>+IF(OR($Q453=Parametres!$G$2,$Q453=Parametres!$G$3),J453,D453)</f>
        <v>0</v>
      </c>
      <c r="P453" s="155">
        <f>+IF(OR($Q453=Parametres!$G$2,$Q453=Parametres!$G$3),K453,E453)</f>
        <v>0</v>
      </c>
      <c r="Q453" s="154">
        <f t="shared" si="37"/>
        <v>0</v>
      </c>
      <c r="R453" s="153">
        <f t="shared" si="38"/>
        <v>0</v>
      </c>
      <c r="S453" s="154">
        <f t="shared" si="39"/>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hidden="1" customHeight="1">
      <c r="A454" s="1163"/>
      <c r="B454" s="1164"/>
      <c r="C454" s="1165"/>
      <c r="D454" s="1165"/>
      <c r="E454" s="1165"/>
      <c r="F454" s="1163"/>
      <c r="G454" s="1163"/>
      <c r="H454" s="1171"/>
      <c r="I454" s="1171"/>
      <c r="J454" s="1171"/>
      <c r="K454" s="1171"/>
      <c r="L454" s="153">
        <f t="shared" si="35"/>
        <v>0</v>
      </c>
      <c r="M454" s="154">
        <f t="shared" si="36"/>
        <v>0</v>
      </c>
      <c r="N454" s="155">
        <f>+IF(OR($Q454=Parametres!$G$2,$Q454=Parametres!$G$3),I454,C454)</f>
        <v>0</v>
      </c>
      <c r="O454" s="1109">
        <f>+IF(OR($Q454=Parametres!$G$2,$Q454=Parametres!$G$3),J454,D454)</f>
        <v>0</v>
      </c>
      <c r="P454" s="155">
        <f>+IF(OR($Q454=Parametres!$G$2,$Q454=Parametres!$G$3),K454,E454)</f>
        <v>0</v>
      </c>
      <c r="Q454" s="154">
        <f t="shared" si="37"/>
        <v>0</v>
      </c>
      <c r="R454" s="153">
        <f t="shared" si="38"/>
        <v>0</v>
      </c>
      <c r="S454" s="154">
        <f t="shared" si="39"/>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75" hidden="1" customHeight="1">
      <c r="A455" s="1163"/>
      <c r="B455" s="1164"/>
      <c r="C455" s="1165"/>
      <c r="D455" s="1165"/>
      <c r="E455" s="1165"/>
      <c r="F455" s="1163"/>
      <c r="G455" s="1163"/>
      <c r="H455" s="1175"/>
      <c r="I455" s="1178"/>
      <c r="J455" s="1178"/>
      <c r="K455" s="1178"/>
      <c r="L455" s="153">
        <f t="shared" si="35"/>
        <v>0</v>
      </c>
      <c r="M455" s="154">
        <f t="shared" si="36"/>
        <v>0</v>
      </c>
      <c r="N455" s="155">
        <f>+IF(OR($Q455=Parametres!$G$2,$Q455=Parametres!$G$3),I455,C455)</f>
        <v>0</v>
      </c>
      <c r="O455" s="1108">
        <f>+IF(OR($Q455=Parametres!$G$2,$Q455=Parametres!$G$3),J455,D455)</f>
        <v>0</v>
      </c>
      <c r="P455" s="155">
        <f>+IF(OR($Q455=Parametres!$G$2,$Q455=Parametres!$G$3),K455,E455)</f>
        <v>0</v>
      </c>
      <c r="Q455" s="154">
        <f t="shared" si="37"/>
        <v>0</v>
      </c>
      <c r="R455" s="153">
        <f t="shared" si="38"/>
        <v>0</v>
      </c>
      <c r="S455" s="154">
        <f t="shared" si="39"/>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 hidden="1" customHeight="1">
      <c r="A456" s="1163"/>
      <c r="B456" s="1164"/>
      <c r="C456" s="1165"/>
      <c r="D456" s="1165"/>
      <c r="E456" s="1165"/>
      <c r="F456" s="1163"/>
      <c r="G456" s="1163"/>
      <c r="H456" s="1168"/>
      <c r="I456" s="1174"/>
      <c r="J456" s="1174"/>
      <c r="K456" s="1174"/>
      <c r="L456" s="153">
        <f t="shared" si="35"/>
        <v>0</v>
      </c>
      <c r="M456" s="154">
        <f t="shared" si="36"/>
        <v>0</v>
      </c>
      <c r="N456" s="155">
        <f>+IF(OR($Q456=Parametres!$G$2,$Q456=Parametres!$G$3),I456,C456)</f>
        <v>0</v>
      </c>
      <c r="O456" s="1108">
        <f>+IF(OR($Q456=Parametres!$G$2,$Q456=Parametres!$G$3),J456,D456)</f>
        <v>0</v>
      </c>
      <c r="P456" s="155">
        <f>+IF(OR($Q456=Parametres!$G$2,$Q456=Parametres!$G$3),K456,E456)</f>
        <v>0</v>
      </c>
      <c r="Q456" s="154">
        <f t="shared" si="37"/>
        <v>0</v>
      </c>
      <c r="R456" s="153">
        <f t="shared" si="38"/>
        <v>0</v>
      </c>
      <c r="S456" s="154">
        <f t="shared" si="39"/>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hidden="1" customHeight="1">
      <c r="A457" s="1163"/>
      <c r="B457" s="1164"/>
      <c r="C457" s="1165"/>
      <c r="D457" s="1165"/>
      <c r="E457" s="1165"/>
      <c r="F457" s="1163"/>
      <c r="G457" s="1163"/>
      <c r="H457" s="1175"/>
      <c r="I457" s="1178"/>
      <c r="J457" s="1178"/>
      <c r="K457" s="1178"/>
      <c r="L457" s="153">
        <f t="shared" si="35"/>
        <v>0</v>
      </c>
      <c r="M457" s="154">
        <f t="shared" si="36"/>
        <v>0</v>
      </c>
      <c r="N457" s="155">
        <f>+IF(OR($Q457=Parametres!$G$2,$Q457=Parametres!$G$3),I457,C457)</f>
        <v>0</v>
      </c>
      <c r="O457" s="1108">
        <f>+IF(OR($Q457=Parametres!$G$2,$Q457=Parametres!$G$3),J457,D457)</f>
        <v>0</v>
      </c>
      <c r="P457" s="155">
        <f>+IF(OR($Q457=Parametres!$G$2,$Q457=Parametres!$G$3),K457,E457)</f>
        <v>0</v>
      </c>
      <c r="Q457" s="154">
        <f t="shared" si="37"/>
        <v>0</v>
      </c>
      <c r="R457" s="153">
        <f t="shared" si="38"/>
        <v>0</v>
      </c>
      <c r="S457" s="154">
        <f t="shared" si="39"/>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hidden="1" customHeight="1">
      <c r="A458" s="1163"/>
      <c r="B458" s="1164"/>
      <c r="C458" s="1165"/>
      <c r="D458" s="1165"/>
      <c r="E458" s="1165"/>
      <c r="F458" s="1163"/>
      <c r="G458" s="1163"/>
      <c r="H458" s="1175"/>
      <c r="I458" s="1178"/>
      <c r="J458" s="1178"/>
      <c r="K458" s="1178"/>
      <c r="L458" s="153">
        <f t="shared" si="35"/>
        <v>0</v>
      </c>
      <c r="M458" s="154">
        <f t="shared" si="36"/>
        <v>0</v>
      </c>
      <c r="N458" s="155">
        <f>+IF(OR($Q458=Parametres!$G$2,$Q458=Parametres!$G$3),I458,C458)</f>
        <v>0</v>
      </c>
      <c r="O458" s="1108">
        <f>+IF(OR($Q458=Parametres!$G$2,$Q458=Parametres!$G$3),J458,D458)</f>
        <v>0</v>
      </c>
      <c r="P458" s="155">
        <f>+IF(OR($Q458=Parametres!$G$2,$Q458=Parametres!$G$3),K458,E458)</f>
        <v>0</v>
      </c>
      <c r="Q458" s="154">
        <f t="shared" si="37"/>
        <v>0</v>
      </c>
      <c r="R458" s="153">
        <f t="shared" si="38"/>
        <v>0</v>
      </c>
      <c r="S458" s="154">
        <f t="shared" si="39"/>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hidden="1" customHeight="1">
      <c r="A459" s="1163"/>
      <c r="B459" s="1164"/>
      <c r="C459" s="1165"/>
      <c r="D459" s="1165"/>
      <c r="E459" s="1165"/>
      <c r="F459" s="1163"/>
      <c r="G459" s="1163"/>
      <c r="H459" s="1175"/>
      <c r="I459" s="1175"/>
      <c r="J459" s="1175"/>
      <c r="K459" s="1175"/>
      <c r="L459" s="153">
        <f t="shared" si="35"/>
        <v>0</v>
      </c>
      <c r="M459" s="154">
        <f t="shared" si="36"/>
        <v>0</v>
      </c>
      <c r="N459" s="155">
        <f>+IF(OR($Q459=Parametres!$G$2,$Q459=Parametres!$G$3),I459,C459)</f>
        <v>0</v>
      </c>
      <c r="O459" s="1108">
        <f>+IF(OR($Q459=Parametres!$G$2,$Q459=Parametres!$G$3),J459,D459)</f>
        <v>0</v>
      </c>
      <c r="P459" s="155">
        <f>+IF(OR($Q459=Parametres!$G$2,$Q459=Parametres!$G$3),K459,E459)</f>
        <v>0</v>
      </c>
      <c r="Q459" s="154">
        <f t="shared" si="37"/>
        <v>0</v>
      </c>
      <c r="R459" s="153">
        <f t="shared" si="38"/>
        <v>0</v>
      </c>
      <c r="S459" s="154">
        <f t="shared" si="39"/>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hidden="1" customHeight="1">
      <c r="A460" s="1163"/>
      <c r="B460" s="1164"/>
      <c r="C460" s="1165"/>
      <c r="D460" s="1165"/>
      <c r="E460" s="1165"/>
      <c r="F460" s="1163"/>
      <c r="G460" s="1163"/>
      <c r="H460" s="1175"/>
      <c r="I460" s="1175"/>
      <c r="J460" s="1175"/>
      <c r="K460" s="1175"/>
      <c r="L460" s="153">
        <f t="shared" si="35"/>
        <v>0</v>
      </c>
      <c r="M460" s="154">
        <f t="shared" si="36"/>
        <v>0</v>
      </c>
      <c r="N460" s="155">
        <f>+IF(OR($Q460=Parametres!$G$2,$Q460=Parametres!$G$3),I460,C460)</f>
        <v>0</v>
      </c>
      <c r="O460" s="1108">
        <f>+IF(OR($Q460=Parametres!$G$2,$Q460=Parametres!$G$3),J460,D460)</f>
        <v>0</v>
      </c>
      <c r="P460" s="155">
        <f>+IF(OR($Q460=Parametres!$G$2,$Q460=Parametres!$G$3),K460,E460)</f>
        <v>0</v>
      </c>
      <c r="Q460" s="154">
        <f t="shared" si="37"/>
        <v>0</v>
      </c>
      <c r="R460" s="153">
        <f t="shared" si="38"/>
        <v>0</v>
      </c>
      <c r="S460" s="154">
        <f t="shared" si="39"/>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hidden="1" customHeight="1">
      <c r="A461" s="1163"/>
      <c r="B461" s="1164"/>
      <c r="C461" s="1165"/>
      <c r="D461" s="1165"/>
      <c r="E461" s="1165"/>
      <c r="F461" s="1163"/>
      <c r="G461" s="1163"/>
      <c r="H461" s="1168"/>
      <c r="I461" s="1174"/>
      <c r="J461" s="1174"/>
      <c r="K461" s="1174"/>
      <c r="L461" s="153">
        <f t="shared" si="35"/>
        <v>0</v>
      </c>
      <c r="M461" s="154">
        <f t="shared" si="36"/>
        <v>0</v>
      </c>
      <c r="N461" s="155">
        <f>+IF(OR($Q461=Parametres!$G$2,$Q461=Parametres!$G$3),I461,C461)</f>
        <v>0</v>
      </c>
      <c r="O461" s="1108">
        <f>+IF(OR($Q461=Parametres!$G$2,$Q461=Parametres!$G$3),J461,D461)</f>
        <v>0</v>
      </c>
      <c r="P461" s="155">
        <f>+IF(OR($Q461=Parametres!$G$2,$Q461=Parametres!$G$3),K461,E461)</f>
        <v>0</v>
      </c>
      <c r="Q461" s="154">
        <f t="shared" si="37"/>
        <v>0</v>
      </c>
      <c r="R461" s="153">
        <f t="shared" si="38"/>
        <v>0</v>
      </c>
      <c r="S461" s="154">
        <f t="shared" si="39"/>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hidden="1" customHeight="1">
      <c r="A462" s="1163"/>
      <c r="B462" s="1164"/>
      <c r="C462" s="1165"/>
      <c r="D462" s="1165"/>
      <c r="E462" s="1165"/>
      <c r="F462" s="1163"/>
      <c r="G462" s="1163"/>
      <c r="H462" s="1168"/>
      <c r="I462" s="1174"/>
      <c r="J462" s="1174"/>
      <c r="K462" s="1174"/>
      <c r="L462" s="153">
        <f t="shared" si="35"/>
        <v>0</v>
      </c>
      <c r="M462" s="154">
        <f t="shared" si="36"/>
        <v>0</v>
      </c>
      <c r="N462" s="155">
        <f>+IF(OR($Q462=Parametres!$G$2,$Q462=Parametres!$G$3),I462,C462)</f>
        <v>0</v>
      </c>
      <c r="O462" s="1108">
        <f>+IF(OR($Q462=Parametres!$G$2,$Q462=Parametres!$G$3),J462,D462)</f>
        <v>0</v>
      </c>
      <c r="P462" s="155">
        <f>+IF(OR($Q462=Parametres!$G$2,$Q462=Parametres!$G$3),K462,E462)</f>
        <v>0</v>
      </c>
      <c r="Q462" s="154">
        <f t="shared" si="37"/>
        <v>0</v>
      </c>
      <c r="R462" s="153">
        <f t="shared" si="38"/>
        <v>0</v>
      </c>
      <c r="S462" s="154">
        <f t="shared" si="39"/>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hidden="1" customHeight="1">
      <c r="A463" s="1163"/>
      <c r="B463" s="1164"/>
      <c r="C463" s="1165"/>
      <c r="D463" s="1165"/>
      <c r="E463" s="1165"/>
      <c r="F463" s="1163"/>
      <c r="G463" s="1163"/>
      <c r="H463" s="1168"/>
      <c r="I463" s="1180"/>
      <c r="J463" s="1180"/>
      <c r="K463" s="1180"/>
      <c r="L463" s="153">
        <f t="shared" si="35"/>
        <v>0</v>
      </c>
      <c r="M463" s="154">
        <f t="shared" si="36"/>
        <v>0</v>
      </c>
      <c r="N463" s="155">
        <f>+IF(OR($Q463=Parametres!$G$2,$Q463=Parametres!$G$3),I463,C463)</f>
        <v>0</v>
      </c>
      <c r="O463" s="1108">
        <f>+IF(OR($Q463=Parametres!$G$2,$Q463=Parametres!$G$3),J463,D463)</f>
        <v>0</v>
      </c>
      <c r="P463" s="155">
        <f>+IF(OR($Q463=Parametres!$G$2,$Q463=Parametres!$G$3),K463,E463)</f>
        <v>0</v>
      </c>
      <c r="Q463" s="154">
        <f t="shared" si="37"/>
        <v>0</v>
      </c>
      <c r="R463" s="153">
        <f t="shared" si="38"/>
        <v>0</v>
      </c>
      <c r="S463" s="154">
        <f t="shared" si="39"/>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hidden="1" customHeight="1">
      <c r="A464" s="1163"/>
      <c r="B464" s="1164"/>
      <c r="C464" s="1165"/>
      <c r="D464" s="1165"/>
      <c r="E464" s="1165"/>
      <c r="F464" s="1163"/>
      <c r="G464" s="1163"/>
      <c r="H464" s="1168"/>
      <c r="I464" s="1174"/>
      <c r="J464" s="1174"/>
      <c r="K464" s="1174"/>
      <c r="L464" s="153">
        <f t="shared" si="35"/>
        <v>0</v>
      </c>
      <c r="M464" s="154">
        <f t="shared" si="36"/>
        <v>0</v>
      </c>
      <c r="N464" s="155">
        <f>+IF(OR($Q464=Parametres!$G$2,$Q464=Parametres!$G$3),I464,C464)</f>
        <v>0</v>
      </c>
      <c r="O464" s="1108">
        <f>+IF(OR($Q464=Parametres!$G$2,$Q464=Parametres!$G$3),J464,D464)</f>
        <v>0</v>
      </c>
      <c r="P464" s="155">
        <f>+IF(OR($Q464=Parametres!$G$2,$Q464=Parametres!$G$3),K464,E464)</f>
        <v>0</v>
      </c>
      <c r="Q464" s="154">
        <f t="shared" si="37"/>
        <v>0</v>
      </c>
      <c r="R464" s="153">
        <f t="shared" si="38"/>
        <v>0</v>
      </c>
      <c r="S464" s="154">
        <f t="shared" si="39"/>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hidden="1" customHeight="1">
      <c r="A465" s="1163"/>
      <c r="B465" s="1164"/>
      <c r="C465" s="1165"/>
      <c r="D465" s="1165"/>
      <c r="E465" s="1165"/>
      <c r="F465" s="1163"/>
      <c r="G465" s="1163"/>
      <c r="H465" s="1168"/>
      <c r="I465" s="1170"/>
      <c r="J465" s="1170"/>
      <c r="K465" s="1170"/>
      <c r="L465" s="153">
        <f t="shared" si="35"/>
        <v>0</v>
      </c>
      <c r="M465" s="154">
        <f t="shared" si="36"/>
        <v>0</v>
      </c>
      <c r="N465" s="155">
        <f>+IF(OR($Q465=Parametres!$G$2,$Q465=Parametres!$G$3),I465,C465)</f>
        <v>0</v>
      </c>
      <c r="O465" s="1108">
        <f>+IF(OR($Q465=Parametres!$G$2,$Q465=Parametres!$G$3),J465,D465)</f>
        <v>0</v>
      </c>
      <c r="P465" s="155">
        <f>+IF(OR($Q465=Parametres!$G$2,$Q465=Parametres!$G$3),K465,E465)</f>
        <v>0</v>
      </c>
      <c r="Q465" s="154">
        <f t="shared" si="37"/>
        <v>0</v>
      </c>
      <c r="R465" s="153">
        <f t="shared" si="38"/>
        <v>0</v>
      </c>
      <c r="S465" s="154">
        <f t="shared" si="39"/>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hidden="1" customHeight="1">
      <c r="A466" s="1163"/>
      <c r="B466" s="1164"/>
      <c r="C466" s="1165"/>
      <c r="D466" s="1165"/>
      <c r="E466" s="1165"/>
      <c r="F466" s="1163"/>
      <c r="G466" s="1163"/>
      <c r="H466" s="1168"/>
      <c r="I466" s="1174"/>
      <c r="J466" s="1174"/>
      <c r="K466" s="1174"/>
      <c r="L466" s="153">
        <f t="shared" si="35"/>
        <v>0</v>
      </c>
      <c r="M466" s="154">
        <f t="shared" si="36"/>
        <v>0</v>
      </c>
      <c r="N466" s="155">
        <f>+IF(OR($Q466=Parametres!$G$2,$Q466=Parametres!$G$3),I466,C466)</f>
        <v>0</v>
      </c>
      <c r="O466" s="1108">
        <f>+IF(OR($Q466=Parametres!$G$2,$Q466=Parametres!$G$3),J466,D466)</f>
        <v>0</v>
      </c>
      <c r="P466" s="155">
        <f>+IF(OR($Q466=Parametres!$G$2,$Q466=Parametres!$G$3),K466,E466)</f>
        <v>0</v>
      </c>
      <c r="Q466" s="154">
        <f t="shared" si="37"/>
        <v>0</v>
      </c>
      <c r="R466" s="153">
        <f t="shared" si="38"/>
        <v>0</v>
      </c>
      <c r="S466" s="154">
        <f t="shared" si="39"/>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hidden="1" customHeight="1">
      <c r="A467" s="1163"/>
      <c r="B467" s="1164"/>
      <c r="C467" s="1165"/>
      <c r="D467" s="1165"/>
      <c r="E467" s="1165"/>
      <c r="F467" s="1163"/>
      <c r="G467" s="1163"/>
      <c r="H467" s="1168"/>
      <c r="I467" s="1174"/>
      <c r="J467" s="1174"/>
      <c r="K467" s="1174"/>
      <c r="L467" s="153">
        <f t="shared" si="35"/>
        <v>0</v>
      </c>
      <c r="M467" s="154">
        <f t="shared" si="36"/>
        <v>0</v>
      </c>
      <c r="N467" s="155">
        <f>+IF(OR($Q467=Parametres!$G$2,$Q467=Parametres!$G$3),I467,C467)</f>
        <v>0</v>
      </c>
      <c r="O467" s="1108">
        <f>+IF(OR($Q467=Parametres!$G$2,$Q467=Parametres!$G$3),J467,D467)</f>
        <v>0</v>
      </c>
      <c r="P467" s="155">
        <f>+IF(OR($Q467=Parametres!$G$2,$Q467=Parametres!$G$3),K467,E467)</f>
        <v>0</v>
      </c>
      <c r="Q467" s="154">
        <f t="shared" si="37"/>
        <v>0</v>
      </c>
      <c r="R467" s="153">
        <f t="shared" si="38"/>
        <v>0</v>
      </c>
      <c r="S467" s="154">
        <f t="shared" si="39"/>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hidden="1" customHeight="1">
      <c r="A468" s="1163"/>
      <c r="B468" s="1164"/>
      <c r="C468" s="1165"/>
      <c r="D468" s="1165"/>
      <c r="E468" s="1165"/>
      <c r="F468" s="1163"/>
      <c r="G468" s="1163"/>
      <c r="H468" s="1168"/>
      <c r="I468" s="1174"/>
      <c r="J468" s="1174"/>
      <c r="K468" s="1174"/>
      <c r="L468" s="153">
        <f t="shared" si="35"/>
        <v>0</v>
      </c>
      <c r="M468" s="154">
        <f t="shared" si="36"/>
        <v>0</v>
      </c>
      <c r="N468" s="155">
        <f>+IF(OR($Q468=Parametres!$G$2,$Q468=Parametres!$G$3),I468,C468)</f>
        <v>0</v>
      </c>
      <c r="O468" s="1108">
        <f>+IF(OR($Q468=Parametres!$G$2,$Q468=Parametres!$G$3),J468,D468)</f>
        <v>0</v>
      </c>
      <c r="P468" s="155">
        <f>+IF(OR($Q468=Parametres!$G$2,$Q468=Parametres!$G$3),K468,E468)</f>
        <v>0</v>
      </c>
      <c r="Q468" s="154">
        <f t="shared" si="37"/>
        <v>0</v>
      </c>
      <c r="R468" s="153">
        <f t="shared" si="38"/>
        <v>0</v>
      </c>
      <c r="S468" s="154">
        <f t="shared" si="39"/>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hidden="1" customHeight="1">
      <c r="A469" s="1163"/>
      <c r="B469" s="1164"/>
      <c r="C469" s="1165"/>
      <c r="D469" s="1165"/>
      <c r="E469" s="1165"/>
      <c r="F469" s="1163"/>
      <c r="G469" s="1163"/>
      <c r="H469" s="1168"/>
      <c r="I469" s="1170"/>
      <c r="J469" s="1170"/>
      <c r="K469" s="1170"/>
      <c r="L469" s="153">
        <f t="shared" si="35"/>
        <v>0</v>
      </c>
      <c r="M469" s="154">
        <f t="shared" si="36"/>
        <v>0</v>
      </c>
      <c r="N469" s="155">
        <f>+IF(OR($Q469=Parametres!$G$2,$Q469=Parametres!$G$3),I469,C469)</f>
        <v>0</v>
      </c>
      <c r="O469" s="1108">
        <f>+IF(OR($Q469=Parametres!$G$2,$Q469=Parametres!$G$3),J469,D469)</f>
        <v>0</v>
      </c>
      <c r="P469" s="155">
        <f>+IF(OR($Q469=Parametres!$G$2,$Q469=Parametres!$G$3),K469,E469)</f>
        <v>0</v>
      </c>
      <c r="Q469" s="154">
        <f t="shared" si="37"/>
        <v>0</v>
      </c>
      <c r="R469" s="153">
        <f t="shared" si="38"/>
        <v>0</v>
      </c>
      <c r="S469" s="154">
        <f t="shared" si="39"/>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hidden="1" customHeight="1">
      <c r="A470" s="1163"/>
      <c r="B470" s="1164"/>
      <c r="C470" s="1165"/>
      <c r="D470" s="1165"/>
      <c r="E470" s="1165"/>
      <c r="F470" s="1163"/>
      <c r="G470" s="1163"/>
      <c r="H470" s="1168"/>
      <c r="I470" s="1174"/>
      <c r="J470" s="1174"/>
      <c r="K470" s="1174"/>
      <c r="L470" s="153">
        <f t="shared" si="35"/>
        <v>0</v>
      </c>
      <c r="M470" s="154">
        <f t="shared" si="36"/>
        <v>0</v>
      </c>
      <c r="N470" s="155">
        <f>+IF(OR($Q470=Parametres!$G$2,$Q470=Parametres!$G$3),I470,C470)</f>
        <v>0</v>
      </c>
      <c r="O470" s="1108">
        <f>+IF(OR($Q470=Parametres!$G$2,$Q470=Parametres!$G$3),J470,D470)</f>
        <v>0</v>
      </c>
      <c r="P470" s="155">
        <f>+IF(OR($Q470=Parametres!$G$2,$Q470=Parametres!$G$3),K470,E470)</f>
        <v>0</v>
      </c>
      <c r="Q470" s="154">
        <f t="shared" si="37"/>
        <v>0</v>
      </c>
      <c r="R470" s="153">
        <f t="shared" si="38"/>
        <v>0</v>
      </c>
      <c r="S470" s="154">
        <f t="shared" si="39"/>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hidden="1" customHeight="1">
      <c r="A471" s="1163"/>
      <c r="B471" s="1164"/>
      <c r="C471" s="1165"/>
      <c r="D471" s="1165"/>
      <c r="E471" s="1165"/>
      <c r="F471" s="1163"/>
      <c r="G471" s="1163"/>
      <c r="H471" s="1168"/>
      <c r="I471" s="1170"/>
      <c r="J471" s="1170"/>
      <c r="K471" s="1170"/>
      <c r="L471" s="153">
        <f t="shared" si="35"/>
        <v>0</v>
      </c>
      <c r="M471" s="154">
        <f t="shared" si="36"/>
        <v>0</v>
      </c>
      <c r="N471" s="155">
        <f>+IF(OR($Q471=Parametres!$G$2,$Q471=Parametres!$G$3),I471,C471)</f>
        <v>0</v>
      </c>
      <c r="O471" s="1108">
        <f>+IF(OR($Q471=Parametres!$G$2,$Q471=Parametres!$G$3),J471,D471)</f>
        <v>0</v>
      </c>
      <c r="P471" s="155">
        <f>+IF(OR($Q471=Parametres!$G$2,$Q471=Parametres!$G$3),K471,E471)</f>
        <v>0</v>
      </c>
      <c r="Q471" s="154">
        <f t="shared" si="37"/>
        <v>0</v>
      </c>
      <c r="R471" s="153">
        <f t="shared" si="38"/>
        <v>0</v>
      </c>
      <c r="S471" s="154">
        <f t="shared" si="39"/>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hidden="1" customHeight="1">
      <c r="A472" s="1163"/>
      <c r="B472" s="1164"/>
      <c r="C472" s="1165"/>
      <c r="D472" s="1165"/>
      <c r="E472" s="1165"/>
      <c r="F472" s="1163"/>
      <c r="G472" s="1163"/>
      <c r="H472" s="1175"/>
      <c r="I472" s="1175"/>
      <c r="J472" s="1175"/>
      <c r="K472" s="1175"/>
      <c r="L472" s="153">
        <f t="shared" ref="L472" si="40">+B472</f>
        <v>0</v>
      </c>
      <c r="M472" s="154">
        <f t="shared" ref="M472" si="41">+A472</f>
        <v>0</v>
      </c>
      <c r="N472" s="155">
        <f>+IF(OR($Q472=Parametres!$G$2,$Q472=Parametres!$G$3),I472,C472)</f>
        <v>0</v>
      </c>
      <c r="O472" s="1108">
        <f>+IF(OR($Q472=Parametres!$G$2,$Q472=Parametres!$G$3),J472,D472)</f>
        <v>0</v>
      </c>
      <c r="P472" s="155">
        <f>+IF(OR($Q472=Parametres!$G$2,$Q472=Parametres!$G$3),K472,E472)</f>
        <v>0</v>
      </c>
      <c r="Q472" s="154">
        <f t="shared" ref="Q472" si="42">+F472</f>
        <v>0</v>
      </c>
      <c r="R472" s="153">
        <f t="shared" ref="R472" si="43">+G472</f>
        <v>0</v>
      </c>
      <c r="S472" s="154">
        <f t="shared" ref="S472" si="44">+H472</f>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hidden="1" customHeight="1">
      <c r="A473" s="1163"/>
      <c r="B473" s="1164"/>
      <c r="C473" s="1165"/>
      <c r="D473" s="1165"/>
      <c r="E473" s="1165"/>
      <c r="F473" s="1163"/>
      <c r="G473" s="1163"/>
      <c r="H473" s="1168"/>
      <c r="I473" s="1170"/>
      <c r="J473" s="1170"/>
      <c r="K473" s="1170"/>
      <c r="L473" s="153">
        <f t="shared" si="35"/>
        <v>0</v>
      </c>
      <c r="M473" s="154">
        <f t="shared" si="36"/>
        <v>0</v>
      </c>
      <c r="N473" s="155">
        <f>+IF(OR($Q473=Parametres!$G$2,$Q473=Parametres!$G$3),I473,C473)</f>
        <v>0</v>
      </c>
      <c r="O473" s="1106">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hidden="1" customHeight="1">
      <c r="A474" s="1163"/>
      <c r="B474" s="1164"/>
      <c r="C474" s="1165"/>
      <c r="D474" s="1165"/>
      <c r="E474" s="1165"/>
      <c r="F474" s="1163"/>
      <c r="G474" s="1163"/>
      <c r="H474" s="1168"/>
      <c r="I474" s="1170"/>
      <c r="J474" s="1170"/>
      <c r="K474" s="1170"/>
      <c r="L474" s="153">
        <f t="shared" si="35"/>
        <v>0</v>
      </c>
      <c r="M474" s="154">
        <f t="shared" si="36"/>
        <v>0</v>
      </c>
      <c r="N474" s="155">
        <f>+IF(OR($Q474=Parametres!$G$2,$Q474=Parametres!$G$3),I474,C474)</f>
        <v>0</v>
      </c>
      <c r="O474" s="1108">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hidden="1" customHeight="1">
      <c r="A475" s="1181"/>
      <c r="B475" s="1182"/>
      <c r="C475" s="1178"/>
      <c r="D475" s="1178"/>
      <c r="E475" s="1178"/>
      <c r="F475" s="1181"/>
      <c r="G475" s="1181"/>
      <c r="H475" s="1168"/>
      <c r="I475" s="1170"/>
      <c r="J475" s="1170"/>
      <c r="K475" s="1170"/>
      <c r="L475" s="153">
        <f t="shared" si="35"/>
        <v>0</v>
      </c>
      <c r="M475" s="154">
        <f t="shared" si="36"/>
        <v>0</v>
      </c>
      <c r="N475" s="155">
        <f>+IF(OR($Q475=Parametres!$G$2,$Q475=Parametres!$G$3),I475,C475)</f>
        <v>0</v>
      </c>
      <c r="O475" s="1108">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hidden="1" customHeight="1">
      <c r="A476" s="1181"/>
      <c r="B476" s="1182"/>
      <c r="C476" s="1178"/>
      <c r="D476" s="1178"/>
      <c r="E476" s="1178"/>
      <c r="F476" s="1181"/>
      <c r="G476" s="1181"/>
      <c r="H476" s="1168"/>
      <c r="I476" s="1174"/>
      <c r="J476" s="1174"/>
      <c r="K476" s="1174"/>
      <c r="L476" s="153">
        <f t="shared" si="35"/>
        <v>0</v>
      </c>
      <c r="M476" s="154">
        <f t="shared" si="36"/>
        <v>0</v>
      </c>
      <c r="N476" s="155">
        <f>+IF(OR($Q476=Parametres!$G$2,$Q476=Parametres!$G$3),I476,C476)</f>
        <v>0</v>
      </c>
      <c r="O476" s="1108">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hidden="1" customHeight="1">
      <c r="A477" s="1181"/>
      <c r="B477" s="1182"/>
      <c r="C477" s="1178"/>
      <c r="D477" s="1178"/>
      <c r="E477" s="1178"/>
      <c r="F477" s="1181"/>
      <c r="G477" s="1181"/>
      <c r="H477" s="1168"/>
      <c r="I477" s="1180"/>
      <c r="J477" s="1180"/>
      <c r="K477" s="1180"/>
      <c r="L477" s="153">
        <f t="shared" si="35"/>
        <v>0</v>
      </c>
      <c r="M477" s="154">
        <f t="shared" si="36"/>
        <v>0</v>
      </c>
      <c r="N477" s="155">
        <f>+IF(OR($Q477=Parametres!$G$2,$Q477=Parametres!$G$3),I477,C477)</f>
        <v>0</v>
      </c>
      <c r="O477" s="1108">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hidden="1" customHeight="1">
      <c r="A478" s="1181"/>
      <c r="B478" s="1182"/>
      <c r="C478" s="1178"/>
      <c r="D478" s="1178"/>
      <c r="E478" s="1178"/>
      <c r="F478" s="1181"/>
      <c r="G478" s="1181"/>
      <c r="H478" s="1168"/>
      <c r="I478" s="1170"/>
      <c r="J478" s="1170"/>
      <c r="K478" s="1170"/>
      <c r="L478" s="153">
        <f t="shared" si="35"/>
        <v>0</v>
      </c>
      <c r="M478" s="154">
        <f t="shared" si="36"/>
        <v>0</v>
      </c>
      <c r="N478" s="155">
        <f>+IF(OR($Q478=Parametres!$G$2,$Q478=Parametres!$G$3),I478,C478)</f>
        <v>0</v>
      </c>
      <c r="O478" s="1108">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hidden="1" customHeight="1">
      <c r="A479" s="1181"/>
      <c r="B479" s="1182"/>
      <c r="C479" s="1178"/>
      <c r="D479" s="1178"/>
      <c r="E479" s="1178"/>
      <c r="F479" s="1181"/>
      <c r="G479" s="1181"/>
      <c r="H479" s="1168"/>
      <c r="I479" s="1174"/>
      <c r="J479" s="1174"/>
      <c r="K479" s="1174"/>
      <c r="L479" s="153">
        <f t="shared" si="35"/>
        <v>0</v>
      </c>
      <c r="M479" s="154">
        <f t="shared" si="36"/>
        <v>0</v>
      </c>
      <c r="N479" s="155">
        <f>+IF(OR($Q479=Parametres!$G$2,$Q479=Parametres!$G$3),I479,C479)</f>
        <v>0</v>
      </c>
      <c r="O479" s="1108">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hidden="1" customHeight="1">
      <c r="A480" s="1181"/>
      <c r="B480" s="1182"/>
      <c r="C480" s="1178"/>
      <c r="D480" s="1178"/>
      <c r="E480" s="1178"/>
      <c r="F480" s="1181"/>
      <c r="G480" s="1181"/>
      <c r="H480" s="1175"/>
      <c r="I480" s="1175"/>
      <c r="J480" s="1175"/>
      <c r="K480" s="1175"/>
      <c r="L480" s="153">
        <f t="shared" si="35"/>
        <v>0</v>
      </c>
      <c r="M480" s="154">
        <f t="shared" si="36"/>
        <v>0</v>
      </c>
      <c r="N480" s="155">
        <f>+IF(OR($Q480=Parametres!$G$2,$Q480=Parametres!$G$3),I480,C480)</f>
        <v>0</v>
      </c>
      <c r="O480" s="1108">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hidden="1" customHeight="1">
      <c r="A481" s="1181"/>
      <c r="B481" s="1182"/>
      <c r="C481" s="1178"/>
      <c r="D481" s="1178"/>
      <c r="E481" s="1178"/>
      <c r="F481" s="1181"/>
      <c r="G481" s="1181"/>
      <c r="H481" s="1168"/>
      <c r="I481" s="1170"/>
      <c r="J481" s="1170"/>
      <c r="K481" s="1170"/>
      <c r="L481" s="153">
        <f t="shared" si="35"/>
        <v>0</v>
      </c>
      <c r="M481" s="154">
        <f t="shared" si="36"/>
        <v>0</v>
      </c>
      <c r="N481" s="155">
        <f>+IF(OR($Q481=Parametres!$G$2,$Q481=Parametres!$G$3),I481,C481)</f>
        <v>0</v>
      </c>
      <c r="O481" s="1108">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hidden="1" customHeight="1">
      <c r="A482" s="1181"/>
      <c r="B482" s="1182"/>
      <c r="C482" s="1178"/>
      <c r="D482" s="1178"/>
      <c r="E482" s="1178"/>
      <c r="F482" s="1181"/>
      <c r="G482" s="1181"/>
      <c r="H482" s="1168"/>
      <c r="I482" s="1174"/>
      <c r="J482" s="1174"/>
      <c r="K482" s="1174"/>
      <c r="L482" s="153">
        <f t="shared" si="35"/>
        <v>0</v>
      </c>
      <c r="M482" s="154">
        <f t="shared" si="36"/>
        <v>0</v>
      </c>
      <c r="N482" s="155">
        <f>+IF(OR($Q482=Parametres!$G$2,$Q482=Parametres!$G$3),I482,C482)</f>
        <v>0</v>
      </c>
      <c r="O482" s="1108">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hidden="1" customHeight="1">
      <c r="A483" s="1181"/>
      <c r="B483" s="1182"/>
      <c r="C483" s="1178"/>
      <c r="D483" s="1178"/>
      <c r="E483" s="1178"/>
      <c r="F483" s="1181"/>
      <c r="G483" s="1181"/>
      <c r="H483" s="1175"/>
      <c r="I483" s="1175"/>
      <c r="J483" s="1175"/>
      <c r="K483" s="1175"/>
      <c r="L483" s="153">
        <f t="shared" si="35"/>
        <v>0</v>
      </c>
      <c r="M483" s="154">
        <f t="shared" si="36"/>
        <v>0</v>
      </c>
      <c r="N483" s="155">
        <f>+IF(OR($Q483=Parametres!$G$2,$Q483=Parametres!$G$3),I483,C483)</f>
        <v>0</v>
      </c>
      <c r="O483" s="1108">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hidden="1" customHeight="1">
      <c r="A484" s="1181"/>
      <c r="B484" s="1182"/>
      <c r="C484" s="1183"/>
      <c r="D484" s="1183"/>
      <c r="E484" s="1183"/>
      <c r="F484" s="1181"/>
      <c r="G484" s="1181"/>
      <c r="H484" s="1175"/>
      <c r="I484" s="1178"/>
      <c r="J484" s="1178"/>
      <c r="K484" s="1178"/>
      <c r="L484" s="153">
        <f t="shared" ref="L484" si="45">+B484</f>
        <v>0</v>
      </c>
      <c r="M484" s="154">
        <f t="shared" ref="M484" si="46">+A484</f>
        <v>0</v>
      </c>
      <c r="N484" s="155">
        <f>+IF(OR($Q484=Parametres!$G$2,$Q484=Parametres!$G$3),I484,C484)</f>
        <v>0</v>
      </c>
      <c r="O484" s="1108">
        <f>+IF(OR($Q484=Parametres!$G$2,$Q484=Parametres!$G$3),J484,D484)</f>
        <v>0</v>
      </c>
      <c r="P484" s="155">
        <f>+IF(OR($Q484=Parametres!$G$2,$Q484=Parametres!$G$3),K484,E484)</f>
        <v>0</v>
      </c>
      <c r="Q484" s="154">
        <f t="shared" ref="Q484" si="47">+F484</f>
        <v>0</v>
      </c>
      <c r="R484" s="153">
        <f t="shared" ref="R484" si="48">+G484</f>
        <v>0</v>
      </c>
      <c r="S484" s="154">
        <f t="shared" ref="S484" si="49">+H484</f>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hidden="1" customHeight="1">
      <c r="A485" s="1181"/>
      <c r="B485" s="1182"/>
      <c r="C485" s="1178"/>
      <c r="D485" s="1178"/>
      <c r="E485" s="1178"/>
      <c r="F485" s="1181"/>
      <c r="G485" s="1181"/>
      <c r="H485" s="1168"/>
      <c r="I485" s="1174"/>
      <c r="J485" s="1174"/>
      <c r="K485" s="1174"/>
      <c r="L485" s="153">
        <f t="shared" si="35"/>
        <v>0</v>
      </c>
      <c r="M485" s="154">
        <f t="shared" si="36"/>
        <v>0</v>
      </c>
      <c r="N485" s="155">
        <f>+IF(OR($Q485=Parametres!$G$2,$Q485=Parametres!$G$3),I485,C485)</f>
        <v>0</v>
      </c>
      <c r="O485" s="1108">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hidden="1" customHeight="1">
      <c r="A486" s="1181"/>
      <c r="B486" s="1182"/>
      <c r="C486" s="1178"/>
      <c r="D486" s="1178"/>
      <c r="E486" s="1178"/>
      <c r="F486" s="1181"/>
      <c r="G486" s="1181"/>
      <c r="H486" s="1168"/>
      <c r="I486" s="1180"/>
      <c r="J486" s="1180"/>
      <c r="K486" s="1180"/>
      <c r="L486" s="153">
        <f t="shared" si="35"/>
        <v>0</v>
      </c>
      <c r="M486" s="154">
        <f t="shared" si="36"/>
        <v>0</v>
      </c>
      <c r="N486" s="155">
        <f>+IF(OR($Q486=Parametres!$G$2,$Q486=Parametres!$G$3),I486,C486)</f>
        <v>0</v>
      </c>
      <c r="O486" s="1108">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hidden="1" customHeight="1">
      <c r="A487" s="1181"/>
      <c r="B487" s="1182"/>
      <c r="C487" s="1178"/>
      <c r="D487" s="1178"/>
      <c r="E487" s="1178"/>
      <c r="F487" s="1181"/>
      <c r="G487" s="1181"/>
      <c r="H487" s="1168"/>
      <c r="I487" s="1174"/>
      <c r="J487" s="1174"/>
      <c r="K487" s="1174"/>
      <c r="L487" s="153">
        <f t="shared" si="35"/>
        <v>0</v>
      </c>
      <c r="M487" s="154">
        <f t="shared" si="36"/>
        <v>0</v>
      </c>
      <c r="N487" s="155">
        <f>+IF(OR($Q487=Parametres!$G$2,$Q487=Parametres!$G$3),I487,C487)</f>
        <v>0</v>
      </c>
      <c r="O487" s="1108">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hidden="1" customHeight="1">
      <c r="A488" s="1181"/>
      <c r="B488" s="1182"/>
      <c r="C488" s="1178"/>
      <c r="D488" s="1178"/>
      <c r="E488" s="1178"/>
      <c r="F488" s="1181"/>
      <c r="G488" s="1181"/>
      <c r="H488" s="1168"/>
      <c r="I488" s="1174"/>
      <c r="J488" s="1174"/>
      <c r="K488" s="1174"/>
      <c r="L488" s="153">
        <f t="shared" si="35"/>
        <v>0</v>
      </c>
      <c r="M488" s="154">
        <f t="shared" si="36"/>
        <v>0</v>
      </c>
      <c r="N488" s="155">
        <f>+IF(OR($Q488=Parametres!$G$2,$Q488=Parametres!$G$3),I488,C488)</f>
        <v>0</v>
      </c>
      <c r="O488" s="1108">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hidden="1" customHeight="1">
      <c r="A489" s="1181"/>
      <c r="B489" s="1182"/>
      <c r="C489" s="1178"/>
      <c r="D489" s="1178"/>
      <c r="E489" s="1178"/>
      <c r="F489" s="1181"/>
      <c r="G489" s="1181"/>
      <c r="H489" s="1168"/>
      <c r="I489" s="1174"/>
      <c r="J489" s="1174"/>
      <c r="K489" s="1174"/>
      <c r="L489" s="153">
        <f t="shared" si="35"/>
        <v>0</v>
      </c>
      <c r="M489" s="154">
        <f t="shared" si="36"/>
        <v>0</v>
      </c>
      <c r="N489" s="155">
        <f>+IF(OR($Q489=Parametres!$G$2,$Q489=Parametres!$G$3),I489,C489)</f>
        <v>0</v>
      </c>
      <c r="O489" s="1108">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hidden="1" customHeight="1">
      <c r="A490" s="1181"/>
      <c r="B490" s="1182"/>
      <c r="C490" s="1178"/>
      <c r="D490" s="1178"/>
      <c r="E490" s="1178"/>
      <c r="F490" s="1181"/>
      <c r="G490" s="1181"/>
      <c r="H490" s="1168"/>
      <c r="I490" s="1174"/>
      <c r="J490" s="1174"/>
      <c r="K490" s="1174"/>
      <c r="L490" s="153">
        <f t="shared" si="35"/>
        <v>0</v>
      </c>
      <c r="M490" s="154">
        <f t="shared" si="36"/>
        <v>0</v>
      </c>
      <c r="N490" s="155">
        <f>+IF(OR($Q490=Parametres!$G$2,$Q490=Parametres!$G$3),I490,C490)</f>
        <v>0</v>
      </c>
      <c r="O490" s="1108">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hidden="1" customHeight="1">
      <c r="A491" s="1181"/>
      <c r="B491" s="1182"/>
      <c r="C491" s="1183"/>
      <c r="D491" s="1183"/>
      <c r="E491" s="1183"/>
      <c r="F491" s="1181"/>
      <c r="G491" s="1181"/>
      <c r="H491" s="1175"/>
      <c r="I491" s="1178"/>
      <c r="J491" s="1178"/>
      <c r="K491" s="1178"/>
      <c r="L491" s="153">
        <f t="shared" si="35"/>
        <v>0</v>
      </c>
      <c r="M491" s="154">
        <f t="shared" si="36"/>
        <v>0</v>
      </c>
      <c r="N491" s="155">
        <f>+IF(OR($Q491=Parametres!$G$2,$Q491=Parametres!$G$3),I491,C491)</f>
        <v>0</v>
      </c>
      <c r="O491" s="1108">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hidden="1" customHeight="1">
      <c r="A492" s="1181"/>
      <c r="B492" s="1182"/>
      <c r="C492" s="1183"/>
      <c r="D492" s="1183"/>
      <c r="E492" s="1183"/>
      <c r="F492" s="1181"/>
      <c r="G492" s="1181"/>
      <c r="H492" s="1175"/>
      <c r="I492" s="1178"/>
      <c r="J492" s="1178"/>
      <c r="K492" s="1178"/>
      <c r="L492" s="153">
        <f t="shared" si="35"/>
        <v>0</v>
      </c>
      <c r="M492" s="154">
        <f t="shared" si="36"/>
        <v>0</v>
      </c>
      <c r="N492" s="155">
        <f>+IF(OR($Q492=Parametres!$G$2,$Q492=Parametres!$G$3),I492,C492)</f>
        <v>0</v>
      </c>
      <c r="O492" s="1108">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hidden="1" customHeight="1">
      <c r="A493" s="1181"/>
      <c r="B493" s="1182"/>
      <c r="C493" s="1183"/>
      <c r="D493" s="1183"/>
      <c r="E493" s="1183"/>
      <c r="F493" s="1181"/>
      <c r="G493" s="1181"/>
      <c r="H493" s="1175"/>
      <c r="I493" s="1178"/>
      <c r="J493" s="1178"/>
      <c r="K493" s="1178"/>
      <c r="L493" s="153">
        <f t="shared" si="35"/>
        <v>0</v>
      </c>
      <c r="M493" s="154">
        <f t="shared" si="36"/>
        <v>0</v>
      </c>
      <c r="N493" s="155">
        <f>+IF(OR($Q493=Parametres!$G$2,$Q493=Parametres!$G$3),I493,C493)</f>
        <v>0</v>
      </c>
      <c r="O493" s="1106">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hidden="1" customHeight="1">
      <c r="A494" s="1181"/>
      <c r="B494" s="1182"/>
      <c r="C494" s="1178"/>
      <c r="D494" s="1178"/>
      <c r="E494" s="1178"/>
      <c r="F494" s="1181"/>
      <c r="G494" s="1181"/>
      <c r="H494" s="1168"/>
      <c r="I494" s="1170"/>
      <c r="J494" s="1170"/>
      <c r="K494" s="1170"/>
      <c r="L494" s="153">
        <f t="shared" si="35"/>
        <v>0</v>
      </c>
      <c r="M494" s="154">
        <f t="shared" si="36"/>
        <v>0</v>
      </c>
      <c r="N494" s="155">
        <f>+IF(OR($Q494=Parametres!$G$2,$Q494=Parametres!$G$3),I494,C494)</f>
        <v>0</v>
      </c>
      <c r="O494" s="1109">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hidden="1" customHeight="1">
      <c r="A495" s="1181"/>
      <c r="B495" s="1182"/>
      <c r="C495" s="1178"/>
      <c r="D495" s="1178"/>
      <c r="E495" s="1178"/>
      <c r="F495" s="1181"/>
      <c r="G495" s="1181"/>
      <c r="H495" s="1168"/>
      <c r="I495" s="1170"/>
      <c r="J495" s="1170"/>
      <c r="K495" s="1170"/>
      <c r="L495" s="153">
        <f t="shared" si="35"/>
        <v>0</v>
      </c>
      <c r="M495" s="154">
        <f t="shared" si="36"/>
        <v>0</v>
      </c>
      <c r="N495" s="155">
        <f>+IF(OR($Q495=Parametres!$G$2,$Q495=Parametres!$G$3),I495,C495)</f>
        <v>0</v>
      </c>
      <c r="O495" s="1108">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hidden="1" customHeight="1">
      <c r="A496" s="1181"/>
      <c r="B496" s="1182"/>
      <c r="C496" s="1178"/>
      <c r="D496" s="1178"/>
      <c r="E496" s="1178"/>
      <c r="F496" s="1181"/>
      <c r="G496" s="1181"/>
      <c r="H496" s="1168"/>
      <c r="I496" s="1170"/>
      <c r="J496" s="1170"/>
      <c r="K496" s="1170"/>
      <c r="L496" s="153">
        <f t="shared" si="35"/>
        <v>0</v>
      </c>
      <c r="M496" s="154">
        <f t="shared" si="36"/>
        <v>0</v>
      </c>
      <c r="N496" s="155">
        <f>+IF(OR($Q496=Parametres!$G$2,$Q496=Parametres!$G$3),I496,C496)</f>
        <v>0</v>
      </c>
      <c r="O496" s="1106">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hidden="1" customHeight="1">
      <c r="A497" s="1181"/>
      <c r="B497" s="1182"/>
      <c r="C497" s="1178"/>
      <c r="D497" s="1178"/>
      <c r="E497" s="1178"/>
      <c r="F497" s="1181"/>
      <c r="G497" s="1181"/>
      <c r="H497" s="1168"/>
      <c r="I497" s="1170"/>
      <c r="J497" s="1170"/>
      <c r="K497" s="1170"/>
      <c r="L497" s="153">
        <f t="shared" si="35"/>
        <v>0</v>
      </c>
      <c r="M497" s="154">
        <f t="shared" si="36"/>
        <v>0</v>
      </c>
      <c r="N497" s="155">
        <f>+IF(OR($Q497=Parametres!$G$2,$Q497=Parametres!$G$3),I497,C497)</f>
        <v>0</v>
      </c>
      <c r="O497" s="1108">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hidden="1" customHeight="1">
      <c r="A498" s="1181"/>
      <c r="B498" s="1182"/>
      <c r="C498" s="1178"/>
      <c r="D498" s="1178"/>
      <c r="E498" s="1178"/>
      <c r="F498" s="1181"/>
      <c r="G498" s="1181"/>
      <c r="H498" s="1168"/>
      <c r="I498" s="1170"/>
      <c r="J498" s="1170"/>
      <c r="K498" s="1170"/>
      <c r="L498" s="153">
        <f t="shared" si="35"/>
        <v>0</v>
      </c>
      <c r="M498" s="154">
        <f t="shared" si="36"/>
        <v>0</v>
      </c>
      <c r="N498" s="155">
        <f>+IF(OR($Q498=Parametres!$G$2,$Q498=Parametres!$G$3),I498,C498)</f>
        <v>0</v>
      </c>
      <c r="O498" s="1106">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hidden="1" customHeight="1">
      <c r="A499" s="1181"/>
      <c r="B499" s="1182"/>
      <c r="C499" s="1178"/>
      <c r="D499" s="1178"/>
      <c r="E499" s="1178"/>
      <c r="F499" s="1181"/>
      <c r="G499" s="1181"/>
      <c r="H499" s="1168"/>
      <c r="I499" s="1170"/>
      <c r="J499" s="1170"/>
      <c r="K499" s="1170"/>
      <c r="L499" s="153">
        <f t="shared" si="35"/>
        <v>0</v>
      </c>
      <c r="M499" s="154">
        <f t="shared" si="36"/>
        <v>0</v>
      </c>
      <c r="N499" s="155">
        <f>+IF(OR($Q499=Parametres!$G$2,$Q499=Parametres!$G$3),I499,C499)</f>
        <v>0</v>
      </c>
      <c r="O499" s="1108">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hidden="1" customHeight="1">
      <c r="A500" s="1181"/>
      <c r="B500" s="1182"/>
      <c r="C500" s="1178"/>
      <c r="D500" s="1178"/>
      <c r="E500" s="1178"/>
      <c r="F500" s="1181"/>
      <c r="G500" s="1181"/>
      <c r="H500" s="1168"/>
      <c r="I500" s="1170"/>
      <c r="J500" s="1170"/>
      <c r="K500" s="1170"/>
      <c r="L500" s="153">
        <f t="shared" si="35"/>
        <v>0</v>
      </c>
      <c r="M500" s="154">
        <f t="shared" si="36"/>
        <v>0</v>
      </c>
      <c r="N500" s="155">
        <f>+IF(OR($Q500=Parametres!$G$2,$Q500=Parametres!$G$3),I500,C500)</f>
        <v>0</v>
      </c>
      <c r="O500" s="1108">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hidden="1" customHeight="1">
      <c r="A501" s="1181"/>
      <c r="B501" s="1181"/>
      <c r="C501" s="1178"/>
      <c r="D501" s="1178"/>
      <c r="E501" s="1178"/>
      <c r="F501" s="1181"/>
      <c r="G501" s="1181"/>
      <c r="H501" s="1168"/>
      <c r="I501" s="1170"/>
      <c r="J501" s="1170"/>
      <c r="K501" s="1170"/>
      <c r="L501" s="153">
        <f t="shared" si="35"/>
        <v>0</v>
      </c>
      <c r="M501" s="154">
        <f t="shared" si="36"/>
        <v>0</v>
      </c>
      <c r="N501" s="155">
        <f>+IF(OR($Q501=Parametres!$G$2,$Q501=Parametres!$G$3),I501,C501)</f>
        <v>0</v>
      </c>
      <c r="O501" s="1109">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hidden="1" customHeight="1">
      <c r="A502" s="1181"/>
      <c r="B502" s="1181"/>
      <c r="C502" s="1178"/>
      <c r="D502" s="1178"/>
      <c r="E502" s="1178"/>
      <c r="F502" s="1181"/>
      <c r="G502" s="1181"/>
      <c r="H502" s="1168"/>
      <c r="I502" s="1170"/>
      <c r="J502" s="1170"/>
      <c r="K502" s="1170"/>
      <c r="L502" s="153">
        <f t="shared" si="35"/>
        <v>0</v>
      </c>
      <c r="M502" s="154">
        <f t="shared" si="36"/>
        <v>0</v>
      </c>
      <c r="N502" s="155">
        <f>+IF(OR($Q502=Parametres!$G$2,$Q502=Parametres!$G$3),I502,C502)</f>
        <v>0</v>
      </c>
      <c r="O502" s="1108">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hidden="1" customHeight="1">
      <c r="A503" s="1181"/>
      <c r="B503" s="1181"/>
      <c r="C503" s="1178"/>
      <c r="D503" s="1178"/>
      <c r="E503" s="1178"/>
      <c r="F503" s="1181"/>
      <c r="G503" s="1181"/>
      <c r="H503" s="1168"/>
      <c r="I503" s="1170"/>
      <c r="J503" s="1170"/>
      <c r="K503" s="1170"/>
      <c r="L503" s="153">
        <f t="shared" si="35"/>
        <v>0</v>
      </c>
      <c r="M503" s="154">
        <f t="shared" si="36"/>
        <v>0</v>
      </c>
      <c r="N503" s="155">
        <f>+IF(OR($Q503=Parametres!$G$2,$Q503=Parametres!$G$3),I503,C503)</f>
        <v>0</v>
      </c>
      <c r="O503" s="1109">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hidden="1" customHeight="1">
      <c r="A504" s="1181"/>
      <c r="B504" s="1181"/>
      <c r="C504" s="1178"/>
      <c r="D504" s="1178"/>
      <c r="E504" s="1178"/>
      <c r="F504" s="1181"/>
      <c r="G504" s="1181"/>
      <c r="H504" s="1168"/>
      <c r="I504" s="1170"/>
      <c r="J504" s="1170"/>
      <c r="K504" s="1170"/>
      <c r="L504" s="153">
        <f t="shared" si="35"/>
        <v>0</v>
      </c>
      <c r="M504" s="154">
        <f t="shared" si="36"/>
        <v>0</v>
      </c>
      <c r="N504" s="155">
        <f>+IF(OR($Q504=Parametres!$G$2,$Q504=Parametres!$G$3),I504,C504)</f>
        <v>0</v>
      </c>
      <c r="O504" s="1108">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hidden="1" customHeight="1">
      <c r="A505" s="1181"/>
      <c r="B505" s="1181"/>
      <c r="C505" s="1178"/>
      <c r="D505" s="1178"/>
      <c r="E505" s="1178"/>
      <c r="F505" s="1181"/>
      <c r="G505" s="1181"/>
      <c r="H505" s="1168"/>
      <c r="I505" s="1170"/>
      <c r="J505" s="1170"/>
      <c r="K505" s="1170"/>
      <c r="L505" s="153">
        <f t="shared" si="35"/>
        <v>0</v>
      </c>
      <c r="M505" s="154">
        <f t="shared" si="36"/>
        <v>0</v>
      </c>
      <c r="N505" s="155">
        <f>+IF(OR($Q505=Parametres!$G$2,$Q505=Parametres!$G$3),I505,C505)</f>
        <v>0</v>
      </c>
      <c r="O505" s="1106">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hidden="1" customHeight="1">
      <c r="A506" s="1181"/>
      <c r="B506" s="1181"/>
      <c r="C506" s="1178"/>
      <c r="D506" s="1178"/>
      <c r="E506" s="1178"/>
      <c r="F506" s="1181"/>
      <c r="G506" s="1181"/>
      <c r="H506" s="1168"/>
      <c r="I506" s="1170"/>
      <c r="J506" s="1170"/>
      <c r="K506" s="1170"/>
      <c r="L506" s="153">
        <f t="shared" si="35"/>
        <v>0</v>
      </c>
      <c r="M506" s="154">
        <f t="shared" si="36"/>
        <v>0</v>
      </c>
      <c r="N506" s="155">
        <f>+IF(OR($Q506=Parametres!$G$2,$Q506=Parametres!$G$3),I506,C506)</f>
        <v>0</v>
      </c>
      <c r="O506" s="1109">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hidden="1" customHeight="1">
      <c r="A507" s="1181"/>
      <c r="B507" s="1181"/>
      <c r="C507" s="1178"/>
      <c r="D507" s="1178"/>
      <c r="E507" s="1178"/>
      <c r="F507" s="1181"/>
      <c r="G507" s="1181"/>
      <c r="H507" s="1168"/>
      <c r="I507" s="1180"/>
      <c r="J507" s="1180"/>
      <c r="K507" s="1180"/>
      <c r="L507" s="153">
        <f t="shared" si="35"/>
        <v>0</v>
      </c>
      <c r="M507" s="154">
        <f t="shared" si="36"/>
        <v>0</v>
      </c>
      <c r="N507" s="155">
        <f>+IF(OR($Q507=Parametres!$G$2,$Q507=Parametres!$G$3),I507,C507)</f>
        <v>0</v>
      </c>
      <c r="O507" s="1108">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hidden="1" customHeight="1">
      <c r="A508" s="1181"/>
      <c r="B508" s="1181"/>
      <c r="C508" s="1178"/>
      <c r="D508" s="1178"/>
      <c r="E508" s="1178"/>
      <c r="F508" s="1181"/>
      <c r="G508" s="1181"/>
      <c r="H508" s="1168"/>
      <c r="I508" s="1170"/>
      <c r="J508" s="1170"/>
      <c r="K508" s="1170"/>
      <c r="L508" s="153">
        <f t="shared" si="35"/>
        <v>0</v>
      </c>
      <c r="M508" s="154">
        <f t="shared" si="36"/>
        <v>0</v>
      </c>
      <c r="N508" s="155">
        <f>+IF(OR($Q508=Parametres!$G$2,$Q508=Parametres!$G$3),I508,C508)</f>
        <v>0</v>
      </c>
      <c r="O508" s="1106">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hidden="1" customHeight="1">
      <c r="A509" s="1181"/>
      <c r="B509" s="1181"/>
      <c r="C509" s="1178"/>
      <c r="D509" s="1178"/>
      <c r="E509" s="1178"/>
      <c r="F509" s="1181"/>
      <c r="G509" s="1181"/>
      <c r="H509" s="1168"/>
      <c r="I509" s="1170"/>
      <c r="J509" s="1170"/>
      <c r="K509" s="1170"/>
      <c r="L509" s="153">
        <f t="shared" si="35"/>
        <v>0</v>
      </c>
      <c r="M509" s="154">
        <f t="shared" si="36"/>
        <v>0</v>
      </c>
      <c r="N509" s="155">
        <f>+IF(OR($Q509=Parametres!$G$2,$Q509=Parametres!$G$3),I509,C509)</f>
        <v>0</v>
      </c>
      <c r="O509" s="1108">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hidden="1" customHeight="1">
      <c r="A510" s="1181"/>
      <c r="B510" s="1181"/>
      <c r="C510" s="1178"/>
      <c r="D510" s="1178"/>
      <c r="E510" s="1178"/>
      <c r="F510" s="1181"/>
      <c r="G510" s="1181"/>
      <c r="H510" s="1168"/>
      <c r="I510" s="1170"/>
      <c r="J510" s="1170"/>
      <c r="K510" s="1170"/>
      <c r="L510" s="153">
        <f t="shared" si="35"/>
        <v>0</v>
      </c>
      <c r="M510" s="154">
        <f t="shared" si="36"/>
        <v>0</v>
      </c>
      <c r="N510" s="155">
        <f>+IF(OR($Q510=Parametres!$G$2,$Q510=Parametres!$G$3),I510,C510)</f>
        <v>0</v>
      </c>
      <c r="O510" s="1108">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hidden="1" customHeight="1">
      <c r="A511" s="1168"/>
      <c r="B511" s="1168"/>
      <c r="C511" s="1174"/>
      <c r="D511" s="1174"/>
      <c r="E511" s="1174"/>
      <c r="F511" s="1168"/>
      <c r="G511" s="1168"/>
      <c r="H511" s="1168"/>
      <c r="I511" s="1170"/>
      <c r="J511" s="1170"/>
      <c r="K511" s="1170"/>
      <c r="L511" s="153">
        <f t="shared" si="35"/>
        <v>0</v>
      </c>
      <c r="M511" s="154">
        <f t="shared" si="36"/>
        <v>0</v>
      </c>
      <c r="N511" s="155">
        <f>+IF(OR($Q511=Parametres!$G$2,$Q511=Parametres!$G$3),I511,C511)</f>
        <v>0</v>
      </c>
      <c r="O511" s="1108">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hidden="1" customHeight="1">
      <c r="A512" s="1168"/>
      <c r="B512" s="1168"/>
      <c r="C512" s="1174"/>
      <c r="D512" s="1174"/>
      <c r="E512" s="1174"/>
      <c r="F512" s="1168"/>
      <c r="G512" s="1168"/>
      <c r="H512" s="1168"/>
      <c r="I512" s="1170"/>
      <c r="J512" s="1170"/>
      <c r="K512" s="1170"/>
      <c r="L512" s="153">
        <f t="shared" si="35"/>
        <v>0</v>
      </c>
      <c r="M512" s="154">
        <f t="shared" si="36"/>
        <v>0</v>
      </c>
      <c r="N512" s="155">
        <f>+IF(OR($Q512=Parametres!$G$2,$Q512=Parametres!$G$3),I512,C512)</f>
        <v>0</v>
      </c>
      <c r="O512" s="1108">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hidden="1" customHeight="1">
      <c r="A513" s="1168"/>
      <c r="B513" s="1168"/>
      <c r="C513" s="1174"/>
      <c r="D513" s="1174"/>
      <c r="E513" s="1174"/>
      <c r="F513" s="1168"/>
      <c r="G513" s="1168"/>
      <c r="H513" s="1168"/>
      <c r="I513" s="1170"/>
      <c r="J513" s="1170"/>
      <c r="K513" s="1170"/>
      <c r="L513" s="153">
        <f t="shared" si="35"/>
        <v>0</v>
      </c>
      <c r="M513" s="154">
        <f t="shared" si="36"/>
        <v>0</v>
      </c>
      <c r="N513" s="155">
        <f>+IF(OR($Q513=Parametres!$G$2,$Q513=Parametres!$G$3),I513,C513)</f>
        <v>0</v>
      </c>
      <c r="O513" s="1108">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hidden="1" customHeight="1">
      <c r="A514" s="1168"/>
      <c r="B514" s="1168"/>
      <c r="C514" s="1174"/>
      <c r="D514" s="1174"/>
      <c r="E514" s="1174"/>
      <c r="F514" s="1168"/>
      <c r="G514" s="1168"/>
      <c r="H514" s="1168"/>
      <c r="I514" s="1170"/>
      <c r="J514" s="1170"/>
      <c r="K514" s="1170"/>
      <c r="L514" s="153">
        <f t="shared" ref="L514:L577" si="50">+B514</f>
        <v>0</v>
      </c>
      <c r="M514" s="154">
        <f t="shared" ref="M514:M577" si="51">+A514</f>
        <v>0</v>
      </c>
      <c r="N514" s="155">
        <f>+IF(OR($Q514=Parametres!$G$2,$Q514=Parametres!$G$3),I514,C514)</f>
        <v>0</v>
      </c>
      <c r="O514" s="1108">
        <f>+IF(OR($Q514=Parametres!$G$2,$Q514=Parametres!$G$3),J514,D514)</f>
        <v>0</v>
      </c>
      <c r="P514" s="155">
        <f>+IF(OR($Q514=Parametres!$G$2,$Q514=Parametres!$G$3),K514,E514)</f>
        <v>0</v>
      </c>
      <c r="Q514" s="154">
        <f t="shared" ref="Q514:Q577" si="52">+F514</f>
        <v>0</v>
      </c>
      <c r="R514" s="153">
        <f t="shared" ref="R514:R577" si="53">+G514</f>
        <v>0</v>
      </c>
      <c r="S514" s="154">
        <f t="shared" ref="S514:S577" si="5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hidden="1" customHeight="1">
      <c r="A515" s="1168"/>
      <c r="B515" s="1168"/>
      <c r="C515" s="1174"/>
      <c r="D515" s="1174"/>
      <c r="E515" s="1174"/>
      <c r="F515" s="1168"/>
      <c r="G515" s="1168"/>
      <c r="H515" s="1168"/>
      <c r="I515" s="1170"/>
      <c r="J515" s="1170"/>
      <c r="K515" s="1170"/>
      <c r="L515" s="153">
        <f t="shared" si="50"/>
        <v>0</v>
      </c>
      <c r="M515" s="154">
        <f t="shared" si="51"/>
        <v>0</v>
      </c>
      <c r="N515" s="155">
        <f>+IF(OR($Q515=Parametres!$G$2,$Q515=Parametres!$G$3),I515,C515)</f>
        <v>0</v>
      </c>
      <c r="O515" s="1108">
        <f>+IF(OR($Q515=Parametres!$G$2,$Q515=Parametres!$G$3),J515,D515)</f>
        <v>0</v>
      </c>
      <c r="P515" s="155">
        <f>+IF(OR($Q515=Parametres!$G$2,$Q515=Parametres!$G$3),K515,E515)</f>
        <v>0</v>
      </c>
      <c r="Q515" s="154">
        <f t="shared" si="52"/>
        <v>0</v>
      </c>
      <c r="R515" s="153">
        <f t="shared" si="53"/>
        <v>0</v>
      </c>
      <c r="S515" s="154">
        <f t="shared" si="5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hidden="1" customHeight="1">
      <c r="A516" s="1168"/>
      <c r="B516" s="1168"/>
      <c r="C516" s="1174"/>
      <c r="D516" s="1174"/>
      <c r="E516" s="1174"/>
      <c r="F516" s="1168"/>
      <c r="G516" s="1168"/>
      <c r="H516" s="1168"/>
      <c r="I516" s="1170"/>
      <c r="J516" s="1170"/>
      <c r="K516" s="1170"/>
      <c r="L516" s="153">
        <f t="shared" si="50"/>
        <v>0</v>
      </c>
      <c r="M516" s="154">
        <f t="shared" si="51"/>
        <v>0</v>
      </c>
      <c r="N516" s="155">
        <f>+IF(OR($Q516=Parametres!$G$2,$Q516=Parametres!$G$3),I516,C516)</f>
        <v>0</v>
      </c>
      <c r="O516" s="1108">
        <f>+IF(OR($Q516=Parametres!$G$2,$Q516=Parametres!$G$3),J516,D516)</f>
        <v>0</v>
      </c>
      <c r="P516" s="155">
        <f>+IF(OR($Q516=Parametres!$G$2,$Q516=Parametres!$G$3),K516,E516)</f>
        <v>0</v>
      </c>
      <c r="Q516" s="154">
        <f t="shared" si="52"/>
        <v>0</v>
      </c>
      <c r="R516" s="153">
        <f t="shared" si="53"/>
        <v>0</v>
      </c>
      <c r="S516" s="154">
        <f t="shared" si="5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hidden="1" customHeight="1">
      <c r="A517" s="1168"/>
      <c r="B517" s="1168"/>
      <c r="C517" s="1174"/>
      <c r="D517" s="1174"/>
      <c r="E517" s="1174"/>
      <c r="F517" s="1168"/>
      <c r="G517" s="1168"/>
      <c r="H517" s="1168"/>
      <c r="I517" s="1170"/>
      <c r="J517" s="1170"/>
      <c r="K517" s="1170"/>
      <c r="L517" s="153">
        <f t="shared" si="50"/>
        <v>0</v>
      </c>
      <c r="M517" s="154">
        <f t="shared" si="51"/>
        <v>0</v>
      </c>
      <c r="N517" s="155">
        <f>+IF(OR($Q517=Parametres!$G$2,$Q517=Parametres!$G$3),I517,C517)</f>
        <v>0</v>
      </c>
      <c r="O517" s="1108">
        <f>+IF(OR($Q517=Parametres!$G$2,$Q517=Parametres!$G$3),J517,D517)</f>
        <v>0</v>
      </c>
      <c r="P517" s="155">
        <f>+IF(OR($Q517=Parametres!$G$2,$Q517=Parametres!$G$3),K517,E517)</f>
        <v>0</v>
      </c>
      <c r="Q517" s="154">
        <f t="shared" si="52"/>
        <v>0</v>
      </c>
      <c r="R517" s="153">
        <f t="shared" si="53"/>
        <v>0</v>
      </c>
      <c r="S517" s="154">
        <f t="shared" si="5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hidden="1" customHeight="1">
      <c r="A518" s="1168"/>
      <c r="B518" s="1168"/>
      <c r="C518" s="1174"/>
      <c r="D518" s="1174"/>
      <c r="E518" s="1174"/>
      <c r="F518" s="1168"/>
      <c r="G518" s="1168"/>
      <c r="H518" s="1168"/>
      <c r="I518" s="1170"/>
      <c r="J518" s="1170"/>
      <c r="K518" s="1170"/>
      <c r="L518" s="153">
        <f t="shared" si="50"/>
        <v>0</v>
      </c>
      <c r="M518" s="154">
        <f t="shared" si="51"/>
        <v>0</v>
      </c>
      <c r="N518" s="155">
        <f>+IF(OR($Q518=Parametres!$G$2,$Q518=Parametres!$G$3),I518,C518)</f>
        <v>0</v>
      </c>
      <c r="O518" s="1108">
        <f>+IF(OR($Q518=Parametres!$G$2,$Q518=Parametres!$G$3),J518,D518)</f>
        <v>0</v>
      </c>
      <c r="P518" s="155">
        <f>+IF(OR($Q518=Parametres!$G$2,$Q518=Parametres!$G$3),K518,E518)</f>
        <v>0</v>
      </c>
      <c r="Q518" s="154">
        <f t="shared" si="52"/>
        <v>0</v>
      </c>
      <c r="R518" s="153">
        <f t="shared" si="53"/>
        <v>0</v>
      </c>
      <c r="S518" s="154">
        <f t="shared" si="5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hidden="1" customHeight="1">
      <c r="A519" s="1168"/>
      <c r="B519" s="1168"/>
      <c r="C519" s="1174"/>
      <c r="D519" s="1174"/>
      <c r="E519" s="1174"/>
      <c r="F519" s="1168"/>
      <c r="G519" s="1168"/>
      <c r="H519" s="1168"/>
      <c r="I519" s="1170"/>
      <c r="J519" s="1170"/>
      <c r="K519" s="1170"/>
      <c r="L519" s="153">
        <f t="shared" si="50"/>
        <v>0</v>
      </c>
      <c r="M519" s="154">
        <f t="shared" si="51"/>
        <v>0</v>
      </c>
      <c r="N519" s="155">
        <f>+IF(OR($Q519=Parametres!$G$2,$Q519=Parametres!$G$3),I519,C519)</f>
        <v>0</v>
      </c>
      <c r="O519" s="1108">
        <f>+IF(OR($Q519=Parametres!$G$2,$Q519=Parametres!$G$3),J519,D519)</f>
        <v>0</v>
      </c>
      <c r="P519" s="155">
        <f>+IF(OR($Q519=Parametres!$G$2,$Q519=Parametres!$G$3),K519,E519)</f>
        <v>0</v>
      </c>
      <c r="Q519" s="154">
        <f t="shared" si="52"/>
        <v>0</v>
      </c>
      <c r="R519" s="153">
        <f t="shared" si="53"/>
        <v>0</v>
      </c>
      <c r="S519" s="154">
        <f t="shared" si="5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hidden="1" customHeight="1">
      <c r="A520" s="1168"/>
      <c r="B520" s="1168"/>
      <c r="C520" s="1174"/>
      <c r="D520" s="1174"/>
      <c r="E520" s="1174"/>
      <c r="F520" s="1168"/>
      <c r="G520" s="1168"/>
      <c r="H520" s="1168"/>
      <c r="I520" s="1170"/>
      <c r="J520" s="1170"/>
      <c r="K520" s="1170"/>
      <c r="L520" s="153">
        <f t="shared" si="50"/>
        <v>0</v>
      </c>
      <c r="M520" s="154">
        <f t="shared" si="51"/>
        <v>0</v>
      </c>
      <c r="N520" s="155">
        <f>+IF(OR($Q520=Parametres!$G$2,$Q520=Parametres!$G$3),I520,C520)</f>
        <v>0</v>
      </c>
      <c r="O520" s="1108">
        <f>+IF(OR($Q520=Parametres!$G$2,$Q520=Parametres!$G$3),J520,D520)</f>
        <v>0</v>
      </c>
      <c r="P520" s="155">
        <f>+IF(OR($Q520=Parametres!$G$2,$Q520=Parametres!$G$3),K520,E520)</f>
        <v>0</v>
      </c>
      <c r="Q520" s="154">
        <f t="shared" si="52"/>
        <v>0</v>
      </c>
      <c r="R520" s="153">
        <f t="shared" si="53"/>
        <v>0</v>
      </c>
      <c r="S520" s="154">
        <f t="shared" si="5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hidden="1" customHeight="1">
      <c r="A521" s="1168"/>
      <c r="B521" s="1168"/>
      <c r="C521" s="1174"/>
      <c r="D521" s="1174"/>
      <c r="E521" s="1174"/>
      <c r="F521" s="1168"/>
      <c r="G521" s="1168"/>
      <c r="H521" s="1168"/>
      <c r="I521" s="1170"/>
      <c r="J521" s="1170"/>
      <c r="K521" s="1170"/>
      <c r="L521" s="153">
        <f t="shared" si="50"/>
        <v>0</v>
      </c>
      <c r="M521" s="154">
        <f t="shared" si="51"/>
        <v>0</v>
      </c>
      <c r="N521" s="155">
        <f>+IF(OR($Q521=Parametres!$G$2,$Q521=Parametres!$G$3),I521,C521)</f>
        <v>0</v>
      </c>
      <c r="O521" s="1108">
        <f>+IF(OR($Q521=Parametres!$G$2,$Q521=Parametres!$G$3),J521,D521)</f>
        <v>0</v>
      </c>
      <c r="P521" s="155">
        <f>+IF(OR($Q521=Parametres!$G$2,$Q521=Parametres!$G$3),K521,E521)</f>
        <v>0</v>
      </c>
      <c r="Q521" s="154">
        <f t="shared" si="52"/>
        <v>0</v>
      </c>
      <c r="R521" s="153">
        <f t="shared" si="53"/>
        <v>0</v>
      </c>
      <c r="S521" s="154">
        <f t="shared" si="5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hidden="1" customHeight="1">
      <c r="A522" s="1168"/>
      <c r="B522" s="1168"/>
      <c r="C522" s="1174"/>
      <c r="D522" s="1174"/>
      <c r="E522" s="1174"/>
      <c r="F522" s="1168"/>
      <c r="G522" s="1168"/>
      <c r="H522" s="1168"/>
      <c r="I522" s="1170"/>
      <c r="J522" s="1170"/>
      <c r="K522" s="1170"/>
      <c r="L522" s="153">
        <f t="shared" si="50"/>
        <v>0</v>
      </c>
      <c r="M522" s="154">
        <f t="shared" si="51"/>
        <v>0</v>
      </c>
      <c r="N522" s="155">
        <f>+IF(OR($Q522=Parametres!$G$2,$Q522=Parametres!$G$3),I522,C522)</f>
        <v>0</v>
      </c>
      <c r="O522" s="1108">
        <f>+IF(OR($Q522=Parametres!$G$2,$Q522=Parametres!$G$3),J522,D522)</f>
        <v>0</v>
      </c>
      <c r="P522" s="155">
        <f>+IF(OR($Q522=Parametres!$G$2,$Q522=Parametres!$G$3),K522,E522)</f>
        <v>0</v>
      </c>
      <c r="Q522" s="154">
        <f t="shared" si="52"/>
        <v>0</v>
      </c>
      <c r="R522" s="153">
        <f t="shared" si="53"/>
        <v>0</v>
      </c>
      <c r="S522" s="154">
        <f t="shared" si="5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hidden="1" customHeight="1">
      <c r="A523" s="1168"/>
      <c r="B523" s="1168"/>
      <c r="C523" s="1174"/>
      <c r="D523" s="1174"/>
      <c r="E523" s="1174"/>
      <c r="F523" s="1168"/>
      <c r="G523" s="1168"/>
      <c r="H523" s="1168"/>
      <c r="I523" s="1170"/>
      <c r="J523" s="1170"/>
      <c r="K523" s="1170"/>
      <c r="L523" s="153">
        <f t="shared" si="50"/>
        <v>0</v>
      </c>
      <c r="M523" s="154">
        <f t="shared" si="51"/>
        <v>0</v>
      </c>
      <c r="N523" s="155">
        <f>+IF(OR($Q523=Parametres!$G$2,$Q523=Parametres!$G$3),I523,C523)</f>
        <v>0</v>
      </c>
      <c r="O523" s="1108">
        <f>+IF(OR($Q523=Parametres!$G$2,$Q523=Parametres!$G$3),J523,D523)</f>
        <v>0</v>
      </c>
      <c r="P523" s="155">
        <f>+IF(OR($Q523=Parametres!$G$2,$Q523=Parametres!$G$3),K523,E523)</f>
        <v>0</v>
      </c>
      <c r="Q523" s="154">
        <f t="shared" si="52"/>
        <v>0</v>
      </c>
      <c r="R523" s="153">
        <f t="shared" si="53"/>
        <v>0</v>
      </c>
      <c r="S523" s="154">
        <f t="shared" si="5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hidden="1" customHeight="1">
      <c r="A524" s="1168"/>
      <c r="B524" s="1168"/>
      <c r="C524" s="1174"/>
      <c r="D524" s="1174"/>
      <c r="E524" s="1174"/>
      <c r="F524" s="1168"/>
      <c r="G524" s="1168"/>
      <c r="H524" s="1168"/>
      <c r="I524" s="1170"/>
      <c r="J524" s="1170"/>
      <c r="K524" s="1170"/>
      <c r="L524" s="153">
        <f t="shared" si="50"/>
        <v>0</v>
      </c>
      <c r="M524" s="154">
        <f t="shared" si="51"/>
        <v>0</v>
      </c>
      <c r="N524" s="155">
        <f>+IF(OR($Q524=Parametres!$G$2,$Q524=Parametres!$G$3),I524,C524)</f>
        <v>0</v>
      </c>
      <c r="O524" s="1108">
        <f>+IF(OR($Q524=Parametres!$G$2,$Q524=Parametres!$G$3),J524,D524)</f>
        <v>0</v>
      </c>
      <c r="P524" s="155">
        <f>+IF(OR($Q524=Parametres!$G$2,$Q524=Parametres!$G$3),K524,E524)</f>
        <v>0</v>
      </c>
      <c r="Q524" s="154">
        <f t="shared" si="52"/>
        <v>0</v>
      </c>
      <c r="R524" s="153">
        <f t="shared" si="53"/>
        <v>0</v>
      </c>
      <c r="S524" s="154">
        <f t="shared" si="5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hidden="1" customHeight="1">
      <c r="A525" s="1168"/>
      <c r="B525" s="1168"/>
      <c r="C525" s="1174"/>
      <c r="D525" s="1174"/>
      <c r="E525" s="1174"/>
      <c r="F525" s="1168"/>
      <c r="G525" s="1168"/>
      <c r="H525" s="1168"/>
      <c r="I525" s="1170"/>
      <c r="J525" s="1170"/>
      <c r="K525" s="1170"/>
      <c r="L525" s="153">
        <f t="shared" si="50"/>
        <v>0</v>
      </c>
      <c r="M525" s="154">
        <f t="shared" si="51"/>
        <v>0</v>
      </c>
      <c r="N525" s="155">
        <f>+IF(OR($Q525=Parametres!$G$2,$Q525=Parametres!$G$3),I525,C525)</f>
        <v>0</v>
      </c>
      <c r="O525" s="1108">
        <f>+IF(OR($Q525=Parametres!$G$2,$Q525=Parametres!$G$3),J525,D525)</f>
        <v>0</v>
      </c>
      <c r="P525" s="155">
        <f>+IF(OR($Q525=Parametres!$G$2,$Q525=Parametres!$G$3),K525,E525)</f>
        <v>0</v>
      </c>
      <c r="Q525" s="154">
        <f t="shared" si="52"/>
        <v>0</v>
      </c>
      <c r="R525" s="153">
        <f t="shared" si="53"/>
        <v>0</v>
      </c>
      <c r="S525" s="154">
        <f t="shared" si="5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hidden="1" customHeight="1">
      <c r="A526" s="1168"/>
      <c r="B526" s="1168"/>
      <c r="C526" s="1174"/>
      <c r="D526" s="1174"/>
      <c r="E526" s="1174"/>
      <c r="F526" s="1168"/>
      <c r="G526" s="1168"/>
      <c r="H526" s="1168"/>
      <c r="I526" s="1170"/>
      <c r="J526" s="1170"/>
      <c r="K526" s="1170"/>
      <c r="L526" s="153">
        <f t="shared" si="50"/>
        <v>0</v>
      </c>
      <c r="M526" s="154">
        <f t="shared" si="51"/>
        <v>0</v>
      </c>
      <c r="N526" s="155">
        <f>+IF(OR($Q526=Parametres!$G$2,$Q526=Parametres!$G$3),I526,C526)</f>
        <v>0</v>
      </c>
      <c r="O526" s="1108">
        <f>+IF(OR($Q526=Parametres!$G$2,$Q526=Parametres!$G$3),J526,D526)</f>
        <v>0</v>
      </c>
      <c r="P526" s="155">
        <f>+IF(OR($Q526=Parametres!$G$2,$Q526=Parametres!$G$3),K526,E526)</f>
        <v>0</v>
      </c>
      <c r="Q526" s="154">
        <f t="shared" si="52"/>
        <v>0</v>
      </c>
      <c r="R526" s="153">
        <f t="shared" si="53"/>
        <v>0</v>
      </c>
      <c r="S526" s="154">
        <f t="shared" si="5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hidden="1" customHeight="1">
      <c r="A527" s="1168"/>
      <c r="B527" s="1168"/>
      <c r="C527" s="1174"/>
      <c r="D527" s="1174"/>
      <c r="E527" s="1174"/>
      <c r="F527" s="1168"/>
      <c r="G527" s="1168"/>
      <c r="H527" s="1168"/>
      <c r="I527" s="1170"/>
      <c r="J527" s="1170"/>
      <c r="K527" s="1170"/>
      <c r="L527" s="153">
        <f t="shared" si="50"/>
        <v>0</v>
      </c>
      <c r="M527" s="154">
        <f t="shared" si="51"/>
        <v>0</v>
      </c>
      <c r="N527" s="155">
        <f>+IF(OR($Q527=Parametres!$G$2,$Q527=Parametres!$G$3),I527,C527)</f>
        <v>0</v>
      </c>
      <c r="O527" s="1108">
        <f>+IF(OR($Q527=Parametres!$G$2,$Q527=Parametres!$G$3),J527,D527)</f>
        <v>0</v>
      </c>
      <c r="P527" s="155">
        <f>+IF(OR($Q527=Parametres!$G$2,$Q527=Parametres!$G$3),K527,E527)</f>
        <v>0</v>
      </c>
      <c r="Q527" s="154">
        <f t="shared" si="52"/>
        <v>0</v>
      </c>
      <c r="R527" s="153">
        <f t="shared" si="53"/>
        <v>0</v>
      </c>
      <c r="S527" s="154">
        <f t="shared" si="5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hidden="1" customHeight="1">
      <c r="A528" s="1168"/>
      <c r="B528" s="1168"/>
      <c r="C528" s="1174"/>
      <c r="D528" s="1174"/>
      <c r="E528" s="1174"/>
      <c r="F528" s="1168"/>
      <c r="G528" s="1168"/>
      <c r="H528" s="1168"/>
      <c r="I528" s="1170"/>
      <c r="J528" s="1170"/>
      <c r="K528" s="1170"/>
      <c r="L528" s="153">
        <f t="shared" si="50"/>
        <v>0</v>
      </c>
      <c r="M528" s="154">
        <f t="shared" si="51"/>
        <v>0</v>
      </c>
      <c r="N528" s="155">
        <f>+IF(OR($Q528=Parametres!$G$2,$Q528=Parametres!$G$3),I528,C528)</f>
        <v>0</v>
      </c>
      <c r="O528" s="1108">
        <f>+IF(OR($Q528=Parametres!$G$2,$Q528=Parametres!$G$3),J528,D528)</f>
        <v>0</v>
      </c>
      <c r="P528" s="155">
        <f>+IF(OR($Q528=Parametres!$G$2,$Q528=Parametres!$G$3),K528,E528)</f>
        <v>0</v>
      </c>
      <c r="Q528" s="154">
        <f t="shared" si="52"/>
        <v>0</v>
      </c>
      <c r="R528" s="153">
        <f t="shared" si="53"/>
        <v>0</v>
      </c>
      <c r="S528" s="154">
        <f t="shared" si="5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hidden="1" customHeight="1">
      <c r="A529" s="1168"/>
      <c r="B529" s="1168"/>
      <c r="C529" s="1174"/>
      <c r="D529" s="1174"/>
      <c r="E529" s="1174"/>
      <c r="F529" s="1168"/>
      <c r="G529" s="1168"/>
      <c r="H529" s="1168"/>
      <c r="I529" s="1170"/>
      <c r="J529" s="1170"/>
      <c r="K529" s="1170"/>
      <c r="L529" s="153">
        <f t="shared" si="50"/>
        <v>0</v>
      </c>
      <c r="M529" s="154">
        <f t="shared" si="51"/>
        <v>0</v>
      </c>
      <c r="N529" s="155">
        <f>+IF(OR($Q529=Parametres!$G$2,$Q529=Parametres!$G$3),I529,C529)</f>
        <v>0</v>
      </c>
      <c r="O529" s="1108">
        <f>+IF(OR($Q529=Parametres!$G$2,$Q529=Parametres!$G$3),J529,D529)</f>
        <v>0</v>
      </c>
      <c r="P529" s="155">
        <f>+IF(OR($Q529=Parametres!$G$2,$Q529=Parametres!$G$3),K529,E529)</f>
        <v>0</v>
      </c>
      <c r="Q529" s="154">
        <f t="shared" si="52"/>
        <v>0</v>
      </c>
      <c r="R529" s="153">
        <f t="shared" si="53"/>
        <v>0</v>
      </c>
      <c r="S529" s="154">
        <f t="shared" si="5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hidden="1" customHeight="1">
      <c r="A530" s="1168"/>
      <c r="B530" s="1168"/>
      <c r="C530" s="1174"/>
      <c r="D530" s="1174"/>
      <c r="E530" s="1174"/>
      <c r="F530" s="1168"/>
      <c r="G530" s="1168"/>
      <c r="H530" s="1168"/>
      <c r="I530" s="1170"/>
      <c r="J530" s="1170"/>
      <c r="K530" s="1170"/>
      <c r="L530" s="153">
        <f t="shared" si="50"/>
        <v>0</v>
      </c>
      <c r="M530" s="154">
        <f t="shared" si="51"/>
        <v>0</v>
      </c>
      <c r="N530" s="155">
        <f>+IF(OR($Q530=Parametres!$G$2,$Q530=Parametres!$G$3),I530,C530)</f>
        <v>0</v>
      </c>
      <c r="O530" s="1108">
        <f>+IF(OR($Q530=Parametres!$G$2,$Q530=Parametres!$G$3),J530,D530)</f>
        <v>0</v>
      </c>
      <c r="P530" s="155">
        <f>+IF(OR($Q530=Parametres!$G$2,$Q530=Parametres!$G$3),K530,E530)</f>
        <v>0</v>
      </c>
      <c r="Q530" s="154">
        <f t="shared" si="52"/>
        <v>0</v>
      </c>
      <c r="R530" s="153">
        <f t="shared" si="53"/>
        <v>0</v>
      </c>
      <c r="S530" s="154">
        <f t="shared" si="5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hidden="1" customHeight="1">
      <c r="A531" s="1168"/>
      <c r="B531" s="1168"/>
      <c r="C531" s="1174"/>
      <c r="D531" s="1174"/>
      <c r="E531" s="1174"/>
      <c r="F531" s="1168"/>
      <c r="G531" s="1168"/>
      <c r="H531" s="1168"/>
      <c r="I531" s="1170"/>
      <c r="J531" s="1170"/>
      <c r="K531" s="1170"/>
      <c r="L531" s="153">
        <f t="shared" si="50"/>
        <v>0</v>
      </c>
      <c r="M531" s="154">
        <f t="shared" si="51"/>
        <v>0</v>
      </c>
      <c r="N531" s="155">
        <f>+IF(OR($Q531=Parametres!$G$2,$Q531=Parametres!$G$3),I531,C531)</f>
        <v>0</v>
      </c>
      <c r="O531" s="1108">
        <f>+IF(OR($Q531=Parametres!$G$2,$Q531=Parametres!$G$3),J531,D531)</f>
        <v>0</v>
      </c>
      <c r="P531" s="155">
        <f>+IF(OR($Q531=Parametres!$G$2,$Q531=Parametres!$G$3),K531,E531)</f>
        <v>0</v>
      </c>
      <c r="Q531" s="154">
        <f t="shared" si="52"/>
        <v>0</v>
      </c>
      <c r="R531" s="153">
        <f t="shared" si="53"/>
        <v>0</v>
      </c>
      <c r="S531" s="154">
        <f t="shared" si="5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hidden="1" customHeight="1">
      <c r="A532" s="1168"/>
      <c r="B532" s="1168"/>
      <c r="C532" s="1174"/>
      <c r="D532" s="1174"/>
      <c r="E532" s="1174"/>
      <c r="F532" s="1168"/>
      <c r="G532" s="1168"/>
      <c r="H532" s="1168"/>
      <c r="I532" s="1170"/>
      <c r="J532" s="1170"/>
      <c r="K532" s="1170"/>
      <c r="L532" s="153">
        <f t="shared" si="50"/>
        <v>0</v>
      </c>
      <c r="M532" s="154">
        <f t="shared" si="51"/>
        <v>0</v>
      </c>
      <c r="N532" s="155">
        <f>+IF(OR($Q532=Parametres!$G$2,$Q532=Parametres!$G$3),I532,C532)</f>
        <v>0</v>
      </c>
      <c r="O532" s="1108">
        <f>+IF(OR($Q532=Parametres!$G$2,$Q532=Parametres!$G$3),J532,D532)</f>
        <v>0</v>
      </c>
      <c r="P532" s="155">
        <f>+IF(OR($Q532=Parametres!$G$2,$Q532=Parametres!$G$3),K532,E532)</f>
        <v>0</v>
      </c>
      <c r="Q532" s="154">
        <f t="shared" si="52"/>
        <v>0</v>
      </c>
      <c r="R532" s="153">
        <f t="shared" si="53"/>
        <v>0</v>
      </c>
      <c r="S532" s="154">
        <f t="shared" si="5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hidden="1" customHeight="1">
      <c r="A533" s="1168"/>
      <c r="B533" s="1168"/>
      <c r="C533" s="1174"/>
      <c r="D533" s="1174"/>
      <c r="E533" s="1174"/>
      <c r="F533" s="1168"/>
      <c r="G533" s="1168"/>
      <c r="H533" s="1168"/>
      <c r="I533" s="1170"/>
      <c r="J533" s="1170"/>
      <c r="K533" s="1170"/>
      <c r="L533" s="153">
        <f t="shared" si="50"/>
        <v>0</v>
      </c>
      <c r="M533" s="154">
        <f t="shared" si="51"/>
        <v>0</v>
      </c>
      <c r="N533" s="155">
        <f>+IF(OR($Q533=Parametres!$G$2,$Q533=Parametres!$G$3),I533,C533)</f>
        <v>0</v>
      </c>
      <c r="O533" s="1108">
        <f>+IF(OR($Q533=Parametres!$G$2,$Q533=Parametres!$G$3),J533,D533)</f>
        <v>0</v>
      </c>
      <c r="P533" s="155">
        <f>+IF(OR($Q533=Parametres!$G$2,$Q533=Parametres!$G$3),K533,E533)</f>
        <v>0</v>
      </c>
      <c r="Q533" s="154">
        <f t="shared" si="52"/>
        <v>0</v>
      </c>
      <c r="R533" s="153">
        <f t="shared" si="53"/>
        <v>0</v>
      </c>
      <c r="S533" s="154">
        <f t="shared" si="5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hidden="1" customHeight="1">
      <c r="A534" s="1168"/>
      <c r="B534" s="1168"/>
      <c r="C534" s="1174"/>
      <c r="D534" s="1174"/>
      <c r="E534" s="1174"/>
      <c r="F534" s="1168"/>
      <c r="G534" s="1168"/>
      <c r="H534" s="1168"/>
      <c r="I534" s="1170"/>
      <c r="J534" s="1170"/>
      <c r="K534" s="1170"/>
      <c r="L534" s="153">
        <f t="shared" si="50"/>
        <v>0</v>
      </c>
      <c r="M534" s="154">
        <f t="shared" si="51"/>
        <v>0</v>
      </c>
      <c r="N534" s="155">
        <f>+IF(OR($Q534=Parametres!$G$2,$Q534=Parametres!$G$3),I534,C534)</f>
        <v>0</v>
      </c>
      <c r="O534" s="1108">
        <f>+IF(OR($Q534=Parametres!$G$2,$Q534=Parametres!$G$3),J534,D534)</f>
        <v>0</v>
      </c>
      <c r="P534" s="155">
        <f>+IF(OR($Q534=Parametres!$G$2,$Q534=Parametres!$G$3),K534,E534)</f>
        <v>0</v>
      </c>
      <c r="Q534" s="154">
        <f t="shared" si="52"/>
        <v>0</v>
      </c>
      <c r="R534" s="153">
        <f t="shared" si="53"/>
        <v>0</v>
      </c>
      <c r="S534" s="154">
        <f t="shared" si="5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hidden="1" customHeight="1">
      <c r="A535" s="1168"/>
      <c r="B535" s="1168"/>
      <c r="C535" s="1174"/>
      <c r="D535" s="1174"/>
      <c r="E535" s="1174"/>
      <c r="F535" s="1168"/>
      <c r="G535" s="1168"/>
      <c r="H535" s="1168"/>
      <c r="I535" s="1170"/>
      <c r="J535" s="1170"/>
      <c r="K535" s="1170"/>
      <c r="L535" s="153">
        <f t="shared" si="50"/>
        <v>0</v>
      </c>
      <c r="M535" s="154">
        <f t="shared" si="51"/>
        <v>0</v>
      </c>
      <c r="N535" s="155">
        <f>+IF(OR($Q535=Parametres!$G$2,$Q535=Parametres!$G$3),I535,C535)</f>
        <v>0</v>
      </c>
      <c r="O535" s="1108">
        <f>+IF(OR($Q535=Parametres!$G$2,$Q535=Parametres!$G$3),J535,D535)</f>
        <v>0</v>
      </c>
      <c r="P535" s="155">
        <f>+IF(OR($Q535=Parametres!$G$2,$Q535=Parametres!$G$3),K535,E535)</f>
        <v>0</v>
      </c>
      <c r="Q535" s="154">
        <f t="shared" si="52"/>
        <v>0</v>
      </c>
      <c r="R535" s="153">
        <f t="shared" si="53"/>
        <v>0</v>
      </c>
      <c r="S535" s="154">
        <f t="shared" si="5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hidden="1" customHeight="1">
      <c r="A536" s="1168"/>
      <c r="B536" s="1168"/>
      <c r="C536" s="1174"/>
      <c r="D536" s="1174"/>
      <c r="E536" s="1174"/>
      <c r="F536" s="1168"/>
      <c r="G536" s="1168"/>
      <c r="H536" s="1168"/>
      <c r="I536" s="1170"/>
      <c r="J536" s="1170"/>
      <c r="K536" s="1170"/>
      <c r="L536" s="153">
        <f t="shared" si="50"/>
        <v>0</v>
      </c>
      <c r="M536" s="154">
        <f t="shared" si="51"/>
        <v>0</v>
      </c>
      <c r="N536" s="155">
        <f>+IF(OR($Q536=Parametres!$G$2,$Q536=Parametres!$G$3),I536,C536)</f>
        <v>0</v>
      </c>
      <c r="O536" s="1108">
        <f>+IF(OR($Q536=Parametres!$G$2,$Q536=Parametres!$G$3),J536,D536)</f>
        <v>0</v>
      </c>
      <c r="P536" s="155">
        <f>+IF(OR($Q536=Parametres!$G$2,$Q536=Parametres!$G$3),K536,E536)</f>
        <v>0</v>
      </c>
      <c r="Q536" s="154">
        <f t="shared" si="52"/>
        <v>0</v>
      </c>
      <c r="R536" s="153">
        <f t="shared" si="53"/>
        <v>0</v>
      </c>
      <c r="S536" s="154">
        <f t="shared" si="5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hidden="1" customHeight="1">
      <c r="A537" s="1168"/>
      <c r="B537" s="1168"/>
      <c r="C537" s="1174"/>
      <c r="D537" s="1174"/>
      <c r="E537" s="1174"/>
      <c r="F537" s="1168"/>
      <c r="G537" s="1168"/>
      <c r="H537" s="1168"/>
      <c r="I537" s="1170"/>
      <c r="J537" s="1170"/>
      <c r="K537" s="1170"/>
      <c r="L537" s="153">
        <f t="shared" si="50"/>
        <v>0</v>
      </c>
      <c r="M537" s="154">
        <f t="shared" si="51"/>
        <v>0</v>
      </c>
      <c r="N537" s="155">
        <f>+IF(OR($Q537=Parametres!$G$2,$Q537=Parametres!$G$3),I537,C537)</f>
        <v>0</v>
      </c>
      <c r="O537" s="1108">
        <f>+IF(OR($Q537=Parametres!$G$2,$Q537=Parametres!$G$3),J537,D537)</f>
        <v>0</v>
      </c>
      <c r="P537" s="155">
        <f>+IF(OR($Q537=Parametres!$G$2,$Q537=Parametres!$G$3),K537,E537)</f>
        <v>0</v>
      </c>
      <c r="Q537" s="154">
        <f t="shared" si="52"/>
        <v>0</v>
      </c>
      <c r="R537" s="153">
        <f t="shared" si="53"/>
        <v>0</v>
      </c>
      <c r="S537" s="154">
        <f t="shared" si="5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hidden="1" customHeight="1">
      <c r="A538" s="1168"/>
      <c r="B538" s="1168"/>
      <c r="C538" s="1174"/>
      <c r="D538" s="1174"/>
      <c r="E538" s="1174"/>
      <c r="F538" s="1168"/>
      <c r="G538" s="1168"/>
      <c r="H538" s="1168"/>
      <c r="I538" s="1170"/>
      <c r="J538" s="1170"/>
      <c r="K538" s="1170"/>
      <c r="L538" s="153">
        <f t="shared" si="50"/>
        <v>0</v>
      </c>
      <c r="M538" s="154">
        <f t="shared" si="51"/>
        <v>0</v>
      </c>
      <c r="N538" s="155">
        <f>+IF(OR($Q538=Parametres!$G$2,$Q538=Parametres!$G$3),I538,C538)</f>
        <v>0</v>
      </c>
      <c r="O538" s="1108">
        <f>+IF(OR($Q538=Parametres!$G$2,$Q538=Parametres!$G$3),J538,D538)</f>
        <v>0</v>
      </c>
      <c r="P538" s="155">
        <f>+IF(OR($Q538=Parametres!$G$2,$Q538=Parametres!$G$3),K538,E538)</f>
        <v>0</v>
      </c>
      <c r="Q538" s="154">
        <f t="shared" si="52"/>
        <v>0</v>
      </c>
      <c r="R538" s="153">
        <f t="shared" si="53"/>
        <v>0</v>
      </c>
      <c r="S538" s="154">
        <f t="shared" si="5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hidden="1" customHeight="1">
      <c r="A539" s="1168"/>
      <c r="B539" s="1168"/>
      <c r="C539" s="1174"/>
      <c r="D539" s="1174"/>
      <c r="E539" s="1174"/>
      <c r="F539" s="1168"/>
      <c r="G539" s="1168"/>
      <c r="H539" s="1168"/>
      <c r="I539" s="1170"/>
      <c r="J539" s="1170"/>
      <c r="K539" s="1170"/>
      <c r="L539" s="153">
        <f t="shared" si="50"/>
        <v>0</v>
      </c>
      <c r="M539" s="154">
        <f t="shared" si="51"/>
        <v>0</v>
      </c>
      <c r="N539" s="155">
        <f>+IF(OR($Q539=Parametres!$G$2,$Q539=Parametres!$G$3),I539,C539)</f>
        <v>0</v>
      </c>
      <c r="O539" s="1108">
        <f>+IF(OR($Q539=Parametres!$G$2,$Q539=Parametres!$G$3),J539,D539)</f>
        <v>0</v>
      </c>
      <c r="P539" s="155">
        <f>+IF(OR($Q539=Parametres!$G$2,$Q539=Parametres!$G$3),K539,E539)</f>
        <v>0</v>
      </c>
      <c r="Q539" s="154">
        <f t="shared" si="52"/>
        <v>0</v>
      </c>
      <c r="R539" s="153">
        <f t="shared" si="53"/>
        <v>0</v>
      </c>
      <c r="S539" s="154">
        <f t="shared" si="5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hidden="1" customHeight="1">
      <c r="A540" s="1168"/>
      <c r="B540" s="1168"/>
      <c r="C540" s="1174"/>
      <c r="D540" s="1174"/>
      <c r="E540" s="1174"/>
      <c r="F540" s="1168"/>
      <c r="G540" s="1168"/>
      <c r="H540" s="1168"/>
      <c r="I540" s="1170"/>
      <c r="J540" s="1170"/>
      <c r="K540" s="1170"/>
      <c r="L540" s="153">
        <f t="shared" si="50"/>
        <v>0</v>
      </c>
      <c r="M540" s="154">
        <f t="shared" si="51"/>
        <v>0</v>
      </c>
      <c r="N540" s="155">
        <f>+IF(OR($Q540=Parametres!$G$2,$Q540=Parametres!$G$3),I540,C540)</f>
        <v>0</v>
      </c>
      <c r="O540" s="1108">
        <f>+IF(OR($Q540=Parametres!$G$2,$Q540=Parametres!$G$3),J540,D540)</f>
        <v>0</v>
      </c>
      <c r="P540" s="155">
        <f>+IF(OR($Q540=Parametres!$G$2,$Q540=Parametres!$G$3),K540,E540)</f>
        <v>0</v>
      </c>
      <c r="Q540" s="154">
        <f t="shared" si="52"/>
        <v>0</v>
      </c>
      <c r="R540" s="153">
        <f t="shared" si="53"/>
        <v>0</v>
      </c>
      <c r="S540" s="154">
        <f t="shared" si="5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hidden="1" customHeight="1">
      <c r="A541" s="1168"/>
      <c r="B541" s="1168"/>
      <c r="C541" s="1174"/>
      <c r="D541" s="1174"/>
      <c r="E541" s="1174"/>
      <c r="F541" s="1168"/>
      <c r="G541" s="1168"/>
      <c r="H541" s="1168"/>
      <c r="I541" s="1170"/>
      <c r="J541" s="1170"/>
      <c r="K541" s="1170"/>
      <c r="L541" s="153">
        <f t="shared" si="50"/>
        <v>0</v>
      </c>
      <c r="M541" s="154">
        <f t="shared" si="51"/>
        <v>0</v>
      </c>
      <c r="N541" s="155">
        <f>+IF(OR($Q541=Parametres!$G$2,$Q541=Parametres!$G$3),I541,C541)</f>
        <v>0</v>
      </c>
      <c r="O541" s="1108">
        <f>+IF(OR($Q541=Parametres!$G$2,$Q541=Parametres!$G$3),J541,D541)</f>
        <v>0</v>
      </c>
      <c r="P541" s="155">
        <f>+IF(OR($Q541=Parametres!$G$2,$Q541=Parametres!$G$3),K541,E541)</f>
        <v>0</v>
      </c>
      <c r="Q541" s="154">
        <f t="shared" si="52"/>
        <v>0</v>
      </c>
      <c r="R541" s="153">
        <f t="shared" si="53"/>
        <v>0</v>
      </c>
      <c r="S541" s="154">
        <f t="shared" si="5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hidden="1" customHeight="1">
      <c r="A542" s="1168"/>
      <c r="B542" s="1168"/>
      <c r="C542" s="1174"/>
      <c r="D542" s="1174"/>
      <c r="E542" s="1174"/>
      <c r="F542" s="1168"/>
      <c r="G542" s="1168"/>
      <c r="H542" s="1168"/>
      <c r="I542" s="1170"/>
      <c r="J542" s="1170"/>
      <c r="K542" s="1170"/>
      <c r="L542" s="153">
        <f t="shared" si="50"/>
        <v>0</v>
      </c>
      <c r="M542" s="154">
        <f t="shared" si="51"/>
        <v>0</v>
      </c>
      <c r="N542" s="155">
        <f>+IF(OR($Q542=Parametres!$G$2,$Q542=Parametres!$G$3),I542,C542)</f>
        <v>0</v>
      </c>
      <c r="O542" s="1108">
        <f>+IF(OR($Q542=Parametres!$G$2,$Q542=Parametres!$G$3),J542,D542)</f>
        <v>0</v>
      </c>
      <c r="P542" s="155">
        <f>+IF(OR($Q542=Parametres!$G$2,$Q542=Parametres!$G$3),K542,E542)</f>
        <v>0</v>
      </c>
      <c r="Q542" s="154">
        <f t="shared" si="52"/>
        <v>0</v>
      </c>
      <c r="R542" s="153">
        <f t="shared" si="53"/>
        <v>0</v>
      </c>
      <c r="S542" s="154">
        <f t="shared" si="5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hidden="1" customHeight="1">
      <c r="A543" s="1168"/>
      <c r="B543" s="1168"/>
      <c r="C543" s="1174"/>
      <c r="D543" s="1174"/>
      <c r="E543" s="1174"/>
      <c r="F543" s="1168"/>
      <c r="G543" s="1168"/>
      <c r="H543" s="1168"/>
      <c r="I543" s="1170"/>
      <c r="J543" s="1170"/>
      <c r="K543" s="1170"/>
      <c r="L543" s="153">
        <f t="shared" si="50"/>
        <v>0</v>
      </c>
      <c r="M543" s="154">
        <f t="shared" si="51"/>
        <v>0</v>
      </c>
      <c r="N543" s="155">
        <f>+IF(OR($Q543=Parametres!$G$2,$Q543=Parametres!$G$3),I543,C543)</f>
        <v>0</v>
      </c>
      <c r="O543" s="1108">
        <f>+IF(OR($Q543=Parametres!$G$2,$Q543=Parametres!$G$3),J543,D543)</f>
        <v>0</v>
      </c>
      <c r="P543" s="155">
        <f>+IF(OR($Q543=Parametres!$G$2,$Q543=Parametres!$G$3),K543,E543)</f>
        <v>0</v>
      </c>
      <c r="Q543" s="154">
        <f t="shared" si="52"/>
        <v>0</v>
      </c>
      <c r="R543" s="153">
        <f t="shared" si="53"/>
        <v>0</v>
      </c>
      <c r="S543" s="154">
        <f t="shared" si="5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hidden="1" customHeight="1">
      <c r="A544" s="1168"/>
      <c r="B544" s="1168"/>
      <c r="C544" s="1174"/>
      <c r="D544" s="1174"/>
      <c r="E544" s="1174"/>
      <c r="F544" s="1168"/>
      <c r="G544" s="1168"/>
      <c r="H544" s="1168"/>
      <c r="I544" s="1170"/>
      <c r="J544" s="1170"/>
      <c r="K544" s="1170"/>
      <c r="L544" s="153">
        <f t="shared" si="50"/>
        <v>0</v>
      </c>
      <c r="M544" s="154">
        <f t="shared" si="51"/>
        <v>0</v>
      </c>
      <c r="N544" s="155">
        <f>+IF(OR($Q544=Parametres!$G$2,$Q544=Parametres!$G$3),I544,C544)</f>
        <v>0</v>
      </c>
      <c r="O544" s="1108">
        <f>+IF(OR($Q544=Parametres!$G$2,$Q544=Parametres!$G$3),J544,D544)</f>
        <v>0</v>
      </c>
      <c r="P544" s="155">
        <f>+IF(OR($Q544=Parametres!$G$2,$Q544=Parametres!$G$3),K544,E544)</f>
        <v>0</v>
      </c>
      <c r="Q544" s="154">
        <f t="shared" si="52"/>
        <v>0</v>
      </c>
      <c r="R544" s="153">
        <f t="shared" si="53"/>
        <v>0</v>
      </c>
      <c r="S544" s="154">
        <f t="shared" si="5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hidden="1" customHeight="1">
      <c r="A545" s="1168"/>
      <c r="B545" s="1168"/>
      <c r="C545" s="1174"/>
      <c r="D545" s="1174"/>
      <c r="E545" s="1174"/>
      <c r="F545" s="1168"/>
      <c r="G545" s="1168"/>
      <c r="H545" s="1168"/>
      <c r="I545" s="1170"/>
      <c r="J545" s="1170"/>
      <c r="K545" s="1170"/>
      <c r="L545" s="153">
        <f t="shared" si="50"/>
        <v>0</v>
      </c>
      <c r="M545" s="154">
        <f t="shared" si="51"/>
        <v>0</v>
      </c>
      <c r="N545" s="155">
        <f>+IF(OR($Q545=Parametres!$G$2,$Q545=Parametres!$G$3),I545,C545)</f>
        <v>0</v>
      </c>
      <c r="O545" s="1108">
        <f>+IF(OR($Q545=Parametres!$G$2,$Q545=Parametres!$G$3),J545,D545)</f>
        <v>0</v>
      </c>
      <c r="P545" s="155">
        <f>+IF(OR($Q545=Parametres!$G$2,$Q545=Parametres!$G$3),K545,E545)</f>
        <v>0</v>
      </c>
      <c r="Q545" s="154">
        <f t="shared" si="52"/>
        <v>0</v>
      </c>
      <c r="R545" s="153">
        <f t="shared" si="53"/>
        <v>0</v>
      </c>
      <c r="S545" s="154">
        <f t="shared" si="5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hidden="1" customHeight="1">
      <c r="A546" s="1168"/>
      <c r="B546" s="1168"/>
      <c r="C546" s="1174"/>
      <c r="D546" s="1174"/>
      <c r="E546" s="1174"/>
      <c r="F546" s="1168"/>
      <c r="G546" s="1168"/>
      <c r="H546" s="1168"/>
      <c r="I546" s="1170"/>
      <c r="J546" s="1170"/>
      <c r="K546" s="1170"/>
      <c r="L546" s="153">
        <f t="shared" si="50"/>
        <v>0</v>
      </c>
      <c r="M546" s="154">
        <f t="shared" si="51"/>
        <v>0</v>
      </c>
      <c r="N546" s="155">
        <f>+IF(OR($Q546=Parametres!$G$2,$Q546=Parametres!$G$3),I546,C546)</f>
        <v>0</v>
      </c>
      <c r="O546" s="1108">
        <f>+IF(OR($Q546=Parametres!$G$2,$Q546=Parametres!$G$3),J546,D546)</f>
        <v>0</v>
      </c>
      <c r="P546" s="155">
        <f>+IF(OR($Q546=Parametres!$G$2,$Q546=Parametres!$G$3),K546,E546)</f>
        <v>0</v>
      </c>
      <c r="Q546" s="154">
        <f t="shared" si="52"/>
        <v>0</v>
      </c>
      <c r="R546" s="153">
        <f t="shared" si="53"/>
        <v>0</v>
      </c>
      <c r="S546" s="154">
        <f t="shared" si="5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hidden="1" customHeight="1">
      <c r="A547" s="1168"/>
      <c r="B547" s="1168"/>
      <c r="C547" s="1174"/>
      <c r="D547" s="1174"/>
      <c r="E547" s="1174"/>
      <c r="F547" s="1168"/>
      <c r="G547" s="1168"/>
      <c r="H547" s="1168"/>
      <c r="I547" s="1170"/>
      <c r="J547" s="1170"/>
      <c r="K547" s="1170"/>
      <c r="L547" s="153">
        <f t="shared" si="50"/>
        <v>0</v>
      </c>
      <c r="M547" s="154">
        <f t="shared" si="51"/>
        <v>0</v>
      </c>
      <c r="N547" s="155">
        <f>+IF(OR($Q547=Parametres!$G$2,$Q547=Parametres!$G$3),I547,C547)</f>
        <v>0</v>
      </c>
      <c r="O547" s="1108">
        <f>+IF(OR($Q547=Parametres!$G$2,$Q547=Parametres!$G$3),J547,D547)</f>
        <v>0</v>
      </c>
      <c r="P547" s="155">
        <f>+IF(OR($Q547=Parametres!$G$2,$Q547=Parametres!$G$3),K547,E547)</f>
        <v>0</v>
      </c>
      <c r="Q547" s="154">
        <f t="shared" si="52"/>
        <v>0</v>
      </c>
      <c r="R547" s="153">
        <f t="shared" si="53"/>
        <v>0</v>
      </c>
      <c r="S547" s="154">
        <f t="shared" si="5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hidden="1" customHeight="1">
      <c r="A548" s="1168"/>
      <c r="B548" s="1168"/>
      <c r="C548" s="1174"/>
      <c r="D548" s="1174"/>
      <c r="E548" s="1174"/>
      <c r="F548" s="1168"/>
      <c r="G548" s="1168"/>
      <c r="H548" s="1168"/>
      <c r="I548" s="1170"/>
      <c r="J548" s="1170"/>
      <c r="K548" s="1170"/>
      <c r="L548" s="153">
        <f t="shared" si="50"/>
        <v>0</v>
      </c>
      <c r="M548" s="154">
        <f t="shared" si="51"/>
        <v>0</v>
      </c>
      <c r="N548" s="155">
        <f>+IF(OR($Q548=Parametres!$G$2,$Q548=Parametres!$G$3),I548,C548)</f>
        <v>0</v>
      </c>
      <c r="O548" s="1108">
        <f>+IF(OR($Q548=Parametres!$G$2,$Q548=Parametres!$G$3),J548,D548)</f>
        <v>0</v>
      </c>
      <c r="P548" s="155">
        <f>+IF(OR($Q548=Parametres!$G$2,$Q548=Parametres!$G$3),K548,E548)</f>
        <v>0</v>
      </c>
      <c r="Q548" s="154">
        <f t="shared" si="52"/>
        <v>0</v>
      </c>
      <c r="R548" s="153">
        <f t="shared" si="53"/>
        <v>0</v>
      </c>
      <c r="S548" s="154">
        <f t="shared" si="5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hidden="1" customHeight="1">
      <c r="A549" s="1168"/>
      <c r="B549" s="1168"/>
      <c r="C549" s="1174"/>
      <c r="D549" s="1174"/>
      <c r="E549" s="1174"/>
      <c r="F549" s="1168"/>
      <c r="G549" s="1168"/>
      <c r="H549" s="1168"/>
      <c r="I549" s="1170"/>
      <c r="J549" s="1170"/>
      <c r="K549" s="1170"/>
      <c r="L549" s="153">
        <f t="shared" si="50"/>
        <v>0</v>
      </c>
      <c r="M549" s="154">
        <f t="shared" si="51"/>
        <v>0</v>
      </c>
      <c r="N549" s="155">
        <f>+IF(OR($Q549=Parametres!$G$2,$Q549=Parametres!$G$3),I549,C549)</f>
        <v>0</v>
      </c>
      <c r="O549" s="1108">
        <f>+IF(OR($Q549=Parametres!$G$2,$Q549=Parametres!$G$3),J549,D549)</f>
        <v>0</v>
      </c>
      <c r="P549" s="155">
        <f>+IF(OR($Q549=Parametres!$G$2,$Q549=Parametres!$G$3),K549,E549)</f>
        <v>0</v>
      </c>
      <c r="Q549" s="154">
        <f t="shared" si="52"/>
        <v>0</v>
      </c>
      <c r="R549" s="153">
        <f t="shared" si="53"/>
        <v>0</v>
      </c>
      <c r="S549" s="154">
        <f t="shared" si="5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hidden="1" customHeight="1">
      <c r="A550" s="1168"/>
      <c r="B550" s="1168"/>
      <c r="C550" s="1174"/>
      <c r="D550" s="1174"/>
      <c r="E550" s="1174"/>
      <c r="F550" s="1168"/>
      <c r="G550" s="1168"/>
      <c r="H550" s="1168"/>
      <c r="I550" s="1170"/>
      <c r="J550" s="1170"/>
      <c r="K550" s="1170"/>
      <c r="L550" s="153">
        <f t="shared" si="50"/>
        <v>0</v>
      </c>
      <c r="M550" s="154">
        <f t="shared" si="51"/>
        <v>0</v>
      </c>
      <c r="N550" s="155">
        <f>+IF(OR($Q550=Parametres!$G$2,$Q550=Parametres!$G$3),I550,C550)</f>
        <v>0</v>
      </c>
      <c r="O550" s="1108">
        <f>+IF(OR($Q550=Parametres!$G$2,$Q550=Parametres!$G$3),J550,D550)</f>
        <v>0</v>
      </c>
      <c r="P550" s="155">
        <f>+IF(OR($Q550=Parametres!$G$2,$Q550=Parametres!$G$3),K550,E550)</f>
        <v>0</v>
      </c>
      <c r="Q550" s="154">
        <f t="shared" si="52"/>
        <v>0</v>
      </c>
      <c r="R550" s="153">
        <f t="shared" si="53"/>
        <v>0</v>
      </c>
      <c r="S550" s="154">
        <f t="shared" si="5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hidden="1" customHeight="1">
      <c r="A551" s="1168"/>
      <c r="B551" s="1168"/>
      <c r="C551" s="1174"/>
      <c r="D551" s="1174"/>
      <c r="E551" s="1174"/>
      <c r="F551" s="1168"/>
      <c r="G551" s="1168"/>
      <c r="H551" s="1168"/>
      <c r="I551" s="1170"/>
      <c r="J551" s="1170"/>
      <c r="K551" s="1170"/>
      <c r="L551" s="153">
        <f t="shared" si="50"/>
        <v>0</v>
      </c>
      <c r="M551" s="154">
        <f t="shared" si="51"/>
        <v>0</v>
      </c>
      <c r="N551" s="155">
        <f>+IF(OR($Q551=Parametres!$G$2,$Q551=Parametres!$G$3),I551,C551)</f>
        <v>0</v>
      </c>
      <c r="O551" s="1108">
        <f>+IF(OR($Q551=Parametres!$G$2,$Q551=Parametres!$G$3),J551,D551)</f>
        <v>0</v>
      </c>
      <c r="P551" s="155">
        <f>+IF(OR($Q551=Parametres!$G$2,$Q551=Parametres!$G$3),K551,E551)</f>
        <v>0</v>
      </c>
      <c r="Q551" s="154">
        <f t="shared" si="52"/>
        <v>0</v>
      </c>
      <c r="R551" s="153">
        <f t="shared" si="53"/>
        <v>0</v>
      </c>
      <c r="S551" s="154">
        <f t="shared" si="5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hidden="1" customHeight="1">
      <c r="A552" s="1168"/>
      <c r="B552" s="1168"/>
      <c r="C552" s="1174"/>
      <c r="D552" s="1174"/>
      <c r="E552" s="1174"/>
      <c r="F552" s="1168"/>
      <c r="G552" s="1168"/>
      <c r="H552" s="1168"/>
      <c r="I552" s="1170"/>
      <c r="J552" s="1170"/>
      <c r="K552" s="1170"/>
      <c r="L552" s="153">
        <f t="shared" si="50"/>
        <v>0</v>
      </c>
      <c r="M552" s="154">
        <f t="shared" si="51"/>
        <v>0</v>
      </c>
      <c r="N552" s="155">
        <f>+IF(OR($Q552=Parametres!$G$2,$Q552=Parametres!$G$3),I552,C552)</f>
        <v>0</v>
      </c>
      <c r="O552" s="1108">
        <f>+IF(OR($Q552=Parametres!$G$2,$Q552=Parametres!$G$3),J552,D552)</f>
        <v>0</v>
      </c>
      <c r="P552" s="155">
        <f>+IF(OR($Q552=Parametres!$G$2,$Q552=Parametres!$G$3),K552,E552)</f>
        <v>0</v>
      </c>
      <c r="Q552" s="154">
        <f t="shared" si="52"/>
        <v>0</v>
      </c>
      <c r="R552" s="153">
        <f t="shared" si="53"/>
        <v>0</v>
      </c>
      <c r="S552" s="154">
        <f t="shared" si="5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hidden="1" customHeight="1">
      <c r="A553" s="1168"/>
      <c r="B553" s="1168"/>
      <c r="C553" s="1174"/>
      <c r="D553" s="1174"/>
      <c r="E553" s="1174"/>
      <c r="F553" s="1168"/>
      <c r="G553" s="1168"/>
      <c r="H553" s="1168"/>
      <c r="I553" s="1170"/>
      <c r="J553" s="1170"/>
      <c r="K553" s="1170"/>
      <c r="L553" s="153">
        <f t="shared" si="50"/>
        <v>0</v>
      </c>
      <c r="M553" s="154">
        <f t="shared" si="51"/>
        <v>0</v>
      </c>
      <c r="N553" s="155">
        <f>+IF(OR($Q553=Parametres!$G$2,$Q553=Parametres!$G$3),I553,C553)</f>
        <v>0</v>
      </c>
      <c r="O553" s="1108">
        <f>+IF(OR($Q553=Parametres!$G$2,$Q553=Parametres!$G$3),J553,D553)</f>
        <v>0</v>
      </c>
      <c r="P553" s="155">
        <f>+IF(OR($Q553=Parametres!$G$2,$Q553=Parametres!$G$3),K553,E553)</f>
        <v>0</v>
      </c>
      <c r="Q553" s="154">
        <f t="shared" si="52"/>
        <v>0</v>
      </c>
      <c r="R553" s="153">
        <f t="shared" si="53"/>
        <v>0</v>
      </c>
      <c r="S553" s="154">
        <f t="shared" si="5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hidden="1" customHeight="1">
      <c r="A554" s="1168"/>
      <c r="B554" s="1168"/>
      <c r="C554" s="1174"/>
      <c r="D554" s="1174"/>
      <c r="E554" s="1174"/>
      <c r="F554" s="1168"/>
      <c r="G554" s="1168"/>
      <c r="H554" s="1168"/>
      <c r="I554" s="1170"/>
      <c r="J554" s="1170"/>
      <c r="K554" s="1170"/>
      <c r="L554" s="153">
        <f t="shared" si="50"/>
        <v>0</v>
      </c>
      <c r="M554" s="154">
        <f t="shared" si="51"/>
        <v>0</v>
      </c>
      <c r="N554" s="155">
        <f>+IF(OR($Q554=Parametres!$G$2,$Q554=Parametres!$G$3),I554,C554)</f>
        <v>0</v>
      </c>
      <c r="O554" s="1108">
        <f>+IF(OR($Q554=Parametres!$G$2,$Q554=Parametres!$G$3),J554,D554)</f>
        <v>0</v>
      </c>
      <c r="P554" s="155">
        <f>+IF(OR($Q554=Parametres!$G$2,$Q554=Parametres!$G$3),K554,E554)</f>
        <v>0</v>
      </c>
      <c r="Q554" s="154">
        <f t="shared" si="52"/>
        <v>0</v>
      </c>
      <c r="R554" s="153">
        <f t="shared" si="53"/>
        <v>0</v>
      </c>
      <c r="S554" s="154">
        <f t="shared" si="5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hidden="1" customHeight="1">
      <c r="A555" s="1168"/>
      <c r="B555" s="1168"/>
      <c r="C555" s="1174"/>
      <c r="D555" s="1174"/>
      <c r="E555" s="1174"/>
      <c r="F555" s="1168"/>
      <c r="G555" s="1168"/>
      <c r="H555" s="1168"/>
      <c r="I555" s="1170"/>
      <c r="J555" s="1170"/>
      <c r="K555" s="1170"/>
      <c r="L555" s="153">
        <f t="shared" si="50"/>
        <v>0</v>
      </c>
      <c r="M555" s="154">
        <f t="shared" si="51"/>
        <v>0</v>
      </c>
      <c r="N555" s="155">
        <f>+IF(OR($Q555=Parametres!$G$2,$Q555=Parametres!$G$3),I555,C555)</f>
        <v>0</v>
      </c>
      <c r="O555" s="1108">
        <f>+IF(OR($Q555=Parametres!$G$2,$Q555=Parametres!$G$3),J555,D555)</f>
        <v>0</v>
      </c>
      <c r="P555" s="155">
        <f>+IF(OR($Q555=Parametres!$G$2,$Q555=Parametres!$G$3),K555,E555)</f>
        <v>0</v>
      </c>
      <c r="Q555" s="154">
        <f t="shared" si="52"/>
        <v>0</v>
      </c>
      <c r="R555" s="153">
        <f t="shared" si="53"/>
        <v>0</v>
      </c>
      <c r="S555" s="154">
        <f t="shared" si="5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hidden="1" customHeight="1">
      <c r="A556" s="1168"/>
      <c r="B556" s="1168"/>
      <c r="C556" s="1174"/>
      <c r="D556" s="1174"/>
      <c r="E556" s="1174"/>
      <c r="F556" s="1168"/>
      <c r="G556" s="1168"/>
      <c r="H556" s="1168"/>
      <c r="I556" s="1170"/>
      <c r="J556" s="1170"/>
      <c r="K556" s="1170"/>
      <c r="L556" s="153">
        <f t="shared" si="50"/>
        <v>0</v>
      </c>
      <c r="M556" s="154">
        <f t="shared" si="51"/>
        <v>0</v>
      </c>
      <c r="N556" s="155">
        <f>+IF(OR($Q556=Parametres!$G$2,$Q556=Parametres!$G$3),I556,C556)</f>
        <v>0</v>
      </c>
      <c r="O556" s="1108">
        <f>+IF(OR($Q556=Parametres!$G$2,$Q556=Parametres!$G$3),J556,D556)</f>
        <v>0</v>
      </c>
      <c r="P556" s="155">
        <f>+IF(OR($Q556=Parametres!$G$2,$Q556=Parametres!$G$3),K556,E556)</f>
        <v>0</v>
      </c>
      <c r="Q556" s="154">
        <f t="shared" si="52"/>
        <v>0</v>
      </c>
      <c r="R556" s="153">
        <f t="shared" si="53"/>
        <v>0</v>
      </c>
      <c r="S556" s="154">
        <f t="shared" si="5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hidden="1" customHeight="1">
      <c r="A557" s="1168"/>
      <c r="B557" s="1168"/>
      <c r="C557" s="1174"/>
      <c r="D557" s="1174"/>
      <c r="E557" s="1174"/>
      <c r="F557" s="1168"/>
      <c r="G557" s="1168"/>
      <c r="H557" s="1168"/>
      <c r="I557" s="1170"/>
      <c r="J557" s="1170"/>
      <c r="K557" s="1170"/>
      <c r="L557" s="153">
        <f t="shared" si="50"/>
        <v>0</v>
      </c>
      <c r="M557" s="154">
        <f t="shared" si="51"/>
        <v>0</v>
      </c>
      <c r="N557" s="155">
        <f>+IF(OR($Q557=Parametres!$G$2,$Q557=Parametres!$G$3),I557,C557)</f>
        <v>0</v>
      </c>
      <c r="O557" s="1108">
        <f>+IF(OR($Q557=Parametres!$G$2,$Q557=Parametres!$G$3),J557,D557)</f>
        <v>0</v>
      </c>
      <c r="P557" s="155">
        <f>+IF(OR($Q557=Parametres!$G$2,$Q557=Parametres!$G$3),K557,E557)</f>
        <v>0</v>
      </c>
      <c r="Q557" s="154">
        <f t="shared" si="52"/>
        <v>0</v>
      </c>
      <c r="R557" s="153">
        <f t="shared" si="53"/>
        <v>0</v>
      </c>
      <c r="S557" s="154">
        <f t="shared" si="5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hidden="1" customHeight="1">
      <c r="A558" s="1168"/>
      <c r="B558" s="1168"/>
      <c r="C558" s="1174"/>
      <c r="D558" s="1174"/>
      <c r="E558" s="1174"/>
      <c r="F558" s="1168"/>
      <c r="G558" s="1168"/>
      <c r="H558" s="1168"/>
      <c r="I558" s="1170"/>
      <c r="J558" s="1170"/>
      <c r="K558" s="1170"/>
      <c r="L558" s="153">
        <f t="shared" si="50"/>
        <v>0</v>
      </c>
      <c r="M558" s="154">
        <f t="shared" si="51"/>
        <v>0</v>
      </c>
      <c r="N558" s="155">
        <f>+IF(OR($Q558=Parametres!$G$2,$Q558=Parametres!$G$3),I558,C558)</f>
        <v>0</v>
      </c>
      <c r="O558" s="1108">
        <f>+IF(OR($Q558=Parametres!$G$2,$Q558=Parametres!$G$3),J558,D558)</f>
        <v>0</v>
      </c>
      <c r="P558" s="155">
        <f>+IF(OR($Q558=Parametres!$G$2,$Q558=Parametres!$G$3),K558,E558)</f>
        <v>0</v>
      </c>
      <c r="Q558" s="154">
        <f t="shared" si="52"/>
        <v>0</v>
      </c>
      <c r="R558" s="153">
        <f t="shared" si="53"/>
        <v>0</v>
      </c>
      <c r="S558" s="154">
        <f t="shared" si="5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hidden="1" customHeight="1">
      <c r="A559" s="1168"/>
      <c r="B559" s="1168"/>
      <c r="C559" s="1174"/>
      <c r="D559" s="1174"/>
      <c r="E559" s="1174"/>
      <c r="F559" s="1168"/>
      <c r="G559" s="1168"/>
      <c r="H559" s="1168"/>
      <c r="I559" s="1170"/>
      <c r="J559" s="1170"/>
      <c r="K559" s="1170"/>
      <c r="L559" s="153">
        <f t="shared" si="50"/>
        <v>0</v>
      </c>
      <c r="M559" s="154">
        <f t="shared" si="51"/>
        <v>0</v>
      </c>
      <c r="N559" s="155">
        <f>+IF(OR($Q559=Parametres!$G$2,$Q559=Parametres!$G$3),I559,C559)</f>
        <v>0</v>
      </c>
      <c r="O559" s="1108">
        <f>+IF(OR($Q559=Parametres!$G$2,$Q559=Parametres!$G$3),J559,D559)</f>
        <v>0</v>
      </c>
      <c r="P559" s="155">
        <f>+IF(OR($Q559=Parametres!$G$2,$Q559=Parametres!$G$3),K559,E559)</f>
        <v>0</v>
      </c>
      <c r="Q559" s="154">
        <f t="shared" si="52"/>
        <v>0</v>
      </c>
      <c r="R559" s="153">
        <f t="shared" si="53"/>
        <v>0</v>
      </c>
      <c r="S559" s="154">
        <f t="shared" si="5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hidden="1" customHeight="1">
      <c r="A560" s="1168"/>
      <c r="B560" s="1168"/>
      <c r="C560" s="1174"/>
      <c r="D560" s="1174"/>
      <c r="E560" s="1174"/>
      <c r="F560" s="1168"/>
      <c r="G560" s="1168"/>
      <c r="H560" s="1168"/>
      <c r="I560" s="1170"/>
      <c r="J560" s="1170"/>
      <c r="K560" s="1170"/>
      <c r="L560" s="153">
        <f t="shared" si="50"/>
        <v>0</v>
      </c>
      <c r="M560" s="154">
        <f t="shared" si="51"/>
        <v>0</v>
      </c>
      <c r="N560" s="155">
        <f>+IF(OR($Q560=Parametres!$G$2,$Q560=Parametres!$G$3),I560,C560)</f>
        <v>0</v>
      </c>
      <c r="O560" s="1108">
        <f>+IF(OR($Q560=Parametres!$G$2,$Q560=Parametres!$G$3),J560,D560)</f>
        <v>0</v>
      </c>
      <c r="P560" s="155">
        <f>+IF(OR($Q560=Parametres!$G$2,$Q560=Parametres!$G$3),K560,E560)</f>
        <v>0</v>
      </c>
      <c r="Q560" s="154">
        <f t="shared" si="52"/>
        <v>0</v>
      </c>
      <c r="R560" s="153">
        <f t="shared" si="53"/>
        <v>0</v>
      </c>
      <c r="S560" s="154">
        <f t="shared" si="5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hidden="1" customHeight="1">
      <c r="A561" s="1168"/>
      <c r="B561" s="1168"/>
      <c r="C561" s="1174"/>
      <c r="D561" s="1174"/>
      <c r="E561" s="1174"/>
      <c r="F561" s="1168"/>
      <c r="G561" s="1168"/>
      <c r="H561" s="1168"/>
      <c r="I561" s="1170"/>
      <c r="J561" s="1170"/>
      <c r="K561" s="1170"/>
      <c r="L561" s="153">
        <f t="shared" si="50"/>
        <v>0</v>
      </c>
      <c r="M561" s="154">
        <f t="shared" si="51"/>
        <v>0</v>
      </c>
      <c r="N561" s="155">
        <f>+IF(OR($Q561=Parametres!$G$2,$Q561=Parametres!$G$3),I561,C561)</f>
        <v>0</v>
      </c>
      <c r="O561" s="1108">
        <f>+IF(OR($Q561=Parametres!$G$2,$Q561=Parametres!$G$3),J561,D561)</f>
        <v>0</v>
      </c>
      <c r="P561" s="155">
        <f>+IF(OR($Q561=Parametres!$G$2,$Q561=Parametres!$G$3),K561,E561)</f>
        <v>0</v>
      </c>
      <c r="Q561" s="154">
        <f t="shared" si="52"/>
        <v>0</v>
      </c>
      <c r="R561" s="153">
        <f t="shared" si="53"/>
        <v>0</v>
      </c>
      <c r="S561" s="154">
        <f t="shared" si="5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hidden="1" customHeight="1">
      <c r="A562" s="1168"/>
      <c r="B562" s="1168"/>
      <c r="C562" s="1174"/>
      <c r="D562" s="1174"/>
      <c r="E562" s="1174"/>
      <c r="F562" s="1168"/>
      <c r="G562" s="1168"/>
      <c r="H562" s="1168"/>
      <c r="I562" s="1170"/>
      <c r="J562" s="1170"/>
      <c r="K562" s="1170"/>
      <c r="L562" s="153">
        <f t="shared" si="50"/>
        <v>0</v>
      </c>
      <c r="M562" s="154">
        <f t="shared" si="51"/>
        <v>0</v>
      </c>
      <c r="N562" s="155">
        <f>+IF(OR($Q562=Parametres!$G$2,$Q562=Parametres!$G$3),I562,C562)</f>
        <v>0</v>
      </c>
      <c r="O562" s="1108">
        <f>+IF(OR($Q562=Parametres!$G$2,$Q562=Parametres!$G$3),J562,D562)</f>
        <v>0</v>
      </c>
      <c r="P562" s="155">
        <f>+IF(OR($Q562=Parametres!$G$2,$Q562=Parametres!$G$3),K562,E562)</f>
        <v>0</v>
      </c>
      <c r="Q562" s="154">
        <f t="shared" si="52"/>
        <v>0</v>
      </c>
      <c r="R562" s="153">
        <f t="shared" si="53"/>
        <v>0</v>
      </c>
      <c r="S562" s="154">
        <f t="shared" si="5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hidden="1" customHeight="1">
      <c r="A563" s="1168"/>
      <c r="B563" s="1168"/>
      <c r="C563" s="1174"/>
      <c r="D563" s="1174"/>
      <c r="E563" s="1174"/>
      <c r="F563" s="1168"/>
      <c r="G563" s="1168"/>
      <c r="H563" s="1168"/>
      <c r="I563" s="1170"/>
      <c r="J563" s="1170"/>
      <c r="K563" s="1170"/>
      <c r="L563" s="153">
        <f t="shared" si="50"/>
        <v>0</v>
      </c>
      <c r="M563" s="154">
        <f t="shared" si="51"/>
        <v>0</v>
      </c>
      <c r="N563" s="155">
        <f>+IF(OR($Q563=Parametres!$G$2,$Q563=Parametres!$G$3),I563,C563)</f>
        <v>0</v>
      </c>
      <c r="O563" s="1108">
        <f>+IF(OR($Q563=Parametres!$G$2,$Q563=Parametres!$G$3),J563,D563)</f>
        <v>0</v>
      </c>
      <c r="P563" s="155">
        <f>+IF(OR($Q563=Parametres!$G$2,$Q563=Parametres!$G$3),K563,E563)</f>
        <v>0</v>
      </c>
      <c r="Q563" s="154">
        <f t="shared" si="52"/>
        <v>0</v>
      </c>
      <c r="R563" s="153">
        <f t="shared" si="53"/>
        <v>0</v>
      </c>
      <c r="S563" s="154">
        <f t="shared" si="5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hidden="1" customHeight="1">
      <c r="A564" s="1168"/>
      <c r="B564" s="1168"/>
      <c r="C564" s="1174"/>
      <c r="D564" s="1174"/>
      <c r="E564" s="1174"/>
      <c r="F564" s="1168"/>
      <c r="G564" s="1168"/>
      <c r="H564" s="1168"/>
      <c r="I564" s="1170"/>
      <c r="J564" s="1170"/>
      <c r="K564" s="1170"/>
      <c r="L564" s="153">
        <f t="shared" si="50"/>
        <v>0</v>
      </c>
      <c r="M564" s="154">
        <f t="shared" si="51"/>
        <v>0</v>
      </c>
      <c r="N564" s="155">
        <f>+IF(OR($Q564=Parametres!$G$2,$Q564=Parametres!$G$3),I564,C564)</f>
        <v>0</v>
      </c>
      <c r="O564" s="1108">
        <f>+IF(OR($Q564=Parametres!$G$2,$Q564=Parametres!$G$3),J564,D564)</f>
        <v>0</v>
      </c>
      <c r="P564" s="155">
        <f>+IF(OR($Q564=Parametres!$G$2,$Q564=Parametres!$G$3),K564,E564)</f>
        <v>0</v>
      </c>
      <c r="Q564" s="154">
        <f t="shared" si="52"/>
        <v>0</v>
      </c>
      <c r="R564" s="153">
        <f t="shared" si="53"/>
        <v>0</v>
      </c>
      <c r="S564" s="154">
        <f t="shared" si="5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hidden="1" customHeight="1">
      <c r="A565" s="1168"/>
      <c r="B565" s="1168"/>
      <c r="C565" s="1174"/>
      <c r="D565" s="1174"/>
      <c r="E565" s="1174"/>
      <c r="F565" s="1168"/>
      <c r="G565" s="1168"/>
      <c r="H565" s="1168"/>
      <c r="I565" s="1170"/>
      <c r="J565" s="1170"/>
      <c r="K565" s="1170"/>
      <c r="L565" s="153">
        <f t="shared" si="50"/>
        <v>0</v>
      </c>
      <c r="M565" s="154">
        <f t="shared" si="51"/>
        <v>0</v>
      </c>
      <c r="N565" s="155">
        <f>+IF(OR($Q565=Parametres!$G$2,$Q565=Parametres!$G$3),I565,C565)</f>
        <v>0</v>
      </c>
      <c r="O565" s="1108">
        <f>+IF(OR($Q565=Parametres!$G$2,$Q565=Parametres!$G$3),J565,D565)</f>
        <v>0</v>
      </c>
      <c r="P565" s="155">
        <f>+IF(OR($Q565=Parametres!$G$2,$Q565=Parametres!$G$3),K565,E565)</f>
        <v>0</v>
      </c>
      <c r="Q565" s="154">
        <f t="shared" si="52"/>
        <v>0</v>
      </c>
      <c r="R565" s="153">
        <f t="shared" si="53"/>
        <v>0</v>
      </c>
      <c r="S565" s="154">
        <f t="shared" si="5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hidden="1" customHeight="1">
      <c r="A566" s="1168"/>
      <c r="B566" s="1168"/>
      <c r="C566" s="1174"/>
      <c r="D566" s="1174"/>
      <c r="E566" s="1174"/>
      <c r="F566" s="1168"/>
      <c r="G566" s="1168"/>
      <c r="H566" s="1168"/>
      <c r="I566" s="1170"/>
      <c r="J566" s="1170"/>
      <c r="K566" s="1170"/>
      <c r="L566" s="153">
        <f t="shared" si="50"/>
        <v>0</v>
      </c>
      <c r="M566" s="154">
        <f t="shared" si="51"/>
        <v>0</v>
      </c>
      <c r="N566" s="155">
        <f>+IF(OR($Q566=Parametres!$G$2,$Q566=Parametres!$G$3),I566,C566)</f>
        <v>0</v>
      </c>
      <c r="O566" s="1108">
        <f>+IF(OR($Q566=Parametres!$G$2,$Q566=Parametres!$G$3),J566,D566)</f>
        <v>0</v>
      </c>
      <c r="P566" s="155">
        <f>+IF(OR($Q566=Parametres!$G$2,$Q566=Parametres!$G$3),K566,E566)</f>
        <v>0</v>
      </c>
      <c r="Q566" s="154">
        <f t="shared" si="52"/>
        <v>0</v>
      </c>
      <c r="R566" s="153">
        <f t="shared" si="53"/>
        <v>0</v>
      </c>
      <c r="S566" s="154">
        <f t="shared" si="5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hidden="1" customHeight="1">
      <c r="A567" s="1168"/>
      <c r="B567" s="1168"/>
      <c r="C567" s="1174"/>
      <c r="D567" s="1174"/>
      <c r="E567" s="1174"/>
      <c r="F567" s="1168"/>
      <c r="G567" s="1168"/>
      <c r="H567" s="1168"/>
      <c r="I567" s="1170"/>
      <c r="J567" s="1170"/>
      <c r="K567" s="1170"/>
      <c r="L567" s="153">
        <f t="shared" si="50"/>
        <v>0</v>
      </c>
      <c r="M567" s="154">
        <f t="shared" si="51"/>
        <v>0</v>
      </c>
      <c r="N567" s="155">
        <f>+IF(OR($Q567=Parametres!$G$2,$Q567=Parametres!$G$3),I567,C567)</f>
        <v>0</v>
      </c>
      <c r="O567" s="1108">
        <f>+IF(OR($Q567=Parametres!$G$2,$Q567=Parametres!$G$3),J567,D567)</f>
        <v>0</v>
      </c>
      <c r="P567" s="155">
        <f>+IF(OR($Q567=Parametres!$G$2,$Q567=Parametres!$G$3),K567,E567)</f>
        <v>0</v>
      </c>
      <c r="Q567" s="154">
        <f t="shared" si="52"/>
        <v>0</v>
      </c>
      <c r="R567" s="153">
        <f t="shared" si="53"/>
        <v>0</v>
      </c>
      <c r="S567" s="154">
        <f t="shared" si="5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hidden="1" customHeight="1">
      <c r="A568" s="1168"/>
      <c r="B568" s="1168"/>
      <c r="C568" s="1174"/>
      <c r="D568" s="1174"/>
      <c r="E568" s="1174"/>
      <c r="F568" s="1168"/>
      <c r="G568" s="1168"/>
      <c r="H568" s="1168"/>
      <c r="I568" s="1170"/>
      <c r="J568" s="1170"/>
      <c r="K568" s="1170"/>
      <c r="L568" s="153">
        <f t="shared" si="50"/>
        <v>0</v>
      </c>
      <c r="M568" s="154">
        <f t="shared" si="51"/>
        <v>0</v>
      </c>
      <c r="N568" s="155">
        <f>+IF(OR($Q568=Parametres!$G$2,$Q568=Parametres!$G$3),I568,C568)</f>
        <v>0</v>
      </c>
      <c r="O568" s="1108">
        <f>+IF(OR($Q568=Parametres!$G$2,$Q568=Parametres!$G$3),J568,D568)</f>
        <v>0</v>
      </c>
      <c r="P568" s="155">
        <f>+IF(OR($Q568=Parametres!$G$2,$Q568=Parametres!$G$3),K568,E568)</f>
        <v>0</v>
      </c>
      <c r="Q568" s="154">
        <f t="shared" si="52"/>
        <v>0</v>
      </c>
      <c r="R568" s="153">
        <f t="shared" si="53"/>
        <v>0</v>
      </c>
      <c r="S568" s="154">
        <f t="shared" si="5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hidden="1" customHeight="1">
      <c r="A569" s="1168"/>
      <c r="B569" s="1168"/>
      <c r="C569" s="1174"/>
      <c r="D569" s="1174"/>
      <c r="E569" s="1174"/>
      <c r="F569" s="1168"/>
      <c r="G569" s="1168"/>
      <c r="H569" s="1168"/>
      <c r="I569" s="1170"/>
      <c r="J569" s="1170"/>
      <c r="K569" s="1170"/>
      <c r="L569" s="153">
        <f t="shared" si="50"/>
        <v>0</v>
      </c>
      <c r="M569" s="154">
        <f t="shared" si="51"/>
        <v>0</v>
      </c>
      <c r="N569" s="155">
        <f>+IF(OR($Q569=Parametres!$G$2,$Q569=Parametres!$G$3),I569,C569)</f>
        <v>0</v>
      </c>
      <c r="O569" s="1108">
        <f>+IF(OR($Q569=Parametres!$G$2,$Q569=Parametres!$G$3),J569,D569)</f>
        <v>0</v>
      </c>
      <c r="P569" s="155">
        <f>+IF(OR($Q569=Parametres!$G$2,$Q569=Parametres!$G$3),K569,E569)</f>
        <v>0</v>
      </c>
      <c r="Q569" s="154">
        <f t="shared" si="52"/>
        <v>0</v>
      </c>
      <c r="R569" s="153">
        <f t="shared" si="53"/>
        <v>0</v>
      </c>
      <c r="S569" s="154">
        <f t="shared" si="5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hidden="1" customHeight="1">
      <c r="A570" s="1168"/>
      <c r="B570" s="1168"/>
      <c r="C570" s="1174"/>
      <c r="D570" s="1174"/>
      <c r="E570" s="1174"/>
      <c r="F570" s="1168"/>
      <c r="G570" s="1168"/>
      <c r="H570" s="1168"/>
      <c r="I570" s="1170"/>
      <c r="J570" s="1170"/>
      <c r="K570" s="1170"/>
      <c r="L570" s="153">
        <f t="shared" si="50"/>
        <v>0</v>
      </c>
      <c r="M570" s="154">
        <f t="shared" si="51"/>
        <v>0</v>
      </c>
      <c r="N570" s="155">
        <f>+IF(OR($Q570=Parametres!$G$2,$Q570=Parametres!$G$3),I570,C570)</f>
        <v>0</v>
      </c>
      <c r="O570" s="1108">
        <f>+IF(OR($Q570=Parametres!$G$2,$Q570=Parametres!$G$3),J570,D570)</f>
        <v>0</v>
      </c>
      <c r="P570" s="155">
        <f>+IF(OR($Q570=Parametres!$G$2,$Q570=Parametres!$G$3),K570,E570)</f>
        <v>0</v>
      </c>
      <c r="Q570" s="154">
        <f t="shared" si="52"/>
        <v>0</v>
      </c>
      <c r="R570" s="153">
        <f t="shared" si="53"/>
        <v>0</v>
      </c>
      <c r="S570" s="154">
        <f t="shared" si="5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hidden="1" customHeight="1">
      <c r="A571" s="1168"/>
      <c r="B571" s="1168"/>
      <c r="C571" s="1174"/>
      <c r="D571" s="1174"/>
      <c r="E571" s="1174"/>
      <c r="F571" s="1168"/>
      <c r="G571" s="1168"/>
      <c r="H571" s="1168"/>
      <c r="I571" s="1170"/>
      <c r="J571" s="1170"/>
      <c r="K571" s="1170"/>
      <c r="L571" s="153">
        <f t="shared" si="50"/>
        <v>0</v>
      </c>
      <c r="M571" s="154">
        <f t="shared" si="51"/>
        <v>0</v>
      </c>
      <c r="N571" s="155">
        <f>+IF(OR($Q571=Parametres!$G$2,$Q571=Parametres!$G$3),I571,C571)</f>
        <v>0</v>
      </c>
      <c r="O571" s="1108">
        <f>+IF(OR($Q571=Parametres!$G$2,$Q571=Parametres!$G$3),J571,D571)</f>
        <v>0</v>
      </c>
      <c r="P571" s="155">
        <f>+IF(OR($Q571=Parametres!$G$2,$Q571=Parametres!$G$3),K571,E571)</f>
        <v>0</v>
      </c>
      <c r="Q571" s="154">
        <f t="shared" si="52"/>
        <v>0</v>
      </c>
      <c r="R571" s="153">
        <f t="shared" si="53"/>
        <v>0</v>
      </c>
      <c r="S571" s="154">
        <f t="shared" si="5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hidden="1" customHeight="1">
      <c r="A572" s="1168"/>
      <c r="B572" s="1168"/>
      <c r="C572" s="1174"/>
      <c r="D572" s="1174"/>
      <c r="E572" s="1174"/>
      <c r="F572" s="1168"/>
      <c r="G572" s="1168"/>
      <c r="H572" s="1168"/>
      <c r="I572" s="1170"/>
      <c r="J572" s="1170"/>
      <c r="K572" s="1170"/>
      <c r="L572" s="153">
        <f t="shared" si="50"/>
        <v>0</v>
      </c>
      <c r="M572" s="154">
        <f t="shared" si="51"/>
        <v>0</v>
      </c>
      <c r="N572" s="155">
        <f>+IF(OR($Q572=Parametres!$G$2,$Q572=Parametres!$G$3),I572,C572)</f>
        <v>0</v>
      </c>
      <c r="O572" s="1108">
        <f>+IF(OR($Q572=Parametres!$G$2,$Q572=Parametres!$G$3),J572,D572)</f>
        <v>0</v>
      </c>
      <c r="P572" s="155">
        <f>+IF(OR($Q572=Parametres!$G$2,$Q572=Parametres!$G$3),K572,E572)</f>
        <v>0</v>
      </c>
      <c r="Q572" s="154">
        <f t="shared" si="52"/>
        <v>0</v>
      </c>
      <c r="R572" s="153">
        <f t="shared" si="53"/>
        <v>0</v>
      </c>
      <c r="S572" s="154">
        <f t="shared" si="5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hidden="1" customHeight="1">
      <c r="A573" s="1168"/>
      <c r="B573" s="1168"/>
      <c r="C573" s="1174"/>
      <c r="D573" s="1174"/>
      <c r="E573" s="1174"/>
      <c r="F573" s="1168"/>
      <c r="G573" s="1168"/>
      <c r="H573" s="1168"/>
      <c r="I573" s="1170"/>
      <c r="J573" s="1170"/>
      <c r="K573" s="1170"/>
      <c r="L573" s="153">
        <f t="shared" si="50"/>
        <v>0</v>
      </c>
      <c r="M573" s="154">
        <f t="shared" si="51"/>
        <v>0</v>
      </c>
      <c r="N573" s="155">
        <f>+IF(OR($Q573=Parametres!$G$2,$Q573=Parametres!$G$3),I573,C573)</f>
        <v>0</v>
      </c>
      <c r="O573" s="1108">
        <f>+IF(OR($Q573=Parametres!$G$2,$Q573=Parametres!$G$3),J573,D573)</f>
        <v>0</v>
      </c>
      <c r="P573" s="155">
        <f>+IF(OR($Q573=Parametres!$G$2,$Q573=Parametres!$G$3),K573,E573)</f>
        <v>0</v>
      </c>
      <c r="Q573" s="154">
        <f t="shared" si="52"/>
        <v>0</v>
      </c>
      <c r="R573" s="153">
        <f t="shared" si="53"/>
        <v>0</v>
      </c>
      <c r="S573" s="154">
        <f t="shared" si="5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hidden="1" customHeight="1">
      <c r="A574" s="1168"/>
      <c r="B574" s="1168"/>
      <c r="C574" s="1174"/>
      <c r="D574" s="1174"/>
      <c r="E574" s="1174"/>
      <c r="F574" s="1168"/>
      <c r="G574" s="1168"/>
      <c r="H574" s="1168"/>
      <c r="I574" s="1170"/>
      <c r="J574" s="1170"/>
      <c r="K574" s="1170"/>
      <c r="L574" s="153">
        <f t="shared" si="50"/>
        <v>0</v>
      </c>
      <c r="M574" s="154">
        <f t="shared" si="51"/>
        <v>0</v>
      </c>
      <c r="N574" s="155">
        <f>+IF(OR($Q574=Parametres!$G$2,$Q574=Parametres!$G$3),I574,C574)</f>
        <v>0</v>
      </c>
      <c r="O574" s="1108">
        <f>+IF(OR($Q574=Parametres!$G$2,$Q574=Parametres!$G$3),J574,D574)</f>
        <v>0</v>
      </c>
      <c r="P574" s="155">
        <f>+IF(OR($Q574=Parametres!$G$2,$Q574=Parametres!$G$3),K574,E574)</f>
        <v>0</v>
      </c>
      <c r="Q574" s="154">
        <f t="shared" si="52"/>
        <v>0</v>
      </c>
      <c r="R574" s="153">
        <f t="shared" si="53"/>
        <v>0</v>
      </c>
      <c r="S574" s="154">
        <f t="shared" si="5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168"/>
      <c r="B575" s="1168"/>
      <c r="C575" s="1174"/>
      <c r="D575" s="1174"/>
      <c r="E575" s="1174"/>
      <c r="F575" s="1168"/>
      <c r="G575" s="1168"/>
      <c r="H575" s="1168"/>
      <c r="I575" s="1170"/>
      <c r="J575" s="1170"/>
      <c r="K575" s="1170"/>
      <c r="L575" s="153">
        <f t="shared" si="50"/>
        <v>0</v>
      </c>
      <c r="M575" s="154">
        <f t="shared" si="51"/>
        <v>0</v>
      </c>
      <c r="N575" s="155">
        <f>+IF(OR($Q575=Parametres!$G$2,$Q575=Parametres!$G$3),I575,C575)</f>
        <v>0</v>
      </c>
      <c r="O575" s="1108">
        <f>+IF(OR($Q575=Parametres!$G$2,$Q575=Parametres!$G$3),J575,D575)</f>
        <v>0</v>
      </c>
      <c r="P575" s="155">
        <f>+IF(OR($Q575=Parametres!$G$2,$Q575=Parametres!$G$3),K575,E575)</f>
        <v>0</v>
      </c>
      <c r="Q575" s="154">
        <f t="shared" si="52"/>
        <v>0</v>
      </c>
      <c r="R575" s="153">
        <f t="shared" si="53"/>
        <v>0</v>
      </c>
      <c r="S575" s="154">
        <f t="shared" si="5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168"/>
      <c r="B576" s="1168"/>
      <c r="C576" s="1174"/>
      <c r="D576" s="1174"/>
      <c r="E576" s="1174"/>
      <c r="F576" s="1168"/>
      <c r="G576" s="1168"/>
      <c r="H576" s="1168"/>
      <c r="I576" s="1170"/>
      <c r="J576" s="1170"/>
      <c r="K576" s="1170"/>
      <c r="L576" s="153">
        <f t="shared" si="50"/>
        <v>0</v>
      </c>
      <c r="M576" s="154">
        <f t="shared" si="51"/>
        <v>0</v>
      </c>
      <c r="N576" s="155">
        <f>+IF(OR($Q576=Parametres!$G$2,$Q576=Parametres!$G$3),I576,C576)</f>
        <v>0</v>
      </c>
      <c r="O576" s="1108">
        <f>+IF(OR($Q576=Parametres!$G$2,$Q576=Parametres!$G$3),J576,D576)</f>
        <v>0</v>
      </c>
      <c r="P576" s="155">
        <f>+IF(OR($Q576=Parametres!$G$2,$Q576=Parametres!$G$3),K576,E576)</f>
        <v>0</v>
      </c>
      <c r="Q576" s="154">
        <f t="shared" si="52"/>
        <v>0</v>
      </c>
      <c r="R576" s="153">
        <f t="shared" si="53"/>
        <v>0</v>
      </c>
      <c r="S576" s="154">
        <f t="shared" si="5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hidden="1" customHeight="1">
      <c r="A577" s="1168"/>
      <c r="B577" s="1168"/>
      <c r="C577" s="1174"/>
      <c r="D577" s="1174"/>
      <c r="E577" s="1174"/>
      <c r="F577" s="1168"/>
      <c r="G577" s="1168"/>
      <c r="H577" s="1168"/>
      <c r="I577" s="1170"/>
      <c r="J577" s="1170"/>
      <c r="K577" s="1170"/>
      <c r="L577" s="153">
        <f t="shared" si="50"/>
        <v>0</v>
      </c>
      <c r="M577" s="154">
        <f t="shared" si="51"/>
        <v>0</v>
      </c>
      <c r="N577" s="155">
        <f>+IF(OR($Q577=Parametres!$G$2,$Q577=Parametres!$G$3),I577,C577)</f>
        <v>0</v>
      </c>
      <c r="O577" s="1108">
        <f>+IF(OR($Q577=Parametres!$G$2,$Q577=Parametres!$G$3),J577,D577)</f>
        <v>0</v>
      </c>
      <c r="P577" s="155">
        <f>+IF(OR($Q577=Parametres!$G$2,$Q577=Parametres!$G$3),K577,E577)</f>
        <v>0</v>
      </c>
      <c r="Q577" s="154">
        <f t="shared" si="52"/>
        <v>0</v>
      </c>
      <c r="R577" s="153">
        <f t="shared" si="53"/>
        <v>0</v>
      </c>
      <c r="S577" s="154">
        <f t="shared" si="5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hidden="1" customHeight="1">
      <c r="A578" s="1168"/>
      <c r="B578" s="1168"/>
      <c r="C578" s="1174"/>
      <c r="D578" s="1174"/>
      <c r="E578" s="1174"/>
      <c r="F578" s="1168"/>
      <c r="G578" s="1168"/>
      <c r="H578" s="1168"/>
      <c r="I578" s="1170"/>
      <c r="J578" s="1170"/>
      <c r="K578" s="1170"/>
      <c r="L578" s="153">
        <f t="shared" ref="L578:L641" si="55">+B578</f>
        <v>0</v>
      </c>
      <c r="M578" s="154">
        <f t="shared" ref="M578:M641" si="56">+A578</f>
        <v>0</v>
      </c>
      <c r="N578" s="155">
        <f>+IF(OR($Q578=Parametres!$G$2,$Q578=Parametres!$G$3),I578,C578)</f>
        <v>0</v>
      </c>
      <c r="O578" s="1108">
        <f>+IF(OR($Q578=Parametres!$G$2,$Q578=Parametres!$G$3),J578,D578)</f>
        <v>0</v>
      </c>
      <c r="P578" s="155">
        <f>+IF(OR($Q578=Parametres!$G$2,$Q578=Parametres!$G$3),K578,E578)</f>
        <v>0</v>
      </c>
      <c r="Q578" s="154">
        <f t="shared" ref="Q578:Q641" si="57">+F578</f>
        <v>0</v>
      </c>
      <c r="R578" s="153">
        <f t="shared" ref="R578:R641" si="58">+G578</f>
        <v>0</v>
      </c>
      <c r="S578" s="154">
        <f t="shared" ref="S578:S641" si="5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hidden="1" customHeight="1">
      <c r="A579" s="1168"/>
      <c r="B579" s="1168"/>
      <c r="C579" s="1174"/>
      <c r="D579" s="1174"/>
      <c r="E579" s="1174"/>
      <c r="F579" s="1168"/>
      <c r="G579" s="1168"/>
      <c r="H579" s="1168"/>
      <c r="I579" s="1170"/>
      <c r="J579" s="1170"/>
      <c r="K579" s="1170"/>
      <c r="L579" s="153">
        <f t="shared" si="55"/>
        <v>0</v>
      </c>
      <c r="M579" s="154">
        <f t="shared" si="56"/>
        <v>0</v>
      </c>
      <c r="N579" s="155">
        <f>+IF(OR($Q579=Parametres!$G$2,$Q579=Parametres!$G$3),I579,C579)</f>
        <v>0</v>
      </c>
      <c r="O579" s="1108">
        <f>+IF(OR($Q579=Parametres!$G$2,$Q579=Parametres!$G$3),J579,D579)</f>
        <v>0</v>
      </c>
      <c r="P579" s="155">
        <f>+IF(OR($Q579=Parametres!$G$2,$Q579=Parametres!$G$3),K579,E579)</f>
        <v>0</v>
      </c>
      <c r="Q579" s="154">
        <f t="shared" si="57"/>
        <v>0</v>
      </c>
      <c r="R579" s="153">
        <f t="shared" si="58"/>
        <v>0</v>
      </c>
      <c r="S579" s="154">
        <f t="shared" si="5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hidden="1" customHeight="1">
      <c r="A580" s="1168"/>
      <c r="B580" s="1168"/>
      <c r="C580" s="1174"/>
      <c r="D580" s="1174"/>
      <c r="E580" s="1174"/>
      <c r="F580" s="1168"/>
      <c r="G580" s="1168"/>
      <c r="H580" s="1168"/>
      <c r="I580" s="1170"/>
      <c r="J580" s="1170"/>
      <c r="K580" s="1170"/>
      <c r="L580" s="153">
        <f t="shared" si="55"/>
        <v>0</v>
      </c>
      <c r="M580" s="154">
        <f t="shared" si="56"/>
        <v>0</v>
      </c>
      <c r="N580" s="155">
        <f>+IF(OR($Q580=Parametres!$G$2,$Q580=Parametres!$G$3),I580,C580)</f>
        <v>0</v>
      </c>
      <c r="O580" s="1108">
        <f>+IF(OR($Q580=Parametres!$G$2,$Q580=Parametres!$G$3),J580,D580)</f>
        <v>0</v>
      </c>
      <c r="P580" s="155">
        <f>+IF(OR($Q580=Parametres!$G$2,$Q580=Parametres!$G$3),K580,E580)</f>
        <v>0</v>
      </c>
      <c r="Q580" s="154">
        <f t="shared" si="57"/>
        <v>0</v>
      </c>
      <c r="R580" s="153">
        <f t="shared" si="58"/>
        <v>0</v>
      </c>
      <c r="S580" s="154">
        <f t="shared" si="5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hidden="1" customHeight="1">
      <c r="A581" s="1168"/>
      <c r="B581" s="1168"/>
      <c r="C581" s="1174"/>
      <c r="D581" s="1174"/>
      <c r="E581" s="1174"/>
      <c r="F581" s="1168"/>
      <c r="G581" s="1168"/>
      <c r="H581" s="1168"/>
      <c r="I581" s="1170"/>
      <c r="J581" s="1170"/>
      <c r="K581" s="1170"/>
      <c r="L581" s="153">
        <f t="shared" si="55"/>
        <v>0</v>
      </c>
      <c r="M581" s="154">
        <f t="shared" si="56"/>
        <v>0</v>
      </c>
      <c r="N581" s="155">
        <f>+IF(OR($Q581=Parametres!$G$2,$Q581=Parametres!$G$3),I581,C581)</f>
        <v>0</v>
      </c>
      <c r="O581" s="1108">
        <f>+IF(OR($Q581=Parametres!$G$2,$Q581=Parametres!$G$3),J581,D581)</f>
        <v>0</v>
      </c>
      <c r="P581" s="155">
        <f>+IF(OR($Q581=Parametres!$G$2,$Q581=Parametres!$G$3),K581,E581)</f>
        <v>0</v>
      </c>
      <c r="Q581" s="154">
        <f t="shared" si="57"/>
        <v>0</v>
      </c>
      <c r="R581" s="153">
        <f t="shared" si="58"/>
        <v>0</v>
      </c>
      <c r="S581" s="154">
        <f t="shared" si="5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hidden="1" customHeight="1">
      <c r="A582" s="1168"/>
      <c r="B582" s="1168"/>
      <c r="C582" s="1174"/>
      <c r="D582" s="1174"/>
      <c r="E582" s="1174"/>
      <c r="F582" s="1168"/>
      <c r="G582" s="1168"/>
      <c r="H582" s="1168"/>
      <c r="I582" s="1170"/>
      <c r="J582" s="1170"/>
      <c r="K582" s="1170"/>
      <c r="L582" s="153">
        <f t="shared" si="55"/>
        <v>0</v>
      </c>
      <c r="M582" s="154">
        <f t="shared" si="56"/>
        <v>0</v>
      </c>
      <c r="N582" s="155">
        <f>+IF(OR($Q582=Parametres!$G$2,$Q582=Parametres!$G$3),I582,C582)</f>
        <v>0</v>
      </c>
      <c r="O582" s="1108">
        <f>+IF(OR($Q582=Parametres!$G$2,$Q582=Parametres!$G$3),J582,D582)</f>
        <v>0</v>
      </c>
      <c r="P582" s="155">
        <f>+IF(OR($Q582=Parametres!$G$2,$Q582=Parametres!$G$3),K582,E582)</f>
        <v>0</v>
      </c>
      <c r="Q582" s="154">
        <f t="shared" si="57"/>
        <v>0</v>
      </c>
      <c r="R582" s="153">
        <f t="shared" si="58"/>
        <v>0</v>
      </c>
      <c r="S582" s="154">
        <f t="shared" si="5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hidden="1" customHeight="1">
      <c r="A583" s="1168"/>
      <c r="B583" s="1168"/>
      <c r="C583" s="1174"/>
      <c r="D583" s="1174"/>
      <c r="E583" s="1174"/>
      <c r="F583" s="1168"/>
      <c r="G583" s="1168"/>
      <c r="H583" s="1168"/>
      <c r="I583" s="1170"/>
      <c r="J583" s="1170"/>
      <c r="K583" s="1170"/>
      <c r="L583" s="153">
        <f t="shared" si="55"/>
        <v>0</v>
      </c>
      <c r="M583" s="154">
        <f t="shared" si="56"/>
        <v>0</v>
      </c>
      <c r="N583" s="155">
        <f>+IF(OR($Q583=Parametres!$G$2,$Q583=Parametres!$G$3),I583,C583)</f>
        <v>0</v>
      </c>
      <c r="O583" s="1108">
        <f>+IF(OR($Q583=Parametres!$G$2,$Q583=Parametres!$G$3),J583,D583)</f>
        <v>0</v>
      </c>
      <c r="P583" s="155">
        <f>+IF(OR($Q583=Parametres!$G$2,$Q583=Parametres!$G$3),K583,E583)</f>
        <v>0</v>
      </c>
      <c r="Q583" s="154">
        <f t="shared" si="57"/>
        <v>0</v>
      </c>
      <c r="R583" s="153">
        <f t="shared" si="58"/>
        <v>0</v>
      </c>
      <c r="S583" s="154">
        <f t="shared" si="5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hidden="1" customHeight="1">
      <c r="A584" s="1168"/>
      <c r="B584" s="1168"/>
      <c r="C584" s="1174"/>
      <c r="D584" s="1174"/>
      <c r="E584" s="1174"/>
      <c r="F584" s="1168"/>
      <c r="G584" s="1168"/>
      <c r="H584" s="1168"/>
      <c r="I584" s="1170"/>
      <c r="J584" s="1170"/>
      <c r="K584" s="1170"/>
      <c r="L584" s="153">
        <f t="shared" si="55"/>
        <v>0</v>
      </c>
      <c r="M584" s="154">
        <f t="shared" si="56"/>
        <v>0</v>
      </c>
      <c r="N584" s="155">
        <f>+IF(OR($Q584=Parametres!$G$2,$Q584=Parametres!$G$3),I584,C584)</f>
        <v>0</v>
      </c>
      <c r="O584" s="1108">
        <f>+IF(OR($Q584=Parametres!$G$2,$Q584=Parametres!$G$3),J584,D584)</f>
        <v>0</v>
      </c>
      <c r="P584" s="155">
        <f>+IF(OR($Q584=Parametres!$G$2,$Q584=Parametres!$G$3),K584,E584)</f>
        <v>0</v>
      </c>
      <c r="Q584" s="154">
        <f t="shared" si="57"/>
        <v>0</v>
      </c>
      <c r="R584" s="153">
        <f t="shared" si="58"/>
        <v>0</v>
      </c>
      <c r="S584" s="154">
        <f t="shared" si="5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hidden="1" customHeight="1">
      <c r="A585" s="1168"/>
      <c r="B585" s="1168"/>
      <c r="C585" s="1174"/>
      <c r="D585" s="1174"/>
      <c r="E585" s="1174"/>
      <c r="F585" s="1168"/>
      <c r="G585" s="1168"/>
      <c r="H585" s="1168"/>
      <c r="I585" s="1170"/>
      <c r="J585" s="1170"/>
      <c r="K585" s="1170"/>
      <c r="L585" s="153">
        <f t="shared" si="55"/>
        <v>0</v>
      </c>
      <c r="M585" s="154">
        <f t="shared" si="56"/>
        <v>0</v>
      </c>
      <c r="N585" s="155">
        <f>+IF(OR($Q585=Parametres!$G$2,$Q585=Parametres!$G$3),I585,C585)</f>
        <v>0</v>
      </c>
      <c r="O585" s="1108">
        <f>+IF(OR($Q585=Parametres!$G$2,$Q585=Parametres!$G$3),J585,D585)</f>
        <v>0</v>
      </c>
      <c r="P585" s="155">
        <f>+IF(OR($Q585=Parametres!$G$2,$Q585=Parametres!$G$3),K585,E585)</f>
        <v>0</v>
      </c>
      <c r="Q585" s="154">
        <f t="shared" si="57"/>
        <v>0</v>
      </c>
      <c r="R585" s="153">
        <f t="shared" si="58"/>
        <v>0</v>
      </c>
      <c r="S585" s="154">
        <f t="shared" si="5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hidden="1" customHeight="1">
      <c r="A586" s="1168"/>
      <c r="B586" s="1168"/>
      <c r="C586" s="1174"/>
      <c r="D586" s="1174"/>
      <c r="E586" s="1174"/>
      <c r="F586" s="1168"/>
      <c r="G586" s="1168"/>
      <c r="H586" s="1168"/>
      <c r="I586" s="1170"/>
      <c r="J586" s="1170"/>
      <c r="K586" s="1170"/>
      <c r="L586" s="153">
        <f t="shared" si="55"/>
        <v>0</v>
      </c>
      <c r="M586" s="154">
        <f t="shared" si="56"/>
        <v>0</v>
      </c>
      <c r="N586" s="155">
        <f>+IF(OR($Q586=Parametres!$G$2,$Q586=Parametres!$G$3),I586,C586)</f>
        <v>0</v>
      </c>
      <c r="O586" s="1108">
        <f>+IF(OR($Q586=Parametres!$G$2,$Q586=Parametres!$G$3),J586,D586)</f>
        <v>0</v>
      </c>
      <c r="P586" s="155">
        <f>+IF(OR($Q586=Parametres!$G$2,$Q586=Parametres!$G$3),K586,E586)</f>
        <v>0</v>
      </c>
      <c r="Q586" s="154">
        <f t="shared" si="57"/>
        <v>0</v>
      </c>
      <c r="R586" s="153">
        <f t="shared" si="58"/>
        <v>0</v>
      </c>
      <c r="S586" s="154">
        <f t="shared" si="5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hidden="1" customHeight="1">
      <c r="A587" s="1168"/>
      <c r="B587" s="1168"/>
      <c r="C587" s="1174"/>
      <c r="D587" s="1174"/>
      <c r="E587" s="1174"/>
      <c r="F587" s="1168"/>
      <c r="G587" s="1168"/>
      <c r="H587" s="1168"/>
      <c r="I587" s="1170"/>
      <c r="J587" s="1170"/>
      <c r="K587" s="1170"/>
      <c r="L587" s="153">
        <f t="shared" si="55"/>
        <v>0</v>
      </c>
      <c r="M587" s="154">
        <f t="shared" si="56"/>
        <v>0</v>
      </c>
      <c r="N587" s="155">
        <f>+IF(OR($Q587=Parametres!$G$2,$Q587=Parametres!$G$3),I587,C587)</f>
        <v>0</v>
      </c>
      <c r="O587" s="1108">
        <f>+IF(OR($Q587=Parametres!$G$2,$Q587=Parametres!$G$3),J587,D587)</f>
        <v>0</v>
      </c>
      <c r="P587" s="155">
        <f>+IF(OR($Q587=Parametres!$G$2,$Q587=Parametres!$G$3),K587,E587)</f>
        <v>0</v>
      </c>
      <c r="Q587" s="154">
        <f t="shared" si="57"/>
        <v>0</v>
      </c>
      <c r="R587" s="153">
        <f t="shared" si="58"/>
        <v>0</v>
      </c>
      <c r="S587" s="154">
        <f t="shared" si="5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hidden="1" customHeight="1">
      <c r="A588" s="1168"/>
      <c r="B588" s="1168"/>
      <c r="C588" s="1174"/>
      <c r="D588" s="1174"/>
      <c r="E588" s="1174"/>
      <c r="F588" s="1168"/>
      <c r="G588" s="1168"/>
      <c r="H588" s="1168"/>
      <c r="I588" s="1170"/>
      <c r="J588" s="1170"/>
      <c r="K588" s="1170"/>
      <c r="L588" s="153">
        <f t="shared" si="55"/>
        <v>0</v>
      </c>
      <c r="M588" s="154">
        <f t="shared" si="56"/>
        <v>0</v>
      </c>
      <c r="N588" s="155">
        <f>+IF(OR($Q588=Parametres!$G$2,$Q588=Parametres!$G$3),I588,C588)</f>
        <v>0</v>
      </c>
      <c r="O588" s="1108">
        <f>+IF(OR($Q588=Parametres!$G$2,$Q588=Parametres!$G$3),J588,D588)</f>
        <v>0</v>
      </c>
      <c r="P588" s="155">
        <f>+IF(OR($Q588=Parametres!$G$2,$Q588=Parametres!$G$3),K588,E588)</f>
        <v>0</v>
      </c>
      <c r="Q588" s="154">
        <f t="shared" si="57"/>
        <v>0</v>
      </c>
      <c r="R588" s="153">
        <f t="shared" si="58"/>
        <v>0</v>
      </c>
      <c r="S588" s="154">
        <f t="shared" si="5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hidden="1" customHeight="1">
      <c r="A589" s="1168"/>
      <c r="B589" s="1168"/>
      <c r="C589" s="1174"/>
      <c r="D589" s="1174"/>
      <c r="E589" s="1174"/>
      <c r="F589" s="1168"/>
      <c r="G589" s="1168"/>
      <c r="H589" s="1168"/>
      <c r="I589" s="1170"/>
      <c r="J589" s="1170"/>
      <c r="K589" s="1170"/>
      <c r="L589" s="153">
        <f t="shared" si="55"/>
        <v>0</v>
      </c>
      <c r="M589" s="154">
        <f t="shared" si="56"/>
        <v>0</v>
      </c>
      <c r="N589" s="155">
        <f>+IF(OR($Q589=Parametres!$G$2,$Q589=Parametres!$G$3),I589,C589)</f>
        <v>0</v>
      </c>
      <c r="O589" s="1108">
        <f>+IF(OR($Q589=Parametres!$G$2,$Q589=Parametres!$G$3),J589,D589)</f>
        <v>0</v>
      </c>
      <c r="P589" s="155">
        <f>+IF(OR($Q589=Parametres!$G$2,$Q589=Parametres!$G$3),K589,E589)</f>
        <v>0</v>
      </c>
      <c r="Q589" s="154">
        <f t="shared" si="57"/>
        <v>0</v>
      </c>
      <c r="R589" s="153">
        <f t="shared" si="58"/>
        <v>0</v>
      </c>
      <c r="S589" s="154">
        <f t="shared" si="5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hidden="1" customHeight="1">
      <c r="A590" s="1168"/>
      <c r="B590" s="1168"/>
      <c r="C590" s="1174"/>
      <c r="D590" s="1174"/>
      <c r="E590" s="1174"/>
      <c r="F590" s="1168"/>
      <c r="G590" s="1168"/>
      <c r="H590" s="1168"/>
      <c r="I590" s="1170"/>
      <c r="J590" s="1170"/>
      <c r="K590" s="1170"/>
      <c r="L590" s="153">
        <f t="shared" si="55"/>
        <v>0</v>
      </c>
      <c r="M590" s="154">
        <f t="shared" si="56"/>
        <v>0</v>
      </c>
      <c r="N590" s="155">
        <f>+IF(OR($Q590=Parametres!$G$2,$Q590=Parametres!$G$3),I590,C590)</f>
        <v>0</v>
      </c>
      <c r="O590" s="1108">
        <f>+IF(OR($Q590=Parametres!$G$2,$Q590=Parametres!$G$3),J590,D590)</f>
        <v>0</v>
      </c>
      <c r="P590" s="155">
        <f>+IF(OR($Q590=Parametres!$G$2,$Q590=Parametres!$G$3),K590,E590)</f>
        <v>0</v>
      </c>
      <c r="Q590" s="154">
        <f t="shared" si="57"/>
        <v>0</v>
      </c>
      <c r="R590" s="153">
        <f t="shared" si="58"/>
        <v>0</v>
      </c>
      <c r="S590" s="154">
        <f t="shared" si="5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hidden="1" customHeight="1">
      <c r="A591" s="1168"/>
      <c r="B591" s="1168"/>
      <c r="C591" s="1174"/>
      <c r="D591" s="1174"/>
      <c r="E591" s="1174"/>
      <c r="F591" s="1168"/>
      <c r="G591" s="1168"/>
      <c r="H591" s="1168"/>
      <c r="I591" s="1170"/>
      <c r="J591" s="1170"/>
      <c r="K591" s="1170"/>
      <c r="L591" s="153">
        <f t="shared" si="55"/>
        <v>0</v>
      </c>
      <c r="M591" s="154">
        <f t="shared" si="56"/>
        <v>0</v>
      </c>
      <c r="N591" s="155">
        <f>+IF(OR($Q591=Parametres!$G$2,$Q591=Parametres!$G$3),I591,C591)</f>
        <v>0</v>
      </c>
      <c r="O591" s="1108">
        <f>+IF(OR($Q591=Parametres!$G$2,$Q591=Parametres!$G$3),J591,D591)</f>
        <v>0</v>
      </c>
      <c r="P591" s="155">
        <f>+IF(OR($Q591=Parametres!$G$2,$Q591=Parametres!$G$3),K591,E591)</f>
        <v>0</v>
      </c>
      <c r="Q591" s="154">
        <f t="shared" si="57"/>
        <v>0</v>
      </c>
      <c r="R591" s="153">
        <f t="shared" si="58"/>
        <v>0</v>
      </c>
      <c r="S591" s="154">
        <f t="shared" si="5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hidden="1" customHeight="1">
      <c r="A592" s="1168"/>
      <c r="B592" s="1168"/>
      <c r="C592" s="1174"/>
      <c r="D592" s="1174"/>
      <c r="E592" s="1174"/>
      <c r="F592" s="1168"/>
      <c r="G592" s="1168"/>
      <c r="H592" s="1168"/>
      <c r="I592" s="1170"/>
      <c r="J592" s="1170"/>
      <c r="K592" s="1170"/>
      <c r="L592" s="153">
        <f t="shared" si="55"/>
        <v>0</v>
      </c>
      <c r="M592" s="154">
        <f t="shared" si="56"/>
        <v>0</v>
      </c>
      <c r="N592" s="155">
        <f>+IF(OR($Q592=Parametres!$G$2,$Q592=Parametres!$G$3),I592,C592)</f>
        <v>0</v>
      </c>
      <c r="O592" s="1108">
        <f>+IF(OR($Q592=Parametres!$G$2,$Q592=Parametres!$G$3),J592,D592)</f>
        <v>0</v>
      </c>
      <c r="P592" s="155">
        <f>+IF(OR($Q592=Parametres!$G$2,$Q592=Parametres!$G$3),K592,E592)</f>
        <v>0</v>
      </c>
      <c r="Q592" s="154">
        <f t="shared" si="57"/>
        <v>0</v>
      </c>
      <c r="R592" s="153">
        <f t="shared" si="58"/>
        <v>0</v>
      </c>
      <c r="S592" s="154">
        <f t="shared" si="5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hidden="1" customHeight="1">
      <c r="A593" s="1168"/>
      <c r="B593" s="1168"/>
      <c r="C593" s="1174"/>
      <c r="D593" s="1174"/>
      <c r="E593" s="1174"/>
      <c r="F593" s="1168"/>
      <c r="G593" s="1168"/>
      <c r="H593" s="1168"/>
      <c r="I593" s="1170"/>
      <c r="J593" s="1170"/>
      <c r="K593" s="1170"/>
      <c r="L593" s="153">
        <f t="shared" si="55"/>
        <v>0</v>
      </c>
      <c r="M593" s="154">
        <f t="shared" si="56"/>
        <v>0</v>
      </c>
      <c r="N593" s="155">
        <f>+IF(OR($Q593=Parametres!$G$2,$Q593=Parametres!$G$3),I593,C593)</f>
        <v>0</v>
      </c>
      <c r="O593" s="1108">
        <f>+IF(OR($Q593=Parametres!$G$2,$Q593=Parametres!$G$3),J593,D593)</f>
        <v>0</v>
      </c>
      <c r="P593" s="155">
        <f>+IF(OR($Q593=Parametres!$G$2,$Q593=Parametres!$G$3),K593,E593)</f>
        <v>0</v>
      </c>
      <c r="Q593" s="154">
        <f t="shared" si="57"/>
        <v>0</v>
      </c>
      <c r="R593" s="153">
        <f t="shared" si="58"/>
        <v>0</v>
      </c>
      <c r="S593" s="154">
        <f t="shared" si="5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hidden="1" customHeight="1">
      <c r="A594" s="1168"/>
      <c r="B594" s="1168"/>
      <c r="C594" s="1174"/>
      <c r="D594" s="1174"/>
      <c r="E594" s="1174"/>
      <c r="F594" s="1168"/>
      <c r="G594" s="1168"/>
      <c r="H594" s="1168"/>
      <c r="I594" s="1170"/>
      <c r="J594" s="1170"/>
      <c r="K594" s="1170"/>
      <c r="L594" s="153">
        <f t="shared" si="55"/>
        <v>0</v>
      </c>
      <c r="M594" s="154">
        <f t="shared" si="56"/>
        <v>0</v>
      </c>
      <c r="N594" s="155">
        <f>+IF(OR($Q594=Parametres!$G$2,$Q594=Parametres!$G$3),I594,C594)</f>
        <v>0</v>
      </c>
      <c r="O594" s="1108">
        <f>+IF(OR($Q594=Parametres!$G$2,$Q594=Parametres!$G$3),J594,D594)</f>
        <v>0</v>
      </c>
      <c r="P594" s="155">
        <f>+IF(OR($Q594=Parametres!$G$2,$Q594=Parametres!$G$3),K594,E594)</f>
        <v>0</v>
      </c>
      <c r="Q594" s="154">
        <f t="shared" si="57"/>
        <v>0</v>
      </c>
      <c r="R594" s="153">
        <f t="shared" si="58"/>
        <v>0</v>
      </c>
      <c r="S594" s="154">
        <f t="shared" si="5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hidden="1" customHeight="1">
      <c r="A595" s="1168"/>
      <c r="B595" s="1168"/>
      <c r="C595" s="1174"/>
      <c r="D595" s="1174"/>
      <c r="E595" s="1174"/>
      <c r="F595" s="1168"/>
      <c r="G595" s="1168"/>
      <c r="H595" s="1168"/>
      <c r="I595" s="1170"/>
      <c r="J595" s="1170"/>
      <c r="K595" s="1170"/>
      <c r="L595" s="153">
        <f t="shared" si="55"/>
        <v>0</v>
      </c>
      <c r="M595" s="154">
        <f t="shared" si="56"/>
        <v>0</v>
      </c>
      <c r="N595" s="155">
        <f>+IF(OR($Q595=Parametres!$G$2,$Q595=Parametres!$G$3),I595,C595)</f>
        <v>0</v>
      </c>
      <c r="O595" s="1108">
        <f>+IF(OR($Q595=Parametres!$G$2,$Q595=Parametres!$G$3),J595,D595)</f>
        <v>0</v>
      </c>
      <c r="P595" s="155">
        <f>+IF(OR($Q595=Parametres!$G$2,$Q595=Parametres!$G$3),K595,E595)</f>
        <v>0</v>
      </c>
      <c r="Q595" s="154">
        <f t="shared" si="57"/>
        <v>0</v>
      </c>
      <c r="R595" s="153">
        <f t="shared" si="58"/>
        <v>0</v>
      </c>
      <c r="S595" s="154">
        <f t="shared" si="5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hidden="1" customHeight="1">
      <c r="A596" s="1168"/>
      <c r="B596" s="1168"/>
      <c r="C596" s="1174"/>
      <c r="D596" s="1174"/>
      <c r="E596" s="1174"/>
      <c r="F596" s="1168"/>
      <c r="G596" s="1168"/>
      <c r="H596" s="1168"/>
      <c r="I596" s="1170"/>
      <c r="J596" s="1170"/>
      <c r="K596" s="1170"/>
      <c r="L596" s="153">
        <f t="shared" si="55"/>
        <v>0</v>
      </c>
      <c r="M596" s="154">
        <f t="shared" si="56"/>
        <v>0</v>
      </c>
      <c r="N596" s="155">
        <f>+IF(OR($Q596=Parametres!$G$2,$Q596=Parametres!$G$3),I596,C596)</f>
        <v>0</v>
      </c>
      <c r="O596" s="1108">
        <f>+IF(OR($Q596=Parametres!$G$2,$Q596=Parametres!$G$3),J596,D596)</f>
        <v>0</v>
      </c>
      <c r="P596" s="155">
        <f>+IF(OR($Q596=Parametres!$G$2,$Q596=Parametres!$G$3),K596,E596)</f>
        <v>0</v>
      </c>
      <c r="Q596" s="154">
        <f t="shared" si="57"/>
        <v>0</v>
      </c>
      <c r="R596" s="153">
        <f t="shared" si="58"/>
        <v>0</v>
      </c>
      <c r="S596" s="154">
        <f t="shared" si="5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hidden="1" customHeight="1">
      <c r="A597" s="1168"/>
      <c r="B597" s="1168"/>
      <c r="C597" s="1174"/>
      <c r="D597" s="1174"/>
      <c r="E597" s="1174"/>
      <c r="F597" s="1168"/>
      <c r="G597" s="1168"/>
      <c r="H597" s="1168"/>
      <c r="I597" s="1170"/>
      <c r="J597" s="1170"/>
      <c r="K597" s="1170"/>
      <c r="L597" s="153">
        <f t="shared" si="55"/>
        <v>0</v>
      </c>
      <c r="M597" s="154">
        <f t="shared" si="56"/>
        <v>0</v>
      </c>
      <c r="N597" s="155">
        <f>+IF(OR($Q597=Parametres!$G$2,$Q597=Parametres!$G$3),I597,C597)</f>
        <v>0</v>
      </c>
      <c r="O597" s="1108">
        <f>+IF(OR($Q597=Parametres!$G$2,$Q597=Parametres!$G$3),J597,D597)</f>
        <v>0</v>
      </c>
      <c r="P597" s="155">
        <f>+IF(OR($Q597=Parametres!$G$2,$Q597=Parametres!$G$3),K597,E597)</f>
        <v>0</v>
      </c>
      <c r="Q597" s="154">
        <f t="shared" si="57"/>
        <v>0</v>
      </c>
      <c r="R597" s="153">
        <f t="shared" si="58"/>
        <v>0</v>
      </c>
      <c r="S597" s="154">
        <f t="shared" si="5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hidden="1" customHeight="1">
      <c r="A598" s="1168"/>
      <c r="B598" s="1168"/>
      <c r="C598" s="1174"/>
      <c r="D598" s="1174"/>
      <c r="E598" s="1174"/>
      <c r="F598" s="1168"/>
      <c r="G598" s="1168"/>
      <c r="H598" s="1168"/>
      <c r="I598" s="1170"/>
      <c r="J598" s="1170"/>
      <c r="K598" s="1170"/>
      <c r="L598" s="153">
        <f t="shared" si="55"/>
        <v>0</v>
      </c>
      <c r="M598" s="154">
        <f t="shared" si="56"/>
        <v>0</v>
      </c>
      <c r="N598" s="155">
        <f>+IF(OR($Q598=Parametres!$G$2,$Q598=Parametres!$G$3),I598,C598)</f>
        <v>0</v>
      </c>
      <c r="O598" s="1108">
        <f>+IF(OR($Q598=Parametres!$G$2,$Q598=Parametres!$G$3),J598,D598)</f>
        <v>0</v>
      </c>
      <c r="P598" s="155">
        <f>+IF(OR($Q598=Parametres!$G$2,$Q598=Parametres!$G$3),K598,E598)</f>
        <v>0</v>
      </c>
      <c r="Q598" s="154">
        <f t="shared" si="57"/>
        <v>0</v>
      </c>
      <c r="R598" s="153">
        <f t="shared" si="58"/>
        <v>0</v>
      </c>
      <c r="S598" s="154">
        <f t="shared" si="5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hidden="1" customHeight="1">
      <c r="A599" s="1168"/>
      <c r="B599" s="1168"/>
      <c r="C599" s="1174"/>
      <c r="D599" s="1174"/>
      <c r="E599" s="1174"/>
      <c r="F599" s="1168"/>
      <c r="G599" s="1168"/>
      <c r="H599" s="1168"/>
      <c r="I599" s="1170"/>
      <c r="J599" s="1170"/>
      <c r="K599" s="1170"/>
      <c r="L599" s="153">
        <f t="shared" si="55"/>
        <v>0</v>
      </c>
      <c r="M599" s="154">
        <f t="shared" si="56"/>
        <v>0</v>
      </c>
      <c r="N599" s="155">
        <f>+IF(OR($Q599=Parametres!$G$2,$Q599=Parametres!$G$3),I599,C599)</f>
        <v>0</v>
      </c>
      <c r="O599" s="1108">
        <f>+IF(OR($Q599=Parametres!$G$2,$Q599=Parametres!$G$3),J599,D599)</f>
        <v>0</v>
      </c>
      <c r="P599" s="155">
        <f>+IF(OR($Q599=Parametres!$G$2,$Q599=Parametres!$G$3),K599,E599)</f>
        <v>0</v>
      </c>
      <c r="Q599" s="154">
        <f t="shared" si="57"/>
        <v>0</v>
      </c>
      <c r="R599" s="153">
        <f t="shared" si="58"/>
        <v>0</v>
      </c>
      <c r="S599" s="154">
        <f t="shared" si="5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hidden="1" customHeight="1">
      <c r="A600" s="1168"/>
      <c r="B600" s="1168"/>
      <c r="C600" s="1174"/>
      <c r="D600" s="1174"/>
      <c r="E600" s="1174"/>
      <c r="F600" s="1168"/>
      <c r="G600" s="1168"/>
      <c r="H600" s="1168"/>
      <c r="I600" s="1170"/>
      <c r="J600" s="1170"/>
      <c r="K600" s="1170"/>
      <c r="L600" s="153">
        <f t="shared" si="55"/>
        <v>0</v>
      </c>
      <c r="M600" s="154">
        <f t="shared" si="56"/>
        <v>0</v>
      </c>
      <c r="N600" s="155">
        <f>+IF(OR($Q600=Parametres!$G$2,$Q600=Parametres!$G$3),I600,C600)</f>
        <v>0</v>
      </c>
      <c r="O600" s="1108">
        <f>+IF(OR($Q600=Parametres!$G$2,$Q600=Parametres!$G$3),J600,D600)</f>
        <v>0</v>
      </c>
      <c r="P600" s="155">
        <f>+IF(OR($Q600=Parametres!$G$2,$Q600=Parametres!$G$3),K600,E600)</f>
        <v>0</v>
      </c>
      <c r="Q600" s="154">
        <f t="shared" si="57"/>
        <v>0</v>
      </c>
      <c r="R600" s="153">
        <f t="shared" si="58"/>
        <v>0</v>
      </c>
      <c r="S600" s="154">
        <f t="shared" si="5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hidden="1" customHeight="1">
      <c r="A601" s="1168"/>
      <c r="B601" s="1168"/>
      <c r="C601" s="1174"/>
      <c r="D601" s="1174"/>
      <c r="E601" s="1174"/>
      <c r="F601" s="1168"/>
      <c r="G601" s="1168"/>
      <c r="H601" s="1168"/>
      <c r="I601" s="1170"/>
      <c r="J601" s="1170"/>
      <c r="K601" s="1170"/>
      <c r="L601" s="153">
        <f t="shared" si="55"/>
        <v>0</v>
      </c>
      <c r="M601" s="154">
        <f t="shared" si="56"/>
        <v>0</v>
      </c>
      <c r="N601" s="155">
        <f>+IF(OR($Q601=Parametres!$G$2,$Q601=Parametres!$G$3),I601,C601)</f>
        <v>0</v>
      </c>
      <c r="O601" s="1108">
        <f>+IF(OR($Q601=Parametres!$G$2,$Q601=Parametres!$G$3),J601,D601)</f>
        <v>0</v>
      </c>
      <c r="P601" s="155">
        <f>+IF(OR($Q601=Parametres!$G$2,$Q601=Parametres!$G$3),K601,E601)</f>
        <v>0</v>
      </c>
      <c r="Q601" s="154">
        <f t="shared" si="57"/>
        <v>0</v>
      </c>
      <c r="R601" s="153">
        <f t="shared" si="58"/>
        <v>0</v>
      </c>
      <c r="S601" s="154">
        <f t="shared" si="5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hidden="1" customHeight="1">
      <c r="A602" s="1168"/>
      <c r="B602" s="1168"/>
      <c r="C602" s="1174"/>
      <c r="D602" s="1174"/>
      <c r="E602" s="1174"/>
      <c r="F602" s="1168"/>
      <c r="G602" s="1168"/>
      <c r="H602" s="1168"/>
      <c r="I602" s="1170"/>
      <c r="J602" s="1170"/>
      <c r="K602" s="1170"/>
      <c r="L602" s="153">
        <f t="shared" si="55"/>
        <v>0</v>
      </c>
      <c r="M602" s="154">
        <f t="shared" si="56"/>
        <v>0</v>
      </c>
      <c r="N602" s="155">
        <f>+IF(OR($Q602=Parametres!$G$2,$Q602=Parametres!$G$3),I602,C602)</f>
        <v>0</v>
      </c>
      <c r="O602" s="1108">
        <f>+IF(OR($Q602=Parametres!$G$2,$Q602=Parametres!$G$3),J602,D602)</f>
        <v>0</v>
      </c>
      <c r="P602" s="155">
        <f>+IF(OR($Q602=Parametres!$G$2,$Q602=Parametres!$G$3),K602,E602)</f>
        <v>0</v>
      </c>
      <c r="Q602" s="154">
        <f t="shared" si="57"/>
        <v>0</v>
      </c>
      <c r="R602" s="153">
        <f t="shared" si="58"/>
        <v>0</v>
      </c>
      <c r="S602" s="154">
        <f t="shared" si="5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hidden="1" customHeight="1">
      <c r="A603" s="1168"/>
      <c r="B603" s="1168"/>
      <c r="C603" s="1174"/>
      <c r="D603" s="1174"/>
      <c r="E603" s="1174"/>
      <c r="F603" s="1168"/>
      <c r="G603" s="1168"/>
      <c r="H603" s="1168"/>
      <c r="I603" s="1170"/>
      <c r="J603" s="1170"/>
      <c r="K603" s="1170"/>
      <c r="L603" s="153">
        <f t="shared" si="55"/>
        <v>0</v>
      </c>
      <c r="M603" s="154">
        <f t="shared" si="56"/>
        <v>0</v>
      </c>
      <c r="N603" s="155">
        <f>+IF(OR($Q603=Parametres!$G$2,$Q603=Parametres!$G$3),I603,C603)</f>
        <v>0</v>
      </c>
      <c r="O603" s="1108">
        <f>+IF(OR($Q603=Parametres!$G$2,$Q603=Parametres!$G$3),J603,D603)</f>
        <v>0</v>
      </c>
      <c r="P603" s="155">
        <f>+IF(OR($Q603=Parametres!$G$2,$Q603=Parametres!$G$3),K603,E603)</f>
        <v>0</v>
      </c>
      <c r="Q603" s="154">
        <f t="shared" si="57"/>
        <v>0</v>
      </c>
      <c r="R603" s="153">
        <f t="shared" si="58"/>
        <v>0</v>
      </c>
      <c r="S603" s="154">
        <f t="shared" si="5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hidden="1" customHeight="1">
      <c r="A604" s="1168"/>
      <c r="B604" s="1168"/>
      <c r="C604" s="1174"/>
      <c r="D604" s="1174"/>
      <c r="E604" s="1174"/>
      <c r="F604" s="1168"/>
      <c r="G604" s="1168"/>
      <c r="H604" s="1168"/>
      <c r="I604" s="1170"/>
      <c r="J604" s="1170"/>
      <c r="K604" s="1170"/>
      <c r="L604" s="153">
        <f t="shared" si="55"/>
        <v>0</v>
      </c>
      <c r="M604" s="154">
        <f t="shared" si="56"/>
        <v>0</v>
      </c>
      <c r="N604" s="155">
        <f>+IF(OR($Q604=Parametres!$G$2,$Q604=Parametres!$G$3),I604,C604)</f>
        <v>0</v>
      </c>
      <c r="O604" s="1108">
        <f>+IF(OR($Q604=Parametres!$G$2,$Q604=Parametres!$G$3),J604,D604)</f>
        <v>0</v>
      </c>
      <c r="P604" s="155">
        <f>+IF(OR($Q604=Parametres!$G$2,$Q604=Parametres!$G$3),K604,E604)</f>
        <v>0</v>
      </c>
      <c r="Q604" s="154">
        <f t="shared" si="57"/>
        <v>0</v>
      </c>
      <c r="R604" s="153">
        <f t="shared" si="58"/>
        <v>0</v>
      </c>
      <c r="S604" s="154">
        <f t="shared" si="5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hidden="1" customHeight="1">
      <c r="A605" s="1168"/>
      <c r="B605" s="1168"/>
      <c r="C605" s="1174"/>
      <c r="D605" s="1174"/>
      <c r="E605" s="1174"/>
      <c r="F605" s="1168"/>
      <c r="G605" s="1168"/>
      <c r="H605" s="1168"/>
      <c r="I605" s="1170"/>
      <c r="J605" s="1170"/>
      <c r="K605" s="1170"/>
      <c r="L605" s="153">
        <f t="shared" si="55"/>
        <v>0</v>
      </c>
      <c r="M605" s="154">
        <f t="shared" si="56"/>
        <v>0</v>
      </c>
      <c r="N605" s="155">
        <f>+IF(OR($Q605=Parametres!$G$2,$Q605=Parametres!$G$3),I605,C605)</f>
        <v>0</v>
      </c>
      <c r="O605" s="1108">
        <f>+IF(OR($Q605=Parametres!$G$2,$Q605=Parametres!$G$3),J605,D605)</f>
        <v>0</v>
      </c>
      <c r="P605" s="155">
        <f>+IF(OR($Q605=Parametres!$G$2,$Q605=Parametres!$G$3),K605,E605)</f>
        <v>0</v>
      </c>
      <c r="Q605" s="154">
        <f t="shared" si="57"/>
        <v>0</v>
      </c>
      <c r="R605" s="153">
        <f t="shared" si="58"/>
        <v>0</v>
      </c>
      <c r="S605" s="154">
        <f t="shared" si="5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hidden="1" customHeight="1">
      <c r="A606" s="1168"/>
      <c r="B606" s="1168"/>
      <c r="C606" s="1174"/>
      <c r="D606" s="1174"/>
      <c r="E606" s="1174"/>
      <c r="F606" s="1168"/>
      <c r="G606" s="1168"/>
      <c r="H606" s="1168"/>
      <c r="I606" s="1170"/>
      <c r="J606" s="1170"/>
      <c r="K606" s="1170"/>
      <c r="L606" s="153">
        <f t="shared" si="55"/>
        <v>0</v>
      </c>
      <c r="M606" s="154">
        <f t="shared" si="56"/>
        <v>0</v>
      </c>
      <c r="N606" s="155">
        <f>+IF(OR($Q606=Parametres!$G$2,$Q606=Parametres!$G$3),I606,C606)</f>
        <v>0</v>
      </c>
      <c r="O606" s="1108">
        <f>+IF(OR($Q606=Parametres!$G$2,$Q606=Parametres!$G$3),J606,D606)</f>
        <v>0</v>
      </c>
      <c r="P606" s="155">
        <f>+IF(OR($Q606=Parametres!$G$2,$Q606=Parametres!$G$3),K606,E606)</f>
        <v>0</v>
      </c>
      <c r="Q606" s="154">
        <f t="shared" si="57"/>
        <v>0</v>
      </c>
      <c r="R606" s="153">
        <f t="shared" si="58"/>
        <v>0</v>
      </c>
      <c r="S606" s="154">
        <f t="shared" si="5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hidden="1" customHeight="1">
      <c r="A607" s="1168"/>
      <c r="B607" s="1168"/>
      <c r="C607" s="1174"/>
      <c r="D607" s="1174"/>
      <c r="E607" s="1174"/>
      <c r="F607" s="1168"/>
      <c r="G607" s="1168"/>
      <c r="H607" s="1168"/>
      <c r="I607" s="1170"/>
      <c r="J607" s="1170"/>
      <c r="K607" s="1170"/>
      <c r="L607" s="153">
        <f t="shared" si="55"/>
        <v>0</v>
      </c>
      <c r="M607" s="154">
        <f t="shared" si="56"/>
        <v>0</v>
      </c>
      <c r="N607" s="155">
        <f>+IF(OR($Q607=Parametres!$G$2,$Q607=Parametres!$G$3),I607,C607)</f>
        <v>0</v>
      </c>
      <c r="O607" s="1108">
        <f>+IF(OR($Q607=Parametres!$G$2,$Q607=Parametres!$G$3),J607,D607)</f>
        <v>0</v>
      </c>
      <c r="P607" s="155">
        <f>+IF(OR($Q607=Parametres!$G$2,$Q607=Parametres!$G$3),K607,E607)</f>
        <v>0</v>
      </c>
      <c r="Q607" s="154">
        <f t="shared" si="57"/>
        <v>0</v>
      </c>
      <c r="R607" s="153">
        <f t="shared" si="58"/>
        <v>0</v>
      </c>
      <c r="S607" s="154">
        <f t="shared" si="5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hidden="1" customHeight="1">
      <c r="A608" s="1168"/>
      <c r="B608" s="1168"/>
      <c r="C608" s="1174"/>
      <c r="D608" s="1174"/>
      <c r="E608" s="1174"/>
      <c r="F608" s="1168"/>
      <c r="G608" s="1168"/>
      <c r="H608" s="1168"/>
      <c r="I608" s="1170"/>
      <c r="J608" s="1170"/>
      <c r="K608" s="1170"/>
      <c r="L608" s="153">
        <f t="shared" si="55"/>
        <v>0</v>
      </c>
      <c r="M608" s="154">
        <f t="shared" si="56"/>
        <v>0</v>
      </c>
      <c r="N608" s="155">
        <f>+IF(OR($Q608=Parametres!$G$2,$Q608=Parametres!$G$3),I608,C608)</f>
        <v>0</v>
      </c>
      <c r="O608" s="1108">
        <f>+IF(OR($Q608=Parametres!$G$2,$Q608=Parametres!$G$3),J608,D608)</f>
        <v>0</v>
      </c>
      <c r="P608" s="155">
        <f>+IF(OR($Q608=Parametres!$G$2,$Q608=Parametres!$G$3),K608,E608)</f>
        <v>0</v>
      </c>
      <c r="Q608" s="154">
        <f t="shared" si="57"/>
        <v>0</v>
      </c>
      <c r="R608" s="153">
        <f t="shared" si="58"/>
        <v>0</v>
      </c>
      <c r="S608" s="154">
        <f t="shared" si="5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hidden="1" customHeight="1">
      <c r="A609" s="1168"/>
      <c r="B609" s="1168"/>
      <c r="C609" s="1174"/>
      <c r="D609" s="1174"/>
      <c r="E609" s="1174"/>
      <c r="F609" s="1168"/>
      <c r="G609" s="1168"/>
      <c r="H609" s="1168"/>
      <c r="I609" s="1170"/>
      <c r="J609" s="1170"/>
      <c r="K609" s="1170"/>
      <c r="L609" s="153">
        <f t="shared" si="55"/>
        <v>0</v>
      </c>
      <c r="M609" s="154">
        <f t="shared" si="56"/>
        <v>0</v>
      </c>
      <c r="N609" s="155">
        <f>+IF(OR($Q609=Parametres!$G$2,$Q609=Parametres!$G$3),I609,C609)</f>
        <v>0</v>
      </c>
      <c r="O609" s="1108">
        <f>+IF(OR($Q609=Parametres!$G$2,$Q609=Parametres!$G$3),J609,D609)</f>
        <v>0</v>
      </c>
      <c r="P609" s="155">
        <f>+IF(OR($Q609=Parametres!$G$2,$Q609=Parametres!$G$3),K609,E609)</f>
        <v>0</v>
      </c>
      <c r="Q609" s="154">
        <f t="shared" si="57"/>
        <v>0</v>
      </c>
      <c r="R609" s="153">
        <f t="shared" si="58"/>
        <v>0</v>
      </c>
      <c r="S609" s="154">
        <f t="shared" si="5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hidden="1" customHeight="1">
      <c r="A610" s="1168"/>
      <c r="B610" s="1168"/>
      <c r="C610" s="1174"/>
      <c r="D610" s="1174"/>
      <c r="E610" s="1174"/>
      <c r="F610" s="1168"/>
      <c r="G610" s="1168"/>
      <c r="H610" s="1168"/>
      <c r="I610" s="1170"/>
      <c r="J610" s="1170"/>
      <c r="K610" s="1170"/>
      <c r="L610" s="153">
        <f t="shared" si="55"/>
        <v>0</v>
      </c>
      <c r="M610" s="154">
        <f t="shared" si="56"/>
        <v>0</v>
      </c>
      <c r="N610" s="155">
        <f>+IF(OR($Q610=Parametres!$G$2,$Q610=Parametres!$G$3),I610,C610)</f>
        <v>0</v>
      </c>
      <c r="O610" s="1108">
        <f>+IF(OR($Q610=Parametres!$G$2,$Q610=Parametres!$G$3),J610,D610)</f>
        <v>0</v>
      </c>
      <c r="P610" s="155">
        <f>+IF(OR($Q610=Parametres!$G$2,$Q610=Parametres!$G$3),K610,E610)</f>
        <v>0</v>
      </c>
      <c r="Q610" s="154">
        <f t="shared" si="57"/>
        <v>0</v>
      </c>
      <c r="R610" s="153">
        <f t="shared" si="58"/>
        <v>0</v>
      </c>
      <c r="S610" s="154">
        <f t="shared" si="5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hidden="1" customHeight="1">
      <c r="A611" s="1168"/>
      <c r="B611" s="1168"/>
      <c r="C611" s="1174"/>
      <c r="D611" s="1174"/>
      <c r="E611" s="1174"/>
      <c r="F611" s="1168"/>
      <c r="G611" s="1168"/>
      <c r="H611" s="1168"/>
      <c r="I611" s="1170"/>
      <c r="J611" s="1170"/>
      <c r="K611" s="1170"/>
      <c r="L611" s="153">
        <f t="shared" si="55"/>
        <v>0</v>
      </c>
      <c r="M611" s="154">
        <f t="shared" si="56"/>
        <v>0</v>
      </c>
      <c r="N611" s="155">
        <f>+IF(OR($Q611=Parametres!$G$2,$Q611=Parametres!$G$3),I611,C611)</f>
        <v>0</v>
      </c>
      <c r="O611" s="1108">
        <f>+IF(OR($Q611=Parametres!$G$2,$Q611=Parametres!$G$3),J611,D611)</f>
        <v>0</v>
      </c>
      <c r="P611" s="155">
        <f>+IF(OR($Q611=Parametres!$G$2,$Q611=Parametres!$G$3),K611,E611)</f>
        <v>0</v>
      </c>
      <c r="Q611" s="154">
        <f t="shared" si="57"/>
        <v>0</v>
      </c>
      <c r="R611" s="153">
        <f t="shared" si="58"/>
        <v>0</v>
      </c>
      <c r="S611" s="154">
        <f t="shared" si="5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hidden="1" customHeight="1">
      <c r="A612" s="1168"/>
      <c r="B612" s="1168"/>
      <c r="C612" s="1174"/>
      <c r="D612" s="1174"/>
      <c r="E612" s="1174"/>
      <c r="F612" s="1168"/>
      <c r="G612" s="1168"/>
      <c r="H612" s="1168"/>
      <c r="I612" s="1170"/>
      <c r="J612" s="1170"/>
      <c r="K612" s="1170"/>
      <c r="L612" s="153">
        <f t="shared" si="55"/>
        <v>0</v>
      </c>
      <c r="M612" s="154">
        <f t="shared" si="56"/>
        <v>0</v>
      </c>
      <c r="N612" s="155">
        <f>+IF(OR($Q612=Parametres!$G$2,$Q612=Parametres!$G$3),I612,C612)</f>
        <v>0</v>
      </c>
      <c r="O612" s="1108">
        <f>+IF(OR($Q612=Parametres!$G$2,$Q612=Parametres!$G$3),J612,D612)</f>
        <v>0</v>
      </c>
      <c r="P612" s="155">
        <f>+IF(OR($Q612=Parametres!$G$2,$Q612=Parametres!$G$3),K612,E612)</f>
        <v>0</v>
      </c>
      <c r="Q612" s="154">
        <f t="shared" si="57"/>
        <v>0</v>
      </c>
      <c r="R612" s="153">
        <f t="shared" si="58"/>
        <v>0</v>
      </c>
      <c r="S612" s="154">
        <f t="shared" si="5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hidden="1" customHeight="1">
      <c r="A613" s="1168"/>
      <c r="B613" s="1168"/>
      <c r="C613" s="1174"/>
      <c r="D613" s="1174"/>
      <c r="E613" s="1174"/>
      <c r="F613" s="1168"/>
      <c r="G613" s="1168"/>
      <c r="H613" s="1168"/>
      <c r="I613" s="1170"/>
      <c r="J613" s="1170"/>
      <c r="K613" s="1170"/>
      <c r="L613" s="153">
        <f t="shared" si="55"/>
        <v>0</v>
      </c>
      <c r="M613" s="154">
        <f t="shared" si="56"/>
        <v>0</v>
      </c>
      <c r="N613" s="155">
        <f>+IF(OR($Q613=Parametres!$G$2,$Q613=Parametres!$G$3),I613,C613)</f>
        <v>0</v>
      </c>
      <c r="O613" s="1108">
        <f>+IF(OR($Q613=Parametres!$G$2,$Q613=Parametres!$G$3),J613,D613)</f>
        <v>0</v>
      </c>
      <c r="P613" s="155">
        <f>+IF(OR($Q613=Parametres!$G$2,$Q613=Parametres!$G$3),K613,E613)</f>
        <v>0</v>
      </c>
      <c r="Q613" s="154">
        <f t="shared" si="57"/>
        <v>0</v>
      </c>
      <c r="R613" s="153">
        <f t="shared" si="58"/>
        <v>0</v>
      </c>
      <c r="S613" s="154">
        <f t="shared" si="5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hidden="1" customHeight="1">
      <c r="A614" s="1168"/>
      <c r="B614" s="1168"/>
      <c r="C614" s="1174"/>
      <c r="D614" s="1174"/>
      <c r="E614" s="1174"/>
      <c r="F614" s="1168"/>
      <c r="G614" s="1168"/>
      <c r="H614" s="1168"/>
      <c r="I614" s="1170"/>
      <c r="J614" s="1170"/>
      <c r="K614" s="1170"/>
      <c r="L614" s="153">
        <f t="shared" si="55"/>
        <v>0</v>
      </c>
      <c r="M614" s="154">
        <f t="shared" si="56"/>
        <v>0</v>
      </c>
      <c r="N614" s="155">
        <f>+IF(OR($Q614=Parametres!$G$2,$Q614=Parametres!$G$3),I614,C614)</f>
        <v>0</v>
      </c>
      <c r="O614" s="1108">
        <f>+IF(OR($Q614=Parametres!$G$2,$Q614=Parametres!$G$3),J614,D614)</f>
        <v>0</v>
      </c>
      <c r="P614" s="155">
        <f>+IF(OR($Q614=Parametres!$G$2,$Q614=Parametres!$G$3),K614,E614)</f>
        <v>0</v>
      </c>
      <c r="Q614" s="154">
        <f t="shared" si="57"/>
        <v>0</v>
      </c>
      <c r="R614" s="153">
        <f t="shared" si="58"/>
        <v>0</v>
      </c>
      <c r="S614" s="154">
        <f t="shared" si="5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hidden="1" customHeight="1">
      <c r="A615" s="1168"/>
      <c r="B615" s="1168"/>
      <c r="C615" s="1174"/>
      <c r="D615" s="1174"/>
      <c r="E615" s="1174"/>
      <c r="F615" s="1168"/>
      <c r="G615" s="1168"/>
      <c r="H615" s="1168"/>
      <c r="I615" s="1170"/>
      <c r="J615" s="1170"/>
      <c r="K615" s="1170"/>
      <c r="L615" s="153">
        <f t="shared" si="55"/>
        <v>0</v>
      </c>
      <c r="M615" s="154">
        <f t="shared" si="56"/>
        <v>0</v>
      </c>
      <c r="N615" s="155">
        <f>+IF(OR($Q615=Parametres!$G$2,$Q615=Parametres!$G$3),I615,C615)</f>
        <v>0</v>
      </c>
      <c r="O615" s="1108">
        <f>+IF(OR($Q615=Parametres!$G$2,$Q615=Parametres!$G$3),J615,D615)</f>
        <v>0</v>
      </c>
      <c r="P615" s="155">
        <f>+IF(OR($Q615=Parametres!$G$2,$Q615=Parametres!$G$3),K615,E615)</f>
        <v>0</v>
      </c>
      <c r="Q615" s="154">
        <f t="shared" si="57"/>
        <v>0</v>
      </c>
      <c r="R615" s="153">
        <f t="shared" si="58"/>
        <v>0</v>
      </c>
      <c r="S615" s="154">
        <f t="shared" si="5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hidden="1" customHeight="1">
      <c r="A616" s="1168"/>
      <c r="B616" s="1168"/>
      <c r="C616" s="1174"/>
      <c r="D616" s="1174"/>
      <c r="E616" s="1174"/>
      <c r="F616" s="1168"/>
      <c r="G616" s="1168"/>
      <c r="H616" s="1168"/>
      <c r="I616" s="1170"/>
      <c r="J616" s="1170"/>
      <c r="K616" s="1170"/>
      <c r="L616" s="153">
        <f t="shared" si="55"/>
        <v>0</v>
      </c>
      <c r="M616" s="154">
        <f t="shared" si="56"/>
        <v>0</v>
      </c>
      <c r="N616" s="155">
        <f>+IF(OR($Q616=Parametres!$G$2,$Q616=Parametres!$G$3),I616,C616)</f>
        <v>0</v>
      </c>
      <c r="O616" s="1108">
        <f>+IF(OR($Q616=Parametres!$G$2,$Q616=Parametres!$G$3),J616,D616)</f>
        <v>0</v>
      </c>
      <c r="P616" s="155">
        <f>+IF(OR($Q616=Parametres!$G$2,$Q616=Parametres!$G$3),K616,E616)</f>
        <v>0</v>
      </c>
      <c r="Q616" s="154">
        <f t="shared" si="57"/>
        <v>0</v>
      </c>
      <c r="R616" s="153">
        <f t="shared" si="58"/>
        <v>0</v>
      </c>
      <c r="S616" s="154">
        <f t="shared" si="5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hidden="1" customHeight="1">
      <c r="A617" s="1168"/>
      <c r="B617" s="1168"/>
      <c r="C617" s="1174"/>
      <c r="D617" s="1174"/>
      <c r="E617" s="1174"/>
      <c r="F617" s="1168"/>
      <c r="G617" s="1168"/>
      <c r="H617" s="1168"/>
      <c r="I617" s="1170"/>
      <c r="J617" s="1170"/>
      <c r="K617" s="1170"/>
      <c r="L617" s="153">
        <f t="shared" si="55"/>
        <v>0</v>
      </c>
      <c r="M617" s="154">
        <f t="shared" si="56"/>
        <v>0</v>
      </c>
      <c r="N617" s="155">
        <f>+IF(OR($Q617=Parametres!$G$2,$Q617=Parametres!$G$3),I617,C617)</f>
        <v>0</v>
      </c>
      <c r="O617" s="1108">
        <f>+IF(OR($Q617=Parametres!$G$2,$Q617=Parametres!$G$3),J617,D617)</f>
        <v>0</v>
      </c>
      <c r="P617" s="155">
        <f>+IF(OR($Q617=Parametres!$G$2,$Q617=Parametres!$G$3),K617,E617)</f>
        <v>0</v>
      </c>
      <c r="Q617" s="154">
        <f t="shared" si="57"/>
        <v>0</v>
      </c>
      <c r="R617" s="153">
        <f t="shared" si="58"/>
        <v>0</v>
      </c>
      <c r="S617" s="154">
        <f t="shared" si="5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hidden="1" customHeight="1">
      <c r="A618" s="1168"/>
      <c r="B618" s="1168"/>
      <c r="C618" s="1174"/>
      <c r="D618" s="1174"/>
      <c r="E618" s="1174"/>
      <c r="F618" s="1168"/>
      <c r="G618" s="1168"/>
      <c r="H618" s="1168"/>
      <c r="I618" s="1170"/>
      <c r="J618" s="1170"/>
      <c r="K618" s="1170"/>
      <c r="L618" s="153">
        <f t="shared" si="55"/>
        <v>0</v>
      </c>
      <c r="M618" s="154">
        <f t="shared" si="56"/>
        <v>0</v>
      </c>
      <c r="N618" s="155">
        <f>+IF(OR($Q618=Parametres!$G$2,$Q618=Parametres!$G$3),I618,C618)</f>
        <v>0</v>
      </c>
      <c r="O618" s="1108">
        <f>+IF(OR($Q618=Parametres!$G$2,$Q618=Parametres!$G$3),J618,D618)</f>
        <v>0</v>
      </c>
      <c r="P618" s="155">
        <f>+IF(OR($Q618=Parametres!$G$2,$Q618=Parametres!$G$3),K618,E618)</f>
        <v>0</v>
      </c>
      <c r="Q618" s="154">
        <f t="shared" si="57"/>
        <v>0</v>
      </c>
      <c r="R618" s="153">
        <f t="shared" si="58"/>
        <v>0</v>
      </c>
      <c r="S618" s="154">
        <f t="shared" si="5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hidden="1" customHeight="1">
      <c r="A619" s="1168"/>
      <c r="B619" s="1168"/>
      <c r="C619" s="1174"/>
      <c r="D619" s="1174"/>
      <c r="E619" s="1174"/>
      <c r="F619" s="1168"/>
      <c r="G619" s="1168"/>
      <c r="H619" s="1168"/>
      <c r="I619" s="1170"/>
      <c r="J619" s="1170"/>
      <c r="K619" s="1170"/>
      <c r="L619" s="153">
        <f t="shared" si="55"/>
        <v>0</v>
      </c>
      <c r="M619" s="154">
        <f t="shared" si="56"/>
        <v>0</v>
      </c>
      <c r="N619" s="155">
        <f>+IF(OR($Q619=Parametres!$G$2,$Q619=Parametres!$G$3),I619,C619)</f>
        <v>0</v>
      </c>
      <c r="O619" s="1108">
        <f>+IF(OR($Q619=Parametres!$G$2,$Q619=Parametres!$G$3),J619,D619)</f>
        <v>0</v>
      </c>
      <c r="P619" s="155">
        <f>+IF(OR($Q619=Parametres!$G$2,$Q619=Parametres!$G$3),K619,E619)</f>
        <v>0</v>
      </c>
      <c r="Q619" s="154">
        <f t="shared" si="57"/>
        <v>0</v>
      </c>
      <c r="R619" s="153">
        <f t="shared" si="58"/>
        <v>0</v>
      </c>
      <c r="S619" s="154">
        <f t="shared" si="5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hidden="1" customHeight="1">
      <c r="A620" s="1168"/>
      <c r="B620" s="1168"/>
      <c r="C620" s="1174"/>
      <c r="D620" s="1174"/>
      <c r="E620" s="1174"/>
      <c r="F620" s="1168"/>
      <c r="G620" s="1168"/>
      <c r="H620" s="1168"/>
      <c r="I620" s="1170"/>
      <c r="J620" s="1170"/>
      <c r="K620" s="1170"/>
      <c r="L620" s="153">
        <f t="shared" si="55"/>
        <v>0</v>
      </c>
      <c r="M620" s="154">
        <f t="shared" si="56"/>
        <v>0</v>
      </c>
      <c r="N620" s="155">
        <f>+IF(OR($Q620=Parametres!$G$2,$Q620=Parametres!$G$3),I620,C620)</f>
        <v>0</v>
      </c>
      <c r="O620" s="1108">
        <f>+IF(OR($Q620=Parametres!$G$2,$Q620=Parametres!$G$3),J620,D620)</f>
        <v>0</v>
      </c>
      <c r="P620" s="155">
        <f>+IF(OR($Q620=Parametres!$G$2,$Q620=Parametres!$G$3),K620,E620)</f>
        <v>0</v>
      </c>
      <c r="Q620" s="154">
        <f t="shared" si="57"/>
        <v>0</v>
      </c>
      <c r="R620" s="153">
        <f t="shared" si="58"/>
        <v>0</v>
      </c>
      <c r="S620" s="154">
        <f t="shared" si="5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hidden="1" customHeight="1">
      <c r="A621" s="1168"/>
      <c r="B621" s="1168"/>
      <c r="C621" s="1174"/>
      <c r="D621" s="1174"/>
      <c r="E621" s="1174"/>
      <c r="F621" s="1168"/>
      <c r="G621" s="1168"/>
      <c r="H621" s="1168"/>
      <c r="I621" s="1170"/>
      <c r="J621" s="1170"/>
      <c r="K621" s="1170"/>
      <c r="L621" s="153">
        <f t="shared" si="55"/>
        <v>0</v>
      </c>
      <c r="M621" s="154">
        <f t="shared" si="56"/>
        <v>0</v>
      </c>
      <c r="N621" s="155">
        <f>+IF(OR($Q621=Parametres!$G$2,$Q621=Parametres!$G$3),I621,C621)</f>
        <v>0</v>
      </c>
      <c r="O621" s="1108">
        <f>+IF(OR($Q621=Parametres!$G$2,$Q621=Parametres!$G$3),J621,D621)</f>
        <v>0</v>
      </c>
      <c r="P621" s="155">
        <f>+IF(OR($Q621=Parametres!$G$2,$Q621=Parametres!$G$3),K621,E621)</f>
        <v>0</v>
      </c>
      <c r="Q621" s="154">
        <f t="shared" si="57"/>
        <v>0</v>
      </c>
      <c r="R621" s="153">
        <f t="shared" si="58"/>
        <v>0</v>
      </c>
      <c r="S621" s="154">
        <f t="shared" si="5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hidden="1" customHeight="1">
      <c r="A622" s="1168"/>
      <c r="B622" s="1168"/>
      <c r="C622" s="1174"/>
      <c r="D622" s="1174"/>
      <c r="E622" s="1174"/>
      <c r="F622" s="1168"/>
      <c r="G622" s="1168"/>
      <c r="H622" s="1168"/>
      <c r="I622" s="1170"/>
      <c r="J622" s="1170"/>
      <c r="K622" s="1170"/>
      <c r="L622" s="153">
        <f t="shared" si="55"/>
        <v>0</v>
      </c>
      <c r="M622" s="154">
        <f t="shared" si="56"/>
        <v>0</v>
      </c>
      <c r="N622" s="155">
        <f>+IF(OR($Q622=Parametres!$G$2,$Q622=Parametres!$G$3),I622,C622)</f>
        <v>0</v>
      </c>
      <c r="O622" s="1108">
        <f>+IF(OR($Q622=Parametres!$G$2,$Q622=Parametres!$G$3),J622,D622)</f>
        <v>0</v>
      </c>
      <c r="P622" s="155">
        <f>+IF(OR($Q622=Parametres!$G$2,$Q622=Parametres!$G$3),K622,E622)</f>
        <v>0</v>
      </c>
      <c r="Q622" s="154">
        <f t="shared" si="57"/>
        <v>0</v>
      </c>
      <c r="R622" s="153">
        <f t="shared" si="58"/>
        <v>0</v>
      </c>
      <c r="S622" s="154">
        <f t="shared" si="5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hidden="1" customHeight="1">
      <c r="A623" s="1168"/>
      <c r="B623" s="1168"/>
      <c r="C623" s="1174"/>
      <c r="D623" s="1174"/>
      <c r="E623" s="1174"/>
      <c r="F623" s="1168"/>
      <c r="G623" s="1168"/>
      <c r="H623" s="1168"/>
      <c r="I623" s="1170"/>
      <c r="J623" s="1170"/>
      <c r="K623" s="1170"/>
      <c r="L623" s="153">
        <f t="shared" si="55"/>
        <v>0</v>
      </c>
      <c r="M623" s="154">
        <f t="shared" si="56"/>
        <v>0</v>
      </c>
      <c r="N623" s="155">
        <f>+IF(OR($Q623=Parametres!$G$2,$Q623=Parametres!$G$3),I623,C623)</f>
        <v>0</v>
      </c>
      <c r="O623" s="1108">
        <f>+IF(OR($Q623=Parametres!$G$2,$Q623=Parametres!$G$3),J623,D623)</f>
        <v>0</v>
      </c>
      <c r="P623" s="155">
        <f>+IF(OR($Q623=Parametres!$G$2,$Q623=Parametres!$G$3),K623,E623)</f>
        <v>0</v>
      </c>
      <c r="Q623" s="154">
        <f t="shared" si="57"/>
        <v>0</v>
      </c>
      <c r="R623" s="153">
        <f t="shared" si="58"/>
        <v>0</v>
      </c>
      <c r="S623" s="154">
        <f t="shared" si="5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hidden="1" customHeight="1">
      <c r="A624" s="1168"/>
      <c r="B624" s="1168"/>
      <c r="C624" s="1174"/>
      <c r="D624" s="1174"/>
      <c r="E624" s="1174"/>
      <c r="F624" s="1168"/>
      <c r="G624" s="1168"/>
      <c r="H624" s="1168"/>
      <c r="I624" s="1170"/>
      <c r="J624" s="1170"/>
      <c r="K624" s="1170"/>
      <c r="L624" s="153">
        <f t="shared" si="55"/>
        <v>0</v>
      </c>
      <c r="M624" s="154">
        <f t="shared" si="56"/>
        <v>0</v>
      </c>
      <c r="N624" s="155">
        <f>+IF(OR($Q624=Parametres!$G$2,$Q624=Parametres!$G$3),I624,C624)</f>
        <v>0</v>
      </c>
      <c r="O624" s="1108">
        <f>+IF(OR($Q624=Parametres!$G$2,$Q624=Parametres!$G$3),J624,D624)</f>
        <v>0</v>
      </c>
      <c r="P624" s="155">
        <f>+IF(OR($Q624=Parametres!$G$2,$Q624=Parametres!$G$3),K624,E624)</f>
        <v>0</v>
      </c>
      <c r="Q624" s="154">
        <f t="shared" si="57"/>
        <v>0</v>
      </c>
      <c r="R624" s="153">
        <f t="shared" si="58"/>
        <v>0</v>
      </c>
      <c r="S624" s="154">
        <f t="shared" si="5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hidden="1" customHeight="1">
      <c r="A625" s="1168"/>
      <c r="B625" s="1168"/>
      <c r="C625" s="1174"/>
      <c r="D625" s="1174"/>
      <c r="E625" s="1174"/>
      <c r="F625" s="1168"/>
      <c r="G625" s="1168"/>
      <c r="H625" s="1168"/>
      <c r="I625" s="1170"/>
      <c r="J625" s="1170"/>
      <c r="K625" s="1170"/>
      <c r="L625" s="153">
        <f t="shared" si="55"/>
        <v>0</v>
      </c>
      <c r="M625" s="154">
        <f t="shared" si="56"/>
        <v>0</v>
      </c>
      <c r="N625" s="155">
        <f>+IF(OR($Q625=Parametres!$G$2,$Q625=Parametres!$G$3),I625,C625)</f>
        <v>0</v>
      </c>
      <c r="O625" s="1108">
        <f>+IF(OR($Q625=Parametres!$G$2,$Q625=Parametres!$G$3),J625,D625)</f>
        <v>0</v>
      </c>
      <c r="P625" s="155">
        <f>+IF(OR($Q625=Parametres!$G$2,$Q625=Parametres!$G$3),K625,E625)</f>
        <v>0</v>
      </c>
      <c r="Q625" s="154">
        <f t="shared" si="57"/>
        <v>0</v>
      </c>
      <c r="R625" s="153">
        <f t="shared" si="58"/>
        <v>0</v>
      </c>
      <c r="S625" s="154">
        <f t="shared" si="5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hidden="1" customHeight="1">
      <c r="A626" s="1168"/>
      <c r="B626" s="1168"/>
      <c r="C626" s="1174"/>
      <c r="D626" s="1174"/>
      <c r="E626" s="1174"/>
      <c r="F626" s="1168"/>
      <c r="G626" s="1168"/>
      <c r="H626" s="1168"/>
      <c r="I626" s="1170"/>
      <c r="J626" s="1170"/>
      <c r="K626" s="1170"/>
      <c r="L626" s="153">
        <f t="shared" si="55"/>
        <v>0</v>
      </c>
      <c r="M626" s="154">
        <f t="shared" si="56"/>
        <v>0</v>
      </c>
      <c r="N626" s="155">
        <f>+IF(OR($Q626=Parametres!$G$2,$Q626=Parametres!$G$3),I626,C626)</f>
        <v>0</v>
      </c>
      <c r="O626" s="1108">
        <f>+IF(OR($Q626=Parametres!$G$2,$Q626=Parametres!$G$3),J626,D626)</f>
        <v>0</v>
      </c>
      <c r="P626" s="155">
        <f>+IF(OR($Q626=Parametres!$G$2,$Q626=Parametres!$G$3),K626,E626)</f>
        <v>0</v>
      </c>
      <c r="Q626" s="154">
        <f t="shared" si="57"/>
        <v>0</v>
      </c>
      <c r="R626" s="153">
        <f t="shared" si="58"/>
        <v>0</v>
      </c>
      <c r="S626" s="154">
        <f t="shared" si="5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hidden="1" customHeight="1">
      <c r="A627" s="1168"/>
      <c r="B627" s="1168"/>
      <c r="C627" s="1174"/>
      <c r="D627" s="1174"/>
      <c r="E627" s="1174"/>
      <c r="F627" s="1168"/>
      <c r="G627" s="1168"/>
      <c r="H627" s="1168"/>
      <c r="I627" s="1170"/>
      <c r="J627" s="1170"/>
      <c r="K627" s="1170"/>
      <c r="L627" s="153">
        <f t="shared" si="55"/>
        <v>0</v>
      </c>
      <c r="M627" s="154">
        <f t="shared" si="56"/>
        <v>0</v>
      </c>
      <c r="N627" s="155">
        <f>+IF(OR($Q627=Parametres!$G$2,$Q627=Parametres!$G$3),I627,C627)</f>
        <v>0</v>
      </c>
      <c r="O627" s="1108">
        <f>+IF(OR($Q627=Parametres!$G$2,$Q627=Parametres!$G$3),J627,D627)</f>
        <v>0</v>
      </c>
      <c r="P627" s="155">
        <f>+IF(OR($Q627=Parametres!$G$2,$Q627=Parametres!$G$3),K627,E627)</f>
        <v>0</v>
      </c>
      <c r="Q627" s="154">
        <f t="shared" si="57"/>
        <v>0</v>
      </c>
      <c r="R627" s="153">
        <f t="shared" si="58"/>
        <v>0</v>
      </c>
      <c r="S627" s="154">
        <f t="shared" si="5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hidden="1" customHeight="1">
      <c r="A628" s="1168"/>
      <c r="B628" s="1168"/>
      <c r="C628" s="1174"/>
      <c r="D628" s="1174"/>
      <c r="E628" s="1174"/>
      <c r="F628" s="1168"/>
      <c r="G628" s="1168"/>
      <c r="H628" s="1168"/>
      <c r="I628" s="1170"/>
      <c r="J628" s="1170"/>
      <c r="K628" s="1170"/>
      <c r="L628" s="153">
        <f t="shared" si="55"/>
        <v>0</v>
      </c>
      <c r="M628" s="154">
        <f t="shared" si="56"/>
        <v>0</v>
      </c>
      <c r="N628" s="155">
        <f>+IF(OR($Q628=Parametres!$G$2,$Q628=Parametres!$G$3),I628,C628)</f>
        <v>0</v>
      </c>
      <c r="O628" s="1108">
        <f>+IF(OR($Q628=Parametres!$G$2,$Q628=Parametres!$G$3),J628,D628)</f>
        <v>0</v>
      </c>
      <c r="P628" s="155">
        <f>+IF(OR($Q628=Parametres!$G$2,$Q628=Parametres!$G$3),K628,E628)</f>
        <v>0</v>
      </c>
      <c r="Q628" s="154">
        <f t="shared" si="57"/>
        <v>0</v>
      </c>
      <c r="R628" s="153">
        <f t="shared" si="58"/>
        <v>0</v>
      </c>
      <c r="S628" s="154">
        <f t="shared" si="5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hidden="1" customHeight="1">
      <c r="A629" s="1168"/>
      <c r="B629" s="1168"/>
      <c r="C629" s="1174"/>
      <c r="D629" s="1174"/>
      <c r="E629" s="1174"/>
      <c r="F629" s="1168"/>
      <c r="G629" s="1168"/>
      <c r="H629" s="1168"/>
      <c r="I629" s="1170"/>
      <c r="J629" s="1170"/>
      <c r="K629" s="1170"/>
      <c r="L629" s="153">
        <f t="shared" si="55"/>
        <v>0</v>
      </c>
      <c r="M629" s="154">
        <f t="shared" si="56"/>
        <v>0</v>
      </c>
      <c r="N629" s="155">
        <f>+IF(OR($Q629=Parametres!$G$2,$Q629=Parametres!$G$3),I629,C629)</f>
        <v>0</v>
      </c>
      <c r="O629" s="1108">
        <f>+IF(OR($Q629=Parametres!$G$2,$Q629=Parametres!$G$3),J629,D629)</f>
        <v>0</v>
      </c>
      <c r="P629" s="155">
        <f>+IF(OR($Q629=Parametres!$G$2,$Q629=Parametres!$G$3),K629,E629)</f>
        <v>0</v>
      </c>
      <c r="Q629" s="154">
        <f t="shared" si="57"/>
        <v>0</v>
      </c>
      <c r="R629" s="153">
        <f t="shared" si="58"/>
        <v>0</v>
      </c>
      <c r="S629" s="154">
        <f t="shared" si="5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hidden="1" customHeight="1">
      <c r="A630" s="1168"/>
      <c r="B630" s="1168"/>
      <c r="C630" s="1174"/>
      <c r="D630" s="1174"/>
      <c r="E630" s="1174"/>
      <c r="F630" s="1168"/>
      <c r="G630" s="1168"/>
      <c r="H630" s="1168"/>
      <c r="I630" s="1170"/>
      <c r="J630" s="1170"/>
      <c r="K630" s="1170"/>
      <c r="L630" s="153">
        <f t="shared" si="55"/>
        <v>0</v>
      </c>
      <c r="M630" s="154">
        <f t="shared" si="56"/>
        <v>0</v>
      </c>
      <c r="N630" s="155">
        <f>+IF(OR($Q630=Parametres!$G$2,$Q630=Parametres!$G$3),I630,C630)</f>
        <v>0</v>
      </c>
      <c r="O630" s="1108">
        <f>+IF(OR($Q630=Parametres!$G$2,$Q630=Parametres!$G$3),J630,D630)</f>
        <v>0</v>
      </c>
      <c r="P630" s="155">
        <f>+IF(OR($Q630=Parametres!$G$2,$Q630=Parametres!$G$3),K630,E630)</f>
        <v>0</v>
      </c>
      <c r="Q630" s="154">
        <f t="shared" si="57"/>
        <v>0</v>
      </c>
      <c r="R630" s="153">
        <f t="shared" si="58"/>
        <v>0</v>
      </c>
      <c r="S630" s="154">
        <f t="shared" si="5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hidden="1" customHeight="1">
      <c r="A631" s="1168"/>
      <c r="B631" s="1168"/>
      <c r="C631" s="1174"/>
      <c r="D631" s="1174"/>
      <c r="E631" s="1174"/>
      <c r="F631" s="1168"/>
      <c r="G631" s="1168"/>
      <c r="H631" s="1168"/>
      <c r="I631" s="1170"/>
      <c r="J631" s="1170"/>
      <c r="K631" s="1170"/>
      <c r="L631" s="153">
        <f t="shared" si="55"/>
        <v>0</v>
      </c>
      <c r="M631" s="154">
        <f t="shared" si="56"/>
        <v>0</v>
      </c>
      <c r="N631" s="155">
        <f>+IF(OR($Q631=Parametres!$G$2,$Q631=Parametres!$G$3),I631,C631)</f>
        <v>0</v>
      </c>
      <c r="O631" s="1108">
        <f>+IF(OR($Q631=Parametres!$G$2,$Q631=Parametres!$G$3),J631,D631)</f>
        <v>0</v>
      </c>
      <c r="P631" s="155">
        <f>+IF(OR($Q631=Parametres!$G$2,$Q631=Parametres!$G$3),K631,E631)</f>
        <v>0</v>
      </c>
      <c r="Q631" s="154">
        <f t="shared" si="57"/>
        <v>0</v>
      </c>
      <c r="R631" s="153">
        <f t="shared" si="58"/>
        <v>0</v>
      </c>
      <c r="S631" s="154">
        <f t="shared" si="5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hidden="1" customHeight="1">
      <c r="A632" s="1168"/>
      <c r="B632" s="1168"/>
      <c r="C632" s="1174"/>
      <c r="D632" s="1174"/>
      <c r="E632" s="1174"/>
      <c r="F632" s="1168"/>
      <c r="G632" s="1168"/>
      <c r="H632" s="1168"/>
      <c r="I632" s="1170"/>
      <c r="J632" s="1170"/>
      <c r="K632" s="1170"/>
      <c r="L632" s="153">
        <f t="shared" si="55"/>
        <v>0</v>
      </c>
      <c r="M632" s="154">
        <f t="shared" si="56"/>
        <v>0</v>
      </c>
      <c r="N632" s="155">
        <f>+IF(OR($Q632=Parametres!$G$2,$Q632=Parametres!$G$3),I632,C632)</f>
        <v>0</v>
      </c>
      <c r="O632" s="1108">
        <f>+IF(OR($Q632=Parametres!$G$2,$Q632=Parametres!$G$3),J632,D632)</f>
        <v>0</v>
      </c>
      <c r="P632" s="155">
        <f>+IF(OR($Q632=Parametres!$G$2,$Q632=Parametres!$G$3),K632,E632)</f>
        <v>0</v>
      </c>
      <c r="Q632" s="154">
        <f t="shared" si="57"/>
        <v>0</v>
      </c>
      <c r="R632" s="153">
        <f t="shared" si="58"/>
        <v>0</v>
      </c>
      <c r="S632" s="154">
        <f t="shared" si="5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hidden="1" customHeight="1">
      <c r="A633" s="1168"/>
      <c r="B633" s="1168"/>
      <c r="C633" s="1174"/>
      <c r="D633" s="1174"/>
      <c r="E633" s="1174"/>
      <c r="F633" s="1168"/>
      <c r="G633" s="1168"/>
      <c r="H633" s="1168"/>
      <c r="I633" s="1170"/>
      <c r="J633" s="1170"/>
      <c r="K633" s="1170"/>
      <c r="L633" s="153">
        <f t="shared" si="55"/>
        <v>0</v>
      </c>
      <c r="M633" s="154">
        <f t="shared" si="56"/>
        <v>0</v>
      </c>
      <c r="N633" s="155">
        <f>+IF(OR($Q633=Parametres!$G$2,$Q633=Parametres!$G$3),I633,C633)</f>
        <v>0</v>
      </c>
      <c r="O633" s="1108">
        <f>+IF(OR($Q633=Parametres!$G$2,$Q633=Parametres!$G$3),J633,D633)</f>
        <v>0</v>
      </c>
      <c r="P633" s="155">
        <f>+IF(OR($Q633=Parametres!$G$2,$Q633=Parametres!$G$3),K633,E633)</f>
        <v>0</v>
      </c>
      <c r="Q633" s="154">
        <f t="shared" si="57"/>
        <v>0</v>
      </c>
      <c r="R633" s="153">
        <f t="shared" si="58"/>
        <v>0</v>
      </c>
      <c r="S633" s="154">
        <f t="shared" si="5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hidden="1" customHeight="1">
      <c r="A634" s="1168"/>
      <c r="B634" s="1168"/>
      <c r="C634" s="1174"/>
      <c r="D634" s="1174"/>
      <c r="E634" s="1174"/>
      <c r="F634" s="1168"/>
      <c r="G634" s="1168"/>
      <c r="H634" s="1168"/>
      <c r="I634" s="1170"/>
      <c r="J634" s="1170"/>
      <c r="K634" s="1170"/>
      <c r="L634" s="153">
        <f t="shared" si="55"/>
        <v>0</v>
      </c>
      <c r="M634" s="154">
        <f t="shared" si="56"/>
        <v>0</v>
      </c>
      <c r="N634" s="155">
        <f>+IF(OR($Q634=Parametres!$G$2,$Q634=Parametres!$G$3),I634,C634)</f>
        <v>0</v>
      </c>
      <c r="O634" s="1108">
        <f>+IF(OR($Q634=Parametres!$G$2,$Q634=Parametres!$G$3),J634,D634)</f>
        <v>0</v>
      </c>
      <c r="P634" s="155">
        <f>+IF(OR($Q634=Parametres!$G$2,$Q634=Parametres!$G$3),K634,E634)</f>
        <v>0</v>
      </c>
      <c r="Q634" s="154">
        <f t="shared" si="57"/>
        <v>0</v>
      </c>
      <c r="R634" s="153">
        <f t="shared" si="58"/>
        <v>0</v>
      </c>
      <c r="S634" s="154">
        <f t="shared" si="5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hidden="1" customHeight="1">
      <c r="A635" s="1168"/>
      <c r="B635" s="1168"/>
      <c r="C635" s="1174"/>
      <c r="D635" s="1174"/>
      <c r="E635" s="1174"/>
      <c r="F635" s="1168"/>
      <c r="G635" s="1168"/>
      <c r="H635" s="1168"/>
      <c r="I635" s="1170"/>
      <c r="J635" s="1170"/>
      <c r="K635" s="1170"/>
      <c r="L635" s="153">
        <f t="shared" si="55"/>
        <v>0</v>
      </c>
      <c r="M635" s="154">
        <f t="shared" si="56"/>
        <v>0</v>
      </c>
      <c r="N635" s="155">
        <f>+IF(OR($Q635=Parametres!$G$2,$Q635=Parametres!$G$3),I635,C635)</f>
        <v>0</v>
      </c>
      <c r="O635" s="1108">
        <f>+IF(OR($Q635=Parametres!$G$2,$Q635=Parametres!$G$3),J635,D635)</f>
        <v>0</v>
      </c>
      <c r="P635" s="155">
        <f>+IF(OR($Q635=Parametres!$G$2,$Q635=Parametres!$G$3),K635,E635)</f>
        <v>0</v>
      </c>
      <c r="Q635" s="154">
        <f t="shared" si="57"/>
        <v>0</v>
      </c>
      <c r="R635" s="153">
        <f t="shared" si="58"/>
        <v>0</v>
      </c>
      <c r="S635" s="154">
        <f t="shared" si="5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hidden="1" customHeight="1">
      <c r="A636" s="1168"/>
      <c r="B636" s="1168"/>
      <c r="C636" s="1174"/>
      <c r="D636" s="1174"/>
      <c r="E636" s="1174"/>
      <c r="F636" s="1168"/>
      <c r="G636" s="1168"/>
      <c r="H636" s="1168"/>
      <c r="I636" s="1170"/>
      <c r="J636" s="1170"/>
      <c r="K636" s="1170"/>
      <c r="L636" s="153">
        <f t="shared" si="55"/>
        <v>0</v>
      </c>
      <c r="M636" s="154">
        <f t="shared" si="56"/>
        <v>0</v>
      </c>
      <c r="N636" s="155">
        <f>+IF(OR($Q636=Parametres!$G$2,$Q636=Parametres!$G$3),I636,C636)</f>
        <v>0</v>
      </c>
      <c r="O636" s="1108">
        <f>+IF(OR($Q636=Parametres!$G$2,$Q636=Parametres!$G$3),J636,D636)</f>
        <v>0</v>
      </c>
      <c r="P636" s="155">
        <f>+IF(OR($Q636=Parametres!$G$2,$Q636=Parametres!$G$3),K636,E636)</f>
        <v>0</v>
      </c>
      <c r="Q636" s="154">
        <f t="shared" si="57"/>
        <v>0</v>
      </c>
      <c r="R636" s="153">
        <f t="shared" si="58"/>
        <v>0</v>
      </c>
      <c r="S636" s="154">
        <f t="shared" si="5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hidden="1" customHeight="1">
      <c r="A637" s="1168"/>
      <c r="B637" s="1168"/>
      <c r="C637" s="1174"/>
      <c r="D637" s="1174"/>
      <c r="E637" s="1174"/>
      <c r="F637" s="1168"/>
      <c r="G637" s="1168"/>
      <c r="H637" s="1168"/>
      <c r="I637" s="1170"/>
      <c r="J637" s="1170"/>
      <c r="K637" s="1170"/>
      <c r="L637" s="153">
        <f t="shared" si="55"/>
        <v>0</v>
      </c>
      <c r="M637" s="154">
        <f t="shared" si="56"/>
        <v>0</v>
      </c>
      <c r="N637" s="155">
        <f>+IF(OR($Q637=Parametres!$G$2,$Q637=Parametres!$G$3),I637,C637)</f>
        <v>0</v>
      </c>
      <c r="O637" s="1108">
        <f>+IF(OR($Q637=Parametres!$G$2,$Q637=Parametres!$G$3),J637,D637)</f>
        <v>0</v>
      </c>
      <c r="P637" s="155">
        <f>+IF(OR($Q637=Parametres!$G$2,$Q637=Parametres!$G$3),K637,E637)</f>
        <v>0</v>
      </c>
      <c r="Q637" s="154">
        <f t="shared" si="57"/>
        <v>0</v>
      </c>
      <c r="R637" s="153">
        <f t="shared" si="58"/>
        <v>0</v>
      </c>
      <c r="S637" s="154">
        <f t="shared" si="5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hidden="1" customHeight="1">
      <c r="A638" s="1168"/>
      <c r="B638" s="1168"/>
      <c r="C638" s="1174"/>
      <c r="D638" s="1174"/>
      <c r="E638" s="1174"/>
      <c r="F638" s="1168"/>
      <c r="G638" s="1168"/>
      <c r="H638" s="1168"/>
      <c r="I638" s="1170"/>
      <c r="J638" s="1170"/>
      <c r="K638" s="1170"/>
      <c r="L638" s="153">
        <f t="shared" si="55"/>
        <v>0</v>
      </c>
      <c r="M638" s="154">
        <f t="shared" si="56"/>
        <v>0</v>
      </c>
      <c r="N638" s="155">
        <f>+IF(OR($Q638=Parametres!$G$2,$Q638=Parametres!$G$3),I638,C638)</f>
        <v>0</v>
      </c>
      <c r="O638" s="1108">
        <f>+IF(OR($Q638=Parametres!$G$2,$Q638=Parametres!$G$3),J638,D638)</f>
        <v>0</v>
      </c>
      <c r="P638" s="155">
        <f>+IF(OR($Q638=Parametres!$G$2,$Q638=Parametres!$G$3),K638,E638)</f>
        <v>0</v>
      </c>
      <c r="Q638" s="154">
        <f t="shared" si="57"/>
        <v>0</v>
      </c>
      <c r="R638" s="153">
        <f t="shared" si="58"/>
        <v>0</v>
      </c>
      <c r="S638" s="154">
        <f t="shared" si="5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hidden="1" customHeight="1">
      <c r="A639" s="1168"/>
      <c r="B639" s="1168"/>
      <c r="C639" s="1174"/>
      <c r="D639" s="1174"/>
      <c r="E639" s="1174"/>
      <c r="F639" s="1168"/>
      <c r="G639" s="1168"/>
      <c r="H639" s="1168"/>
      <c r="I639" s="1170"/>
      <c r="J639" s="1170"/>
      <c r="K639" s="1170"/>
      <c r="L639" s="153">
        <f t="shared" si="55"/>
        <v>0</v>
      </c>
      <c r="M639" s="154">
        <f t="shared" si="56"/>
        <v>0</v>
      </c>
      <c r="N639" s="155">
        <f>+IF(OR($Q639=Parametres!$G$2,$Q639=Parametres!$G$3),I639,C639)</f>
        <v>0</v>
      </c>
      <c r="O639" s="1108">
        <f>+IF(OR($Q639=Parametres!$G$2,$Q639=Parametres!$G$3),J639,D639)</f>
        <v>0</v>
      </c>
      <c r="P639" s="155">
        <f>+IF(OR($Q639=Parametres!$G$2,$Q639=Parametres!$G$3),K639,E639)</f>
        <v>0</v>
      </c>
      <c r="Q639" s="154">
        <f t="shared" si="57"/>
        <v>0</v>
      </c>
      <c r="R639" s="153">
        <f t="shared" si="58"/>
        <v>0</v>
      </c>
      <c r="S639" s="154">
        <f t="shared" si="5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hidden="1" customHeight="1">
      <c r="A640" s="1168"/>
      <c r="B640" s="1168"/>
      <c r="C640" s="1174"/>
      <c r="D640" s="1174"/>
      <c r="E640" s="1174"/>
      <c r="F640" s="1168"/>
      <c r="G640" s="1168"/>
      <c r="H640" s="1168"/>
      <c r="I640" s="1170"/>
      <c r="J640" s="1170"/>
      <c r="K640" s="1170"/>
      <c r="L640" s="153">
        <f t="shared" si="55"/>
        <v>0</v>
      </c>
      <c r="M640" s="154">
        <f t="shared" si="56"/>
        <v>0</v>
      </c>
      <c r="N640" s="155">
        <f>+IF(OR($Q640=Parametres!$G$2,$Q640=Parametres!$G$3),I640,C640)</f>
        <v>0</v>
      </c>
      <c r="O640" s="1108">
        <f>+IF(OR($Q640=Parametres!$G$2,$Q640=Parametres!$G$3),J640,D640)</f>
        <v>0</v>
      </c>
      <c r="P640" s="155">
        <f>+IF(OR($Q640=Parametres!$G$2,$Q640=Parametres!$G$3),K640,E640)</f>
        <v>0</v>
      </c>
      <c r="Q640" s="154">
        <f t="shared" si="57"/>
        <v>0</v>
      </c>
      <c r="R640" s="153">
        <f t="shared" si="58"/>
        <v>0</v>
      </c>
      <c r="S640" s="154">
        <f t="shared" si="5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hidden="1" customHeight="1">
      <c r="A641" s="1168"/>
      <c r="B641" s="1168"/>
      <c r="C641" s="1174"/>
      <c r="D641" s="1174"/>
      <c r="E641" s="1174"/>
      <c r="F641" s="1168"/>
      <c r="G641" s="1168"/>
      <c r="H641" s="1168"/>
      <c r="I641" s="1170"/>
      <c r="J641" s="1170"/>
      <c r="K641" s="1170"/>
      <c r="L641" s="153">
        <f t="shared" si="55"/>
        <v>0</v>
      </c>
      <c r="M641" s="154">
        <f t="shared" si="56"/>
        <v>0</v>
      </c>
      <c r="N641" s="155">
        <f>+IF(OR($Q641=Parametres!$G$2,$Q641=Parametres!$G$3),I641,C641)</f>
        <v>0</v>
      </c>
      <c r="O641" s="1108">
        <f>+IF(OR($Q641=Parametres!$G$2,$Q641=Parametres!$G$3),J641,D641)</f>
        <v>0</v>
      </c>
      <c r="P641" s="155">
        <f>+IF(OR($Q641=Parametres!$G$2,$Q641=Parametres!$G$3),K641,E641)</f>
        <v>0</v>
      </c>
      <c r="Q641" s="154">
        <f t="shared" si="57"/>
        <v>0</v>
      </c>
      <c r="R641" s="153">
        <f t="shared" si="58"/>
        <v>0</v>
      </c>
      <c r="S641" s="154">
        <f t="shared" si="5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hidden="1" customHeight="1">
      <c r="A642" s="1168"/>
      <c r="B642" s="1168"/>
      <c r="C642" s="1174"/>
      <c r="D642" s="1174"/>
      <c r="E642" s="1174"/>
      <c r="F642" s="1168"/>
      <c r="G642" s="1168"/>
      <c r="H642" s="1168"/>
      <c r="I642" s="1170"/>
      <c r="J642" s="1170"/>
      <c r="K642" s="1170"/>
      <c r="L642" s="153">
        <f t="shared" ref="L642:L705" si="60">+B642</f>
        <v>0</v>
      </c>
      <c r="M642" s="154">
        <f t="shared" ref="M642:M705" si="61">+A642</f>
        <v>0</v>
      </c>
      <c r="N642" s="155">
        <f>+IF(OR($Q642=Parametres!$G$2,$Q642=Parametres!$G$3),I642,C642)</f>
        <v>0</v>
      </c>
      <c r="O642" s="1108">
        <f>+IF(OR($Q642=Parametres!$G$2,$Q642=Parametres!$G$3),J642,D642)</f>
        <v>0</v>
      </c>
      <c r="P642" s="155">
        <f>+IF(OR($Q642=Parametres!$G$2,$Q642=Parametres!$G$3),K642,E642)</f>
        <v>0</v>
      </c>
      <c r="Q642" s="154">
        <f t="shared" ref="Q642:Q705" si="62">+F642</f>
        <v>0</v>
      </c>
      <c r="R642" s="153">
        <f t="shared" ref="R642:R705" si="63">+G642</f>
        <v>0</v>
      </c>
      <c r="S642" s="154">
        <f t="shared" ref="S642:S705" si="6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hidden="1" customHeight="1">
      <c r="A643" s="1168"/>
      <c r="B643" s="1168"/>
      <c r="C643" s="1174"/>
      <c r="D643" s="1174"/>
      <c r="E643" s="1174"/>
      <c r="F643" s="1168"/>
      <c r="G643" s="1168"/>
      <c r="H643" s="1168"/>
      <c r="I643" s="1170"/>
      <c r="J643" s="1170"/>
      <c r="K643" s="1170"/>
      <c r="L643" s="153">
        <f t="shared" si="60"/>
        <v>0</v>
      </c>
      <c r="M643" s="154">
        <f t="shared" si="61"/>
        <v>0</v>
      </c>
      <c r="N643" s="155">
        <f>+IF(OR($Q643=Parametres!$G$2,$Q643=Parametres!$G$3),I643,C643)</f>
        <v>0</v>
      </c>
      <c r="O643" s="1108">
        <f>+IF(OR($Q643=Parametres!$G$2,$Q643=Parametres!$G$3),J643,D643)</f>
        <v>0</v>
      </c>
      <c r="P643" s="155">
        <f>+IF(OR($Q643=Parametres!$G$2,$Q643=Parametres!$G$3),K643,E643)</f>
        <v>0</v>
      </c>
      <c r="Q643" s="154">
        <f t="shared" si="62"/>
        <v>0</v>
      </c>
      <c r="R643" s="153">
        <f t="shared" si="63"/>
        <v>0</v>
      </c>
      <c r="S643" s="154">
        <f t="shared" si="6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hidden="1" customHeight="1">
      <c r="A644" s="1168"/>
      <c r="B644" s="1168"/>
      <c r="C644" s="1174"/>
      <c r="D644" s="1174"/>
      <c r="E644" s="1174"/>
      <c r="F644" s="1168"/>
      <c r="G644" s="1168"/>
      <c r="H644" s="1168"/>
      <c r="I644" s="1170"/>
      <c r="J644" s="1170"/>
      <c r="K644" s="1170"/>
      <c r="L644" s="153">
        <f t="shared" si="60"/>
        <v>0</v>
      </c>
      <c r="M644" s="154">
        <f t="shared" si="61"/>
        <v>0</v>
      </c>
      <c r="N644" s="155">
        <f>+IF(OR($Q644=Parametres!$G$2,$Q644=Parametres!$G$3),I644,C644)</f>
        <v>0</v>
      </c>
      <c r="O644" s="1108">
        <f>+IF(OR($Q644=Parametres!$G$2,$Q644=Parametres!$G$3),J644,D644)</f>
        <v>0</v>
      </c>
      <c r="P644" s="155">
        <f>+IF(OR($Q644=Parametres!$G$2,$Q644=Parametres!$G$3),K644,E644)</f>
        <v>0</v>
      </c>
      <c r="Q644" s="154">
        <f t="shared" si="62"/>
        <v>0</v>
      </c>
      <c r="R644" s="153">
        <f t="shared" si="63"/>
        <v>0</v>
      </c>
      <c r="S644" s="154">
        <f t="shared" si="6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hidden="1" customHeight="1">
      <c r="A645" s="1168"/>
      <c r="B645" s="1168"/>
      <c r="C645" s="1174"/>
      <c r="D645" s="1174"/>
      <c r="E645" s="1174"/>
      <c r="F645" s="1168"/>
      <c r="G645" s="1168"/>
      <c r="H645" s="1168"/>
      <c r="I645" s="1170"/>
      <c r="J645" s="1170"/>
      <c r="K645" s="1170"/>
      <c r="L645" s="153">
        <f t="shared" si="60"/>
        <v>0</v>
      </c>
      <c r="M645" s="154">
        <f t="shared" si="61"/>
        <v>0</v>
      </c>
      <c r="N645" s="155">
        <f>+IF(OR($Q645=Parametres!$G$2,$Q645=Parametres!$G$3),I645,C645)</f>
        <v>0</v>
      </c>
      <c r="O645" s="1108">
        <f>+IF(OR($Q645=Parametres!$G$2,$Q645=Parametres!$G$3),J645,D645)</f>
        <v>0</v>
      </c>
      <c r="P645" s="155">
        <f>+IF(OR($Q645=Parametres!$G$2,$Q645=Parametres!$G$3),K645,E645)</f>
        <v>0</v>
      </c>
      <c r="Q645" s="154">
        <f t="shared" si="62"/>
        <v>0</v>
      </c>
      <c r="R645" s="153">
        <f t="shared" si="63"/>
        <v>0</v>
      </c>
      <c r="S645" s="154">
        <f t="shared" si="6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hidden="1" customHeight="1">
      <c r="A646" s="1168"/>
      <c r="B646" s="1168"/>
      <c r="C646" s="1174"/>
      <c r="D646" s="1174"/>
      <c r="E646" s="1174"/>
      <c r="F646" s="1168"/>
      <c r="G646" s="1168"/>
      <c r="H646" s="1168"/>
      <c r="I646" s="1170"/>
      <c r="J646" s="1170"/>
      <c r="K646" s="1170"/>
      <c r="L646" s="153">
        <f t="shared" si="60"/>
        <v>0</v>
      </c>
      <c r="M646" s="154">
        <f t="shared" si="61"/>
        <v>0</v>
      </c>
      <c r="N646" s="155">
        <f>+IF(OR($Q646=Parametres!$G$2,$Q646=Parametres!$G$3),I646,C646)</f>
        <v>0</v>
      </c>
      <c r="O646" s="1108">
        <f>+IF(OR($Q646=Parametres!$G$2,$Q646=Parametres!$G$3),J646,D646)</f>
        <v>0</v>
      </c>
      <c r="P646" s="155">
        <f>+IF(OR($Q646=Parametres!$G$2,$Q646=Parametres!$G$3),K646,E646)</f>
        <v>0</v>
      </c>
      <c r="Q646" s="154">
        <f t="shared" si="62"/>
        <v>0</v>
      </c>
      <c r="R646" s="153">
        <f t="shared" si="63"/>
        <v>0</v>
      </c>
      <c r="S646" s="154">
        <f t="shared" si="6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hidden="1" customHeight="1">
      <c r="A647" s="1168"/>
      <c r="B647" s="1168"/>
      <c r="C647" s="1174"/>
      <c r="D647" s="1174"/>
      <c r="E647" s="1174"/>
      <c r="F647" s="1168"/>
      <c r="G647" s="1168"/>
      <c r="H647" s="1168"/>
      <c r="I647" s="1170"/>
      <c r="J647" s="1170"/>
      <c r="K647" s="1170"/>
      <c r="L647" s="153">
        <f t="shared" si="60"/>
        <v>0</v>
      </c>
      <c r="M647" s="154">
        <f t="shared" si="61"/>
        <v>0</v>
      </c>
      <c r="N647" s="155">
        <f>+IF(OR($Q647=Parametres!$G$2,$Q647=Parametres!$G$3),I647,C647)</f>
        <v>0</v>
      </c>
      <c r="O647" s="1108">
        <f>+IF(OR($Q647=Parametres!$G$2,$Q647=Parametres!$G$3),J647,D647)</f>
        <v>0</v>
      </c>
      <c r="P647" s="155">
        <f>+IF(OR($Q647=Parametres!$G$2,$Q647=Parametres!$G$3),K647,E647)</f>
        <v>0</v>
      </c>
      <c r="Q647" s="154">
        <f t="shared" si="62"/>
        <v>0</v>
      </c>
      <c r="R647" s="153">
        <f t="shared" si="63"/>
        <v>0</v>
      </c>
      <c r="S647" s="154">
        <f t="shared" si="6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hidden="1" customHeight="1">
      <c r="A648" s="1168"/>
      <c r="B648" s="1168"/>
      <c r="C648" s="1174"/>
      <c r="D648" s="1174"/>
      <c r="E648" s="1174"/>
      <c r="F648" s="1168"/>
      <c r="G648" s="1168"/>
      <c r="H648" s="1168"/>
      <c r="I648" s="1170"/>
      <c r="J648" s="1170"/>
      <c r="K648" s="1170"/>
      <c r="L648" s="153">
        <f t="shared" si="60"/>
        <v>0</v>
      </c>
      <c r="M648" s="154">
        <f t="shared" si="61"/>
        <v>0</v>
      </c>
      <c r="N648" s="155">
        <f>+IF(OR($Q648=Parametres!$G$2,$Q648=Parametres!$G$3),I648,C648)</f>
        <v>0</v>
      </c>
      <c r="O648" s="1110">
        <f>+IF(OR($Q648=Parametres!$G$2,$Q648=Parametres!$G$3),J648,D648)</f>
        <v>0</v>
      </c>
      <c r="P648" s="155">
        <f>+IF(OR($Q648=Parametres!$G$2,$Q648=Parametres!$G$3),K648,E648)</f>
        <v>0</v>
      </c>
      <c r="Q648" s="154">
        <f t="shared" si="62"/>
        <v>0</v>
      </c>
      <c r="R648" s="153">
        <f t="shared" si="63"/>
        <v>0</v>
      </c>
      <c r="S648" s="154">
        <f t="shared" si="6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hidden="1" customHeight="1">
      <c r="A649" s="1168"/>
      <c r="B649" s="1168"/>
      <c r="C649" s="1174"/>
      <c r="D649" s="1174"/>
      <c r="E649" s="1174"/>
      <c r="F649" s="1168"/>
      <c r="G649" s="1168"/>
      <c r="H649" s="1168"/>
      <c r="I649" s="1170"/>
      <c r="J649" s="1170"/>
      <c r="K649" s="1170"/>
      <c r="L649" s="153">
        <f t="shared" si="60"/>
        <v>0</v>
      </c>
      <c r="M649" s="154">
        <f t="shared" si="61"/>
        <v>0</v>
      </c>
      <c r="N649" s="155">
        <f>+IF(OR($Q649=Parametres!$G$2,$Q649=Parametres!$G$3),I649,C649)</f>
        <v>0</v>
      </c>
      <c r="O649" s="1108">
        <f>+IF(OR($Q649=Parametres!$G$2,$Q649=Parametres!$G$3),J649,D649)</f>
        <v>0</v>
      </c>
      <c r="P649" s="155">
        <f>+IF(OR($Q649=Parametres!$G$2,$Q649=Parametres!$G$3),K649,E649)</f>
        <v>0</v>
      </c>
      <c r="Q649" s="154">
        <f t="shared" si="62"/>
        <v>0</v>
      </c>
      <c r="R649" s="153">
        <f t="shared" si="63"/>
        <v>0</v>
      </c>
      <c r="S649" s="154">
        <f t="shared" si="6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hidden="1" customHeight="1">
      <c r="A650" s="1168"/>
      <c r="B650" s="1168"/>
      <c r="C650" s="1174"/>
      <c r="D650" s="1174"/>
      <c r="E650" s="1174"/>
      <c r="F650" s="1168"/>
      <c r="G650" s="1168"/>
      <c r="H650" s="1168"/>
      <c r="I650" s="1170"/>
      <c r="J650" s="1170"/>
      <c r="K650" s="1170"/>
      <c r="L650" s="153">
        <f t="shared" si="60"/>
        <v>0</v>
      </c>
      <c r="M650" s="154">
        <f t="shared" si="61"/>
        <v>0</v>
      </c>
      <c r="N650" s="155">
        <f>+IF(OR($Q650=Parametres!$G$2,$Q650=Parametres!$G$3),I650,C650)</f>
        <v>0</v>
      </c>
      <c r="O650" s="1110">
        <f>+IF(OR($Q650=Parametres!$G$2,$Q650=Parametres!$G$3),J650,D650)</f>
        <v>0</v>
      </c>
      <c r="P650" s="155">
        <f>+IF(OR($Q650=Parametres!$G$2,$Q650=Parametres!$G$3),K650,E650)</f>
        <v>0</v>
      </c>
      <c r="Q650" s="154">
        <f t="shared" si="62"/>
        <v>0</v>
      </c>
      <c r="R650" s="153">
        <f t="shared" si="63"/>
        <v>0</v>
      </c>
      <c r="S650" s="154">
        <f t="shared" si="6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hidden="1" customHeight="1">
      <c r="A651" s="1168"/>
      <c r="B651" s="1168"/>
      <c r="C651" s="1174"/>
      <c r="D651" s="1174"/>
      <c r="E651" s="1174"/>
      <c r="F651" s="1168"/>
      <c r="G651" s="1168"/>
      <c r="H651" s="1168"/>
      <c r="I651" s="1170"/>
      <c r="J651" s="1170"/>
      <c r="K651" s="1170"/>
      <c r="L651" s="153">
        <f t="shared" si="60"/>
        <v>0</v>
      </c>
      <c r="M651" s="154">
        <f t="shared" si="61"/>
        <v>0</v>
      </c>
      <c r="N651" s="155">
        <f>+IF(OR($Q651=Parametres!$G$2,$Q651=Parametres!$G$3),I651,C651)</f>
        <v>0</v>
      </c>
      <c r="O651" s="1108">
        <f>+IF(OR($Q651=Parametres!$G$2,$Q651=Parametres!$G$3),J651,D651)</f>
        <v>0</v>
      </c>
      <c r="P651" s="155">
        <f>+IF(OR($Q651=Parametres!$G$2,$Q651=Parametres!$G$3),K651,E651)</f>
        <v>0</v>
      </c>
      <c r="Q651" s="154">
        <f t="shared" si="62"/>
        <v>0</v>
      </c>
      <c r="R651" s="153">
        <f t="shared" si="63"/>
        <v>0</v>
      </c>
      <c r="S651" s="154">
        <f t="shared" si="6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hidden="1" customHeight="1">
      <c r="A652" s="1168"/>
      <c r="B652" s="1168"/>
      <c r="C652" s="1174"/>
      <c r="D652" s="1174"/>
      <c r="E652" s="1174"/>
      <c r="F652" s="1168"/>
      <c r="G652" s="1168"/>
      <c r="H652" s="1168"/>
      <c r="I652" s="1170"/>
      <c r="J652" s="1170"/>
      <c r="K652" s="1170"/>
      <c r="L652" s="153">
        <f t="shared" si="60"/>
        <v>0</v>
      </c>
      <c r="M652" s="154">
        <f t="shared" si="61"/>
        <v>0</v>
      </c>
      <c r="N652" s="155">
        <f>+IF(OR($Q652=Parametres!$G$2,$Q652=Parametres!$G$3),I652,C652)</f>
        <v>0</v>
      </c>
      <c r="O652" s="1110">
        <f>+IF(OR($Q652=Parametres!$G$2,$Q652=Parametres!$G$3),J652,D652)</f>
        <v>0</v>
      </c>
      <c r="P652" s="155">
        <f>+IF(OR($Q652=Parametres!$G$2,$Q652=Parametres!$G$3),K652,E652)</f>
        <v>0</v>
      </c>
      <c r="Q652" s="154">
        <f t="shared" si="62"/>
        <v>0</v>
      </c>
      <c r="R652" s="153">
        <f t="shared" si="63"/>
        <v>0</v>
      </c>
      <c r="S652" s="154">
        <f t="shared" si="6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hidden="1" customHeight="1">
      <c r="A653" s="1168"/>
      <c r="B653" s="1168"/>
      <c r="C653" s="1174"/>
      <c r="D653" s="1174"/>
      <c r="E653" s="1174"/>
      <c r="F653" s="1168"/>
      <c r="G653" s="1168"/>
      <c r="H653" s="1168"/>
      <c r="I653" s="1170"/>
      <c r="J653" s="1170"/>
      <c r="K653" s="1170"/>
      <c r="L653" s="153">
        <f t="shared" si="60"/>
        <v>0</v>
      </c>
      <c r="M653" s="154">
        <f t="shared" si="61"/>
        <v>0</v>
      </c>
      <c r="N653" s="155">
        <f>+IF(OR($Q653=Parametres!$G$2,$Q653=Parametres!$G$3),I653,C653)</f>
        <v>0</v>
      </c>
      <c r="O653" s="1108">
        <f>+IF(OR($Q653=Parametres!$G$2,$Q653=Parametres!$G$3),J653,D653)</f>
        <v>0</v>
      </c>
      <c r="P653" s="155">
        <f>+IF(OR($Q653=Parametres!$G$2,$Q653=Parametres!$G$3),K653,E653)</f>
        <v>0</v>
      </c>
      <c r="Q653" s="154">
        <f t="shared" si="62"/>
        <v>0</v>
      </c>
      <c r="R653" s="153">
        <f t="shared" si="63"/>
        <v>0</v>
      </c>
      <c r="S653" s="154">
        <f t="shared" si="6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hidden="1" customHeight="1">
      <c r="A654" s="1168"/>
      <c r="B654" s="1168"/>
      <c r="C654" s="1174"/>
      <c r="D654" s="1174"/>
      <c r="E654" s="1174"/>
      <c r="F654" s="1168"/>
      <c r="G654" s="1168"/>
      <c r="H654" s="1168"/>
      <c r="I654" s="1170"/>
      <c r="J654" s="1170"/>
      <c r="K654" s="1170"/>
      <c r="L654" s="153">
        <f t="shared" si="60"/>
        <v>0</v>
      </c>
      <c r="M654" s="154">
        <f t="shared" si="61"/>
        <v>0</v>
      </c>
      <c r="N654" s="155">
        <f>+IF(OR($Q654=Parametres!$G$2,$Q654=Parametres!$G$3),I654,C654)</f>
        <v>0</v>
      </c>
      <c r="O654" s="1110">
        <f>+IF(OR($Q654=Parametres!$G$2,$Q654=Parametres!$G$3),J654,D654)</f>
        <v>0</v>
      </c>
      <c r="P654" s="155">
        <f>+IF(OR($Q654=Parametres!$G$2,$Q654=Parametres!$G$3),K654,E654)</f>
        <v>0</v>
      </c>
      <c r="Q654" s="154">
        <f t="shared" si="62"/>
        <v>0</v>
      </c>
      <c r="R654" s="153">
        <f t="shared" si="63"/>
        <v>0</v>
      </c>
      <c r="S654" s="154">
        <f t="shared" si="6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hidden="1" customHeight="1">
      <c r="A655" s="1168"/>
      <c r="B655" s="1168"/>
      <c r="C655" s="1174"/>
      <c r="D655" s="1174"/>
      <c r="E655" s="1174"/>
      <c r="F655" s="1168"/>
      <c r="G655" s="1168"/>
      <c r="H655" s="1168"/>
      <c r="I655" s="1170"/>
      <c r="J655" s="1170"/>
      <c r="K655" s="1170"/>
      <c r="L655" s="153">
        <f t="shared" si="60"/>
        <v>0</v>
      </c>
      <c r="M655" s="154">
        <f t="shared" si="61"/>
        <v>0</v>
      </c>
      <c r="N655" s="155">
        <f>+IF(OR($Q655=Parametres!$G$2,$Q655=Parametres!$G$3),I655,C655)</f>
        <v>0</v>
      </c>
      <c r="O655" s="1110">
        <f>+IF(OR($Q655=Parametres!$G$2,$Q655=Parametres!$G$3),J655,D655)</f>
        <v>0</v>
      </c>
      <c r="P655" s="155">
        <f>+IF(OR($Q655=Parametres!$G$2,$Q655=Parametres!$G$3),K655,E655)</f>
        <v>0</v>
      </c>
      <c r="Q655" s="154">
        <f t="shared" si="62"/>
        <v>0</v>
      </c>
      <c r="R655" s="153">
        <f t="shared" si="63"/>
        <v>0</v>
      </c>
      <c r="S655" s="154">
        <f t="shared" si="6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hidden="1" customHeight="1">
      <c r="A656" s="1168"/>
      <c r="B656" s="1168"/>
      <c r="C656" s="1174"/>
      <c r="D656" s="1174"/>
      <c r="E656" s="1174"/>
      <c r="F656" s="1168"/>
      <c r="G656" s="1168"/>
      <c r="H656" s="1168"/>
      <c r="I656" s="1170"/>
      <c r="J656" s="1170"/>
      <c r="K656" s="1170"/>
      <c r="L656" s="153">
        <f t="shared" si="60"/>
        <v>0</v>
      </c>
      <c r="M656" s="154">
        <f t="shared" si="61"/>
        <v>0</v>
      </c>
      <c r="N656" s="155">
        <f>+IF(OR($Q656=Parametres!$G$2,$Q656=Parametres!$G$3),I656,C656)</f>
        <v>0</v>
      </c>
      <c r="O656" s="1110">
        <f>+IF(OR($Q656=Parametres!$G$2,$Q656=Parametres!$G$3),J656,D656)</f>
        <v>0</v>
      </c>
      <c r="P656" s="155">
        <f>+IF(OR($Q656=Parametres!$G$2,$Q656=Parametres!$G$3),K656,E656)</f>
        <v>0</v>
      </c>
      <c r="Q656" s="154">
        <f t="shared" si="62"/>
        <v>0</v>
      </c>
      <c r="R656" s="153">
        <f t="shared" si="63"/>
        <v>0</v>
      </c>
      <c r="S656" s="154">
        <f t="shared" si="6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hidden="1" customHeight="1">
      <c r="A657" s="1168"/>
      <c r="B657" s="1168"/>
      <c r="C657" s="1174"/>
      <c r="D657" s="1174"/>
      <c r="E657" s="1174"/>
      <c r="F657" s="1168"/>
      <c r="G657" s="1168"/>
      <c r="H657" s="1168"/>
      <c r="I657" s="1170"/>
      <c r="J657" s="1170"/>
      <c r="K657" s="1170"/>
      <c r="L657" s="153">
        <f t="shared" si="60"/>
        <v>0</v>
      </c>
      <c r="M657" s="154">
        <f t="shared" si="61"/>
        <v>0</v>
      </c>
      <c r="N657" s="155">
        <f>+IF(OR($Q657=Parametres!$G$2,$Q657=Parametres!$G$3),I657,C657)</f>
        <v>0</v>
      </c>
      <c r="O657" s="1110">
        <f>+IF(OR($Q657=Parametres!$G$2,$Q657=Parametres!$G$3),J657,D657)</f>
        <v>0</v>
      </c>
      <c r="P657" s="155">
        <f>+IF(OR($Q657=Parametres!$G$2,$Q657=Parametres!$G$3),K657,E657)</f>
        <v>0</v>
      </c>
      <c r="Q657" s="154">
        <f t="shared" si="62"/>
        <v>0</v>
      </c>
      <c r="R657" s="153">
        <f t="shared" si="63"/>
        <v>0</v>
      </c>
      <c r="S657" s="154">
        <f t="shared" si="6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hidden="1" customHeight="1">
      <c r="A658" s="1168"/>
      <c r="B658" s="1168"/>
      <c r="C658" s="1174"/>
      <c r="D658" s="1174"/>
      <c r="E658" s="1174"/>
      <c r="F658" s="1168"/>
      <c r="G658" s="1168"/>
      <c r="H658" s="1168"/>
      <c r="I658" s="1170"/>
      <c r="J658" s="1170"/>
      <c r="K658" s="1170"/>
      <c r="L658" s="153">
        <f t="shared" si="60"/>
        <v>0</v>
      </c>
      <c r="M658" s="154">
        <f t="shared" si="61"/>
        <v>0</v>
      </c>
      <c r="N658" s="155">
        <f>+IF(OR($Q658=Parametres!$G$2,$Q658=Parametres!$G$3),I658,C658)</f>
        <v>0</v>
      </c>
      <c r="O658" s="1108">
        <f>+IF(OR($Q658=Parametres!$G$2,$Q658=Parametres!$G$3),J658,D658)</f>
        <v>0</v>
      </c>
      <c r="P658" s="155">
        <f>+IF(OR($Q658=Parametres!$G$2,$Q658=Parametres!$G$3),K658,E658)</f>
        <v>0</v>
      </c>
      <c r="Q658" s="154">
        <f t="shared" si="62"/>
        <v>0</v>
      </c>
      <c r="R658" s="153">
        <f t="shared" si="63"/>
        <v>0</v>
      </c>
      <c r="S658" s="154">
        <f t="shared" si="6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hidden="1" customHeight="1">
      <c r="A659" s="1168"/>
      <c r="B659" s="1168"/>
      <c r="C659" s="1174"/>
      <c r="D659" s="1174"/>
      <c r="E659" s="1174"/>
      <c r="F659" s="1168"/>
      <c r="G659" s="1168"/>
      <c r="H659" s="1168"/>
      <c r="I659" s="1170"/>
      <c r="J659" s="1170"/>
      <c r="K659" s="1170"/>
      <c r="L659" s="153">
        <f t="shared" si="60"/>
        <v>0</v>
      </c>
      <c r="M659" s="154">
        <f t="shared" si="61"/>
        <v>0</v>
      </c>
      <c r="N659" s="155">
        <f>+IF(OR($Q659=Parametres!$G$2,$Q659=Parametres!$G$3),I659,C659)</f>
        <v>0</v>
      </c>
      <c r="O659" s="1108">
        <f>+IF(OR($Q659=Parametres!$G$2,$Q659=Parametres!$G$3),J659,D659)</f>
        <v>0</v>
      </c>
      <c r="P659" s="155">
        <f>+IF(OR($Q659=Parametres!$G$2,$Q659=Parametres!$G$3),K659,E659)</f>
        <v>0</v>
      </c>
      <c r="Q659" s="154">
        <f t="shared" si="62"/>
        <v>0</v>
      </c>
      <c r="R659" s="153">
        <f t="shared" si="63"/>
        <v>0</v>
      </c>
      <c r="S659" s="154">
        <f t="shared" si="6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hidden="1" customHeight="1">
      <c r="A660" s="1168"/>
      <c r="B660" s="1168"/>
      <c r="C660" s="1174"/>
      <c r="D660" s="1174"/>
      <c r="E660" s="1174"/>
      <c r="F660" s="1168"/>
      <c r="G660" s="1168"/>
      <c r="H660" s="1168"/>
      <c r="I660" s="1170"/>
      <c r="J660" s="1170"/>
      <c r="K660" s="1170"/>
      <c r="L660" s="153">
        <f t="shared" si="60"/>
        <v>0</v>
      </c>
      <c r="M660" s="154">
        <f t="shared" si="61"/>
        <v>0</v>
      </c>
      <c r="N660" s="155">
        <f>+IF(OR($Q660=Parametres!$G$2,$Q660=Parametres!$G$3),I660,C660)</f>
        <v>0</v>
      </c>
      <c r="O660" s="1108">
        <f>+IF(OR($Q660=Parametres!$G$2,$Q660=Parametres!$G$3),J660,D660)</f>
        <v>0</v>
      </c>
      <c r="P660" s="155">
        <f>+IF(OR($Q660=Parametres!$G$2,$Q660=Parametres!$G$3),K660,E660)</f>
        <v>0</v>
      </c>
      <c r="Q660" s="154">
        <f t="shared" si="62"/>
        <v>0</v>
      </c>
      <c r="R660" s="153">
        <f t="shared" si="63"/>
        <v>0</v>
      </c>
      <c r="S660" s="154">
        <f t="shared" si="6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hidden="1" customHeight="1">
      <c r="A661" s="1168"/>
      <c r="B661" s="1168"/>
      <c r="C661" s="1174"/>
      <c r="D661" s="1174"/>
      <c r="E661" s="1174"/>
      <c r="F661" s="1168"/>
      <c r="G661" s="1168"/>
      <c r="H661" s="1168"/>
      <c r="I661" s="1170"/>
      <c r="J661" s="1170"/>
      <c r="K661" s="1170"/>
      <c r="L661" s="153">
        <f t="shared" si="60"/>
        <v>0</v>
      </c>
      <c r="M661" s="154">
        <f t="shared" si="61"/>
        <v>0</v>
      </c>
      <c r="N661" s="155">
        <f>+IF(OR($Q661=Parametres!$G$2,$Q661=Parametres!$G$3),I661,C661)</f>
        <v>0</v>
      </c>
      <c r="O661" s="1108">
        <f>+IF(OR($Q661=Parametres!$G$2,$Q661=Parametres!$G$3),J661,D661)</f>
        <v>0</v>
      </c>
      <c r="P661" s="155">
        <f>+IF(OR($Q661=Parametres!$G$2,$Q661=Parametres!$G$3),K661,E661)</f>
        <v>0</v>
      </c>
      <c r="Q661" s="154">
        <f t="shared" si="62"/>
        <v>0</v>
      </c>
      <c r="R661" s="153">
        <f t="shared" si="63"/>
        <v>0</v>
      </c>
      <c r="S661" s="154">
        <f t="shared" si="6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hidden="1" customHeight="1">
      <c r="A662" s="1168"/>
      <c r="B662" s="1168"/>
      <c r="C662" s="1174"/>
      <c r="D662" s="1174"/>
      <c r="E662" s="1174"/>
      <c r="F662" s="1168"/>
      <c r="G662" s="1168"/>
      <c r="H662" s="1168"/>
      <c r="I662" s="1170"/>
      <c r="J662" s="1170"/>
      <c r="K662" s="1170"/>
      <c r="L662" s="153">
        <f t="shared" si="60"/>
        <v>0</v>
      </c>
      <c r="M662" s="154">
        <f t="shared" si="61"/>
        <v>0</v>
      </c>
      <c r="N662" s="155">
        <f>+IF(OR($Q662=Parametres!$G$2,$Q662=Parametres!$G$3),I662,C662)</f>
        <v>0</v>
      </c>
      <c r="O662" s="1108">
        <f>+IF(OR($Q662=Parametres!$G$2,$Q662=Parametres!$G$3),J662,D662)</f>
        <v>0</v>
      </c>
      <c r="P662" s="155">
        <f>+IF(OR($Q662=Parametres!$G$2,$Q662=Parametres!$G$3),K662,E662)</f>
        <v>0</v>
      </c>
      <c r="Q662" s="154">
        <f t="shared" si="62"/>
        <v>0</v>
      </c>
      <c r="R662" s="153">
        <f t="shared" si="63"/>
        <v>0</v>
      </c>
      <c r="S662" s="154">
        <f t="shared" si="6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hidden="1" customHeight="1">
      <c r="A663" s="1168"/>
      <c r="B663" s="1168"/>
      <c r="C663" s="1174"/>
      <c r="D663" s="1174"/>
      <c r="E663" s="1174"/>
      <c r="F663" s="1168"/>
      <c r="G663" s="1168"/>
      <c r="H663" s="1168"/>
      <c r="I663" s="1170"/>
      <c r="J663" s="1170"/>
      <c r="K663" s="1170"/>
      <c r="L663" s="153">
        <f t="shared" si="60"/>
        <v>0</v>
      </c>
      <c r="M663" s="154">
        <f t="shared" si="61"/>
        <v>0</v>
      </c>
      <c r="N663" s="155">
        <f>+IF(OR($Q663=Parametres!$G$2,$Q663=Parametres!$G$3),I663,C663)</f>
        <v>0</v>
      </c>
      <c r="O663" s="1108">
        <f>+IF(OR($Q663=Parametres!$G$2,$Q663=Parametres!$G$3),J663,D663)</f>
        <v>0</v>
      </c>
      <c r="P663" s="155">
        <f>+IF(OR($Q663=Parametres!$G$2,$Q663=Parametres!$G$3),K663,E663)</f>
        <v>0</v>
      </c>
      <c r="Q663" s="154">
        <f t="shared" si="62"/>
        <v>0</v>
      </c>
      <c r="R663" s="153">
        <f t="shared" si="63"/>
        <v>0</v>
      </c>
      <c r="S663" s="154">
        <f t="shared" si="6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hidden="1" customHeight="1">
      <c r="A664" s="1168"/>
      <c r="B664" s="1168"/>
      <c r="C664" s="1174"/>
      <c r="D664" s="1174"/>
      <c r="E664" s="1174"/>
      <c r="F664" s="1168"/>
      <c r="G664" s="1168"/>
      <c r="H664" s="1168"/>
      <c r="I664" s="1170"/>
      <c r="J664" s="1170"/>
      <c r="K664" s="1170"/>
      <c r="L664" s="153">
        <f t="shared" si="60"/>
        <v>0</v>
      </c>
      <c r="M664" s="154">
        <f t="shared" si="61"/>
        <v>0</v>
      </c>
      <c r="N664" s="155">
        <f>+IF(OR($Q664=Parametres!$G$2,$Q664=Parametres!$G$3),I664,C664)</f>
        <v>0</v>
      </c>
      <c r="O664" s="1108">
        <f>+IF(OR($Q664=Parametres!$G$2,$Q664=Parametres!$G$3),J664,D664)</f>
        <v>0</v>
      </c>
      <c r="P664" s="155">
        <f>+IF(OR($Q664=Parametres!$G$2,$Q664=Parametres!$G$3),K664,E664)</f>
        <v>0</v>
      </c>
      <c r="Q664" s="154">
        <f t="shared" si="62"/>
        <v>0</v>
      </c>
      <c r="R664" s="153">
        <f t="shared" si="63"/>
        <v>0</v>
      </c>
      <c r="S664" s="154">
        <f t="shared" si="6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hidden="1" customHeight="1">
      <c r="A665" s="1168"/>
      <c r="B665" s="1168"/>
      <c r="C665" s="1174"/>
      <c r="D665" s="1174"/>
      <c r="E665" s="1174"/>
      <c r="F665" s="1168"/>
      <c r="G665" s="1168"/>
      <c r="H665" s="1168"/>
      <c r="I665" s="1170"/>
      <c r="J665" s="1170"/>
      <c r="K665" s="1170"/>
      <c r="L665" s="153">
        <f t="shared" si="60"/>
        <v>0</v>
      </c>
      <c r="M665" s="154">
        <f t="shared" si="61"/>
        <v>0</v>
      </c>
      <c r="N665" s="155">
        <f>+IF(OR($Q665=Parametres!$G$2,$Q665=Parametres!$G$3),I665,C665)</f>
        <v>0</v>
      </c>
      <c r="O665" s="1108">
        <f>+IF(OR($Q665=Parametres!$G$2,$Q665=Parametres!$G$3),J665,D665)</f>
        <v>0</v>
      </c>
      <c r="P665" s="155">
        <f>+IF(OR($Q665=Parametres!$G$2,$Q665=Parametres!$G$3),K665,E665)</f>
        <v>0</v>
      </c>
      <c r="Q665" s="154">
        <f t="shared" si="62"/>
        <v>0</v>
      </c>
      <c r="R665" s="153">
        <f t="shared" si="63"/>
        <v>0</v>
      </c>
      <c r="S665" s="154">
        <f t="shared" si="6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hidden="1" customHeight="1">
      <c r="A666" s="1168"/>
      <c r="B666" s="1168"/>
      <c r="C666" s="1174"/>
      <c r="D666" s="1174"/>
      <c r="E666" s="1174"/>
      <c r="F666" s="1168"/>
      <c r="G666" s="1168"/>
      <c r="H666" s="1168"/>
      <c r="I666" s="1170"/>
      <c r="J666" s="1170"/>
      <c r="K666" s="1170"/>
      <c r="L666" s="153">
        <f t="shared" si="60"/>
        <v>0</v>
      </c>
      <c r="M666" s="154">
        <f t="shared" si="61"/>
        <v>0</v>
      </c>
      <c r="N666" s="155">
        <f>+IF(OR($Q666=Parametres!$G$2,$Q666=Parametres!$G$3),I666,C666)</f>
        <v>0</v>
      </c>
      <c r="O666" s="1108">
        <f>+IF(OR($Q666=Parametres!$G$2,$Q666=Parametres!$G$3),J666,D666)</f>
        <v>0</v>
      </c>
      <c r="P666" s="155">
        <f>+IF(OR($Q666=Parametres!$G$2,$Q666=Parametres!$G$3),K666,E666)</f>
        <v>0</v>
      </c>
      <c r="Q666" s="154">
        <f t="shared" si="62"/>
        <v>0</v>
      </c>
      <c r="R666" s="153">
        <f t="shared" si="63"/>
        <v>0</v>
      </c>
      <c r="S666" s="154">
        <f t="shared" si="6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hidden="1" customHeight="1">
      <c r="A667" s="1168"/>
      <c r="B667" s="1168"/>
      <c r="C667" s="1174"/>
      <c r="D667" s="1174"/>
      <c r="E667" s="1174"/>
      <c r="F667" s="1168"/>
      <c r="G667" s="1168"/>
      <c r="H667" s="1168"/>
      <c r="I667" s="1170"/>
      <c r="J667" s="1170"/>
      <c r="K667" s="1170"/>
      <c r="L667" s="153">
        <f t="shared" si="60"/>
        <v>0</v>
      </c>
      <c r="M667" s="154">
        <f t="shared" si="61"/>
        <v>0</v>
      </c>
      <c r="N667" s="155">
        <f>+IF(OR($Q667=Parametres!$G$2,$Q667=Parametres!$G$3),I667,C667)</f>
        <v>0</v>
      </c>
      <c r="O667" s="1110">
        <f>+IF(OR($Q667=Parametres!$G$2,$Q667=Parametres!$G$3),J667,D667)</f>
        <v>0</v>
      </c>
      <c r="P667" s="155">
        <f>+IF(OR($Q667=Parametres!$G$2,$Q667=Parametres!$G$3),K667,E667)</f>
        <v>0</v>
      </c>
      <c r="Q667" s="154">
        <f t="shared" si="62"/>
        <v>0</v>
      </c>
      <c r="R667" s="153">
        <f t="shared" si="63"/>
        <v>0</v>
      </c>
      <c r="S667" s="154">
        <f t="shared" si="6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hidden="1" customHeight="1">
      <c r="A668" s="1168"/>
      <c r="B668" s="1168"/>
      <c r="C668" s="1174"/>
      <c r="D668" s="1174"/>
      <c r="E668" s="1174"/>
      <c r="F668" s="1168"/>
      <c r="G668" s="1168"/>
      <c r="H668" s="1168"/>
      <c r="I668" s="1170"/>
      <c r="J668" s="1170"/>
      <c r="K668" s="1170"/>
      <c r="L668" s="153">
        <f t="shared" si="60"/>
        <v>0</v>
      </c>
      <c r="M668" s="154">
        <f t="shared" si="61"/>
        <v>0</v>
      </c>
      <c r="N668" s="155">
        <f>+IF(OR($Q668=Parametres!$G$2,$Q668=Parametres!$G$3),I668,C668)</f>
        <v>0</v>
      </c>
      <c r="O668" s="1110">
        <f>+IF(OR($Q668=Parametres!$G$2,$Q668=Parametres!$G$3),J668,D668)</f>
        <v>0</v>
      </c>
      <c r="P668" s="155">
        <f>+IF(OR($Q668=Parametres!$G$2,$Q668=Parametres!$G$3),K668,E668)</f>
        <v>0</v>
      </c>
      <c r="Q668" s="154">
        <f t="shared" si="62"/>
        <v>0</v>
      </c>
      <c r="R668" s="153">
        <f t="shared" si="63"/>
        <v>0</v>
      </c>
      <c r="S668" s="154">
        <f t="shared" si="6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hidden="1" customHeight="1">
      <c r="A669" s="1168"/>
      <c r="B669" s="1168"/>
      <c r="C669" s="1174"/>
      <c r="D669" s="1174"/>
      <c r="E669" s="1174"/>
      <c r="F669" s="1168"/>
      <c r="G669" s="1168"/>
      <c r="H669" s="1168"/>
      <c r="I669" s="1170"/>
      <c r="J669" s="1170"/>
      <c r="K669" s="1170"/>
      <c r="L669" s="153">
        <f t="shared" si="60"/>
        <v>0</v>
      </c>
      <c r="M669" s="154">
        <f t="shared" si="61"/>
        <v>0</v>
      </c>
      <c r="N669" s="155">
        <f>+IF(OR($Q669=Parametres!$G$2,$Q669=Parametres!$G$3),I669,C669)</f>
        <v>0</v>
      </c>
      <c r="O669" s="1108">
        <f>+IF(OR($Q669=Parametres!$G$2,$Q669=Parametres!$G$3),J669,D669)</f>
        <v>0</v>
      </c>
      <c r="P669" s="155">
        <f>+IF(OR($Q669=Parametres!$G$2,$Q669=Parametres!$G$3),K669,E669)</f>
        <v>0</v>
      </c>
      <c r="Q669" s="154">
        <f t="shared" si="62"/>
        <v>0</v>
      </c>
      <c r="R669" s="153">
        <f t="shared" si="63"/>
        <v>0</v>
      </c>
      <c r="S669" s="154">
        <f t="shared" si="6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hidden="1" customHeight="1">
      <c r="A670" s="1168"/>
      <c r="B670" s="1168"/>
      <c r="C670" s="1174"/>
      <c r="D670" s="1174"/>
      <c r="E670" s="1174"/>
      <c r="F670" s="1168"/>
      <c r="G670" s="1168"/>
      <c r="H670" s="1168"/>
      <c r="I670" s="1170"/>
      <c r="J670" s="1170"/>
      <c r="K670" s="1170"/>
      <c r="L670" s="153">
        <f t="shared" si="60"/>
        <v>0</v>
      </c>
      <c r="M670" s="154">
        <f t="shared" si="61"/>
        <v>0</v>
      </c>
      <c r="N670" s="155">
        <f>+IF(OR($Q670=Parametres!$G$2,$Q670=Parametres!$G$3),I670,C670)</f>
        <v>0</v>
      </c>
      <c r="O670" s="1110">
        <f>+IF(OR($Q670=Parametres!$G$2,$Q670=Parametres!$G$3),J670,D670)</f>
        <v>0</v>
      </c>
      <c r="P670" s="155">
        <f>+IF(OR($Q670=Parametres!$G$2,$Q670=Parametres!$G$3),K670,E670)</f>
        <v>0</v>
      </c>
      <c r="Q670" s="154">
        <f t="shared" si="62"/>
        <v>0</v>
      </c>
      <c r="R670" s="153">
        <f t="shared" si="63"/>
        <v>0</v>
      </c>
      <c r="S670" s="154">
        <f t="shared" si="6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hidden="1" customHeight="1">
      <c r="A671" s="1168"/>
      <c r="B671" s="1168"/>
      <c r="C671" s="1174"/>
      <c r="D671" s="1174"/>
      <c r="E671" s="1174"/>
      <c r="F671" s="1168"/>
      <c r="G671" s="1168"/>
      <c r="H671" s="1168"/>
      <c r="I671" s="1170"/>
      <c r="J671" s="1170"/>
      <c r="K671" s="1170"/>
      <c r="L671" s="153">
        <f t="shared" si="60"/>
        <v>0</v>
      </c>
      <c r="M671" s="154">
        <f t="shared" si="61"/>
        <v>0</v>
      </c>
      <c r="N671" s="155">
        <f>+IF(OR($Q671=Parametres!$G$2,$Q671=Parametres!$G$3),I671,C671)</f>
        <v>0</v>
      </c>
      <c r="O671" s="1110">
        <f>+IF(OR($Q671=Parametres!$G$2,$Q671=Parametres!$G$3),J671,D671)</f>
        <v>0</v>
      </c>
      <c r="P671" s="155">
        <f>+IF(OR($Q671=Parametres!$G$2,$Q671=Parametres!$G$3),K671,E671)</f>
        <v>0</v>
      </c>
      <c r="Q671" s="154">
        <f t="shared" si="62"/>
        <v>0</v>
      </c>
      <c r="R671" s="153">
        <f t="shared" si="63"/>
        <v>0</v>
      </c>
      <c r="S671" s="154">
        <f t="shared" si="6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hidden="1" customHeight="1">
      <c r="A672" s="1168"/>
      <c r="B672" s="1168"/>
      <c r="C672" s="1174"/>
      <c r="D672" s="1174"/>
      <c r="E672" s="1174"/>
      <c r="F672" s="1168"/>
      <c r="G672" s="1168"/>
      <c r="H672" s="1168"/>
      <c r="I672" s="1170"/>
      <c r="J672" s="1170"/>
      <c r="K672" s="1170"/>
      <c r="L672" s="153">
        <f t="shared" si="60"/>
        <v>0</v>
      </c>
      <c r="M672" s="154">
        <f t="shared" si="61"/>
        <v>0</v>
      </c>
      <c r="N672" s="155">
        <f>+IF(OR($Q672=Parametres!$G$2,$Q672=Parametres!$G$3),I672,C672)</f>
        <v>0</v>
      </c>
      <c r="O672" s="1110">
        <f>+IF(OR($Q672=Parametres!$G$2,$Q672=Parametres!$G$3),J672,D672)</f>
        <v>0</v>
      </c>
      <c r="P672" s="155">
        <f>+IF(OR($Q672=Parametres!$G$2,$Q672=Parametres!$G$3),K672,E672)</f>
        <v>0</v>
      </c>
      <c r="Q672" s="154">
        <f t="shared" si="62"/>
        <v>0</v>
      </c>
      <c r="R672" s="153">
        <f t="shared" si="63"/>
        <v>0</v>
      </c>
      <c r="S672" s="154">
        <f t="shared" si="6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hidden="1" customHeight="1">
      <c r="A673" s="1168"/>
      <c r="B673" s="1168"/>
      <c r="C673" s="1174"/>
      <c r="D673" s="1174"/>
      <c r="E673" s="1174"/>
      <c r="F673" s="1168"/>
      <c r="G673" s="1168"/>
      <c r="H673" s="1168"/>
      <c r="I673" s="1170"/>
      <c r="J673" s="1170"/>
      <c r="K673" s="1170"/>
      <c r="L673" s="153">
        <f t="shared" si="60"/>
        <v>0</v>
      </c>
      <c r="M673" s="154">
        <f t="shared" si="61"/>
        <v>0</v>
      </c>
      <c r="N673" s="155">
        <f>+IF(OR($Q673=Parametres!$G$2,$Q673=Parametres!$G$3),I673,C673)</f>
        <v>0</v>
      </c>
      <c r="O673" s="1108">
        <f>+IF(OR($Q673=Parametres!$G$2,$Q673=Parametres!$G$3),J673,D673)</f>
        <v>0</v>
      </c>
      <c r="P673" s="155">
        <f>+IF(OR($Q673=Parametres!$G$2,$Q673=Parametres!$G$3),K673,E673)</f>
        <v>0</v>
      </c>
      <c r="Q673" s="154">
        <f t="shared" si="62"/>
        <v>0</v>
      </c>
      <c r="R673" s="153">
        <f t="shared" si="63"/>
        <v>0</v>
      </c>
      <c r="S673" s="154">
        <f t="shared" si="6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hidden="1" customHeight="1">
      <c r="A674" s="1168"/>
      <c r="B674" s="1168"/>
      <c r="C674" s="1174"/>
      <c r="D674" s="1174"/>
      <c r="E674" s="1174"/>
      <c r="F674" s="1168"/>
      <c r="G674" s="1168"/>
      <c r="H674" s="1168"/>
      <c r="I674" s="1170"/>
      <c r="J674" s="1170"/>
      <c r="K674" s="1170"/>
      <c r="L674" s="153">
        <f t="shared" si="60"/>
        <v>0</v>
      </c>
      <c r="M674" s="154">
        <f t="shared" si="61"/>
        <v>0</v>
      </c>
      <c r="N674" s="155">
        <f>+IF(OR($Q674=Parametres!$G$2,$Q674=Parametres!$G$3),I674,C674)</f>
        <v>0</v>
      </c>
      <c r="O674" s="1108">
        <f>+IF(OR($Q674=Parametres!$G$2,$Q674=Parametres!$G$3),J674,D674)</f>
        <v>0</v>
      </c>
      <c r="P674" s="155">
        <f>+IF(OR($Q674=Parametres!$G$2,$Q674=Parametres!$G$3),K674,E674)</f>
        <v>0</v>
      </c>
      <c r="Q674" s="154">
        <f t="shared" si="62"/>
        <v>0</v>
      </c>
      <c r="R674" s="153">
        <f t="shared" si="63"/>
        <v>0</v>
      </c>
      <c r="S674" s="154">
        <f t="shared" si="6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hidden="1" customHeight="1">
      <c r="A675" s="1168"/>
      <c r="B675" s="1168"/>
      <c r="C675" s="1174"/>
      <c r="D675" s="1174"/>
      <c r="E675" s="1174"/>
      <c r="F675" s="1168"/>
      <c r="G675" s="1168"/>
      <c r="H675" s="1168"/>
      <c r="I675" s="1170"/>
      <c r="J675" s="1170"/>
      <c r="K675" s="1170"/>
      <c r="L675" s="153">
        <f t="shared" si="60"/>
        <v>0</v>
      </c>
      <c r="M675" s="154">
        <f t="shared" si="61"/>
        <v>0</v>
      </c>
      <c r="N675" s="155">
        <f>+IF(OR($Q675=Parametres!$G$2,$Q675=Parametres!$G$3),I675,C675)</f>
        <v>0</v>
      </c>
      <c r="O675" s="1108">
        <f>+IF(OR($Q675=Parametres!$G$2,$Q675=Parametres!$G$3),J675,D675)</f>
        <v>0</v>
      </c>
      <c r="P675" s="155">
        <f>+IF(OR($Q675=Parametres!$G$2,$Q675=Parametres!$G$3),K675,E675)</f>
        <v>0</v>
      </c>
      <c r="Q675" s="154">
        <f t="shared" si="62"/>
        <v>0</v>
      </c>
      <c r="R675" s="153">
        <f t="shared" si="63"/>
        <v>0</v>
      </c>
      <c r="S675" s="154">
        <f t="shared" si="6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hidden="1" customHeight="1">
      <c r="A676" s="1168"/>
      <c r="B676" s="1168"/>
      <c r="C676" s="1174"/>
      <c r="D676" s="1174"/>
      <c r="E676" s="1174"/>
      <c r="F676" s="1168"/>
      <c r="G676" s="1168"/>
      <c r="H676" s="1168"/>
      <c r="I676" s="1170"/>
      <c r="J676" s="1170"/>
      <c r="K676" s="1170"/>
      <c r="L676" s="153">
        <f t="shared" si="60"/>
        <v>0</v>
      </c>
      <c r="M676" s="154">
        <f t="shared" si="61"/>
        <v>0</v>
      </c>
      <c r="N676" s="155">
        <f>+IF(OR($Q676=Parametres!$G$2,$Q676=Parametres!$G$3),I676,C676)</f>
        <v>0</v>
      </c>
      <c r="O676" s="1108">
        <f>+IF(OR($Q676=Parametres!$G$2,$Q676=Parametres!$G$3),J676,D676)</f>
        <v>0</v>
      </c>
      <c r="P676" s="155">
        <f>+IF(OR($Q676=Parametres!$G$2,$Q676=Parametres!$G$3),K676,E676)</f>
        <v>0</v>
      </c>
      <c r="Q676" s="154">
        <f t="shared" si="62"/>
        <v>0</v>
      </c>
      <c r="R676" s="153">
        <f t="shared" si="63"/>
        <v>0</v>
      </c>
      <c r="S676" s="154">
        <f t="shared" si="6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hidden="1" customHeight="1">
      <c r="A677" s="1168"/>
      <c r="B677" s="1168"/>
      <c r="C677" s="1174"/>
      <c r="D677" s="1174"/>
      <c r="E677" s="1174"/>
      <c r="F677" s="1168"/>
      <c r="G677" s="1168"/>
      <c r="H677" s="1168"/>
      <c r="I677" s="1170"/>
      <c r="J677" s="1170"/>
      <c r="K677" s="1170"/>
      <c r="L677" s="153">
        <f t="shared" si="60"/>
        <v>0</v>
      </c>
      <c r="M677" s="154">
        <f t="shared" si="61"/>
        <v>0</v>
      </c>
      <c r="N677" s="155">
        <f>+IF(OR($Q677=Parametres!$G$2,$Q677=Parametres!$G$3),I677,C677)</f>
        <v>0</v>
      </c>
      <c r="O677" s="1108">
        <f>+IF(OR($Q677=Parametres!$G$2,$Q677=Parametres!$G$3),J677,D677)</f>
        <v>0</v>
      </c>
      <c r="P677" s="155">
        <f>+IF(OR($Q677=Parametres!$G$2,$Q677=Parametres!$G$3),K677,E677)</f>
        <v>0</v>
      </c>
      <c r="Q677" s="154">
        <f t="shared" si="62"/>
        <v>0</v>
      </c>
      <c r="R677" s="153">
        <f t="shared" si="63"/>
        <v>0</v>
      </c>
      <c r="S677" s="154">
        <f t="shared" si="6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hidden="1" customHeight="1">
      <c r="A678" s="1168"/>
      <c r="B678" s="1168"/>
      <c r="C678" s="1174"/>
      <c r="D678" s="1174"/>
      <c r="E678" s="1174"/>
      <c r="F678" s="1168"/>
      <c r="G678" s="1168"/>
      <c r="H678" s="1168"/>
      <c r="I678" s="1170"/>
      <c r="J678" s="1170"/>
      <c r="K678" s="1170"/>
      <c r="L678" s="153">
        <f t="shared" si="60"/>
        <v>0</v>
      </c>
      <c r="M678" s="154">
        <f t="shared" si="61"/>
        <v>0</v>
      </c>
      <c r="N678" s="155">
        <f>+IF(OR($Q678=Parametres!$G$2,$Q678=Parametres!$G$3),I678,C678)</f>
        <v>0</v>
      </c>
      <c r="O678" s="1108">
        <f>+IF(OR($Q678=Parametres!$G$2,$Q678=Parametres!$G$3),J678,D678)</f>
        <v>0</v>
      </c>
      <c r="P678" s="155">
        <f>+IF(OR($Q678=Parametres!$G$2,$Q678=Parametres!$G$3),K678,E678)</f>
        <v>0</v>
      </c>
      <c r="Q678" s="154">
        <f t="shared" si="62"/>
        <v>0</v>
      </c>
      <c r="R678" s="153">
        <f t="shared" si="63"/>
        <v>0</v>
      </c>
      <c r="S678" s="154">
        <f t="shared" si="6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hidden="1" customHeight="1">
      <c r="A679" s="1168"/>
      <c r="B679" s="1168"/>
      <c r="C679" s="1174"/>
      <c r="D679" s="1174"/>
      <c r="E679" s="1174"/>
      <c r="F679" s="1168"/>
      <c r="G679" s="1168"/>
      <c r="H679" s="1168"/>
      <c r="I679" s="1170"/>
      <c r="J679" s="1170"/>
      <c r="K679" s="1170"/>
      <c r="L679" s="153">
        <f t="shared" si="60"/>
        <v>0</v>
      </c>
      <c r="M679" s="154">
        <f t="shared" si="61"/>
        <v>0</v>
      </c>
      <c r="N679" s="155">
        <f>+IF(OR($Q679=Parametres!$G$2,$Q679=Parametres!$G$3),I679,C679)</f>
        <v>0</v>
      </c>
      <c r="O679" s="1108">
        <f>+IF(OR($Q679=Parametres!$G$2,$Q679=Parametres!$G$3),J679,D679)</f>
        <v>0</v>
      </c>
      <c r="P679" s="155">
        <f>+IF(OR($Q679=Parametres!$G$2,$Q679=Parametres!$G$3),K679,E679)</f>
        <v>0</v>
      </c>
      <c r="Q679" s="154">
        <f t="shared" si="62"/>
        <v>0</v>
      </c>
      <c r="R679" s="153">
        <f t="shared" si="63"/>
        <v>0</v>
      </c>
      <c r="S679" s="154">
        <f t="shared" si="6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hidden="1" customHeight="1">
      <c r="A680" s="1168"/>
      <c r="B680" s="1168"/>
      <c r="C680" s="1174"/>
      <c r="D680" s="1174"/>
      <c r="E680" s="1174"/>
      <c r="F680" s="1168"/>
      <c r="G680" s="1168"/>
      <c r="H680" s="1168"/>
      <c r="I680" s="1170"/>
      <c r="J680" s="1170"/>
      <c r="K680" s="1170"/>
      <c r="L680" s="153">
        <f t="shared" si="60"/>
        <v>0</v>
      </c>
      <c r="M680" s="154">
        <f t="shared" si="61"/>
        <v>0</v>
      </c>
      <c r="N680" s="155">
        <f>+IF(OR($Q680=Parametres!$G$2,$Q680=Parametres!$G$3),I680,C680)</f>
        <v>0</v>
      </c>
      <c r="O680" s="1108">
        <f>+IF(OR($Q680=Parametres!$G$2,$Q680=Parametres!$G$3),J680,D680)</f>
        <v>0</v>
      </c>
      <c r="P680" s="155">
        <f>+IF(OR($Q680=Parametres!$G$2,$Q680=Parametres!$G$3),K680,E680)</f>
        <v>0</v>
      </c>
      <c r="Q680" s="154">
        <f t="shared" si="62"/>
        <v>0</v>
      </c>
      <c r="R680" s="153">
        <f t="shared" si="63"/>
        <v>0</v>
      </c>
      <c r="S680" s="154">
        <f t="shared" si="6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hidden="1" customHeight="1">
      <c r="A681" s="1168"/>
      <c r="B681" s="1168"/>
      <c r="C681" s="1174"/>
      <c r="D681" s="1174"/>
      <c r="E681" s="1174"/>
      <c r="F681" s="1168"/>
      <c r="G681" s="1168"/>
      <c r="H681" s="1168"/>
      <c r="I681" s="1170"/>
      <c r="J681" s="1170"/>
      <c r="K681" s="1170"/>
      <c r="L681" s="153">
        <f t="shared" si="60"/>
        <v>0</v>
      </c>
      <c r="M681" s="154">
        <f t="shared" si="61"/>
        <v>0</v>
      </c>
      <c r="N681" s="155">
        <f>+IF(OR($Q681=Parametres!$G$2,$Q681=Parametres!$G$3),I681,C681)</f>
        <v>0</v>
      </c>
      <c r="O681" s="1108">
        <f>+IF(OR($Q681=Parametres!$G$2,$Q681=Parametres!$G$3),J681,D681)</f>
        <v>0</v>
      </c>
      <c r="P681" s="155">
        <f>+IF(OR($Q681=Parametres!$G$2,$Q681=Parametres!$G$3),K681,E681)</f>
        <v>0</v>
      </c>
      <c r="Q681" s="154">
        <f t="shared" si="62"/>
        <v>0</v>
      </c>
      <c r="R681" s="153">
        <f t="shared" si="63"/>
        <v>0</v>
      </c>
      <c r="S681" s="154">
        <f t="shared" si="6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hidden="1" customHeight="1">
      <c r="A682" s="1168"/>
      <c r="B682" s="1168"/>
      <c r="C682" s="1174"/>
      <c r="D682" s="1174"/>
      <c r="E682" s="1174"/>
      <c r="F682" s="1168"/>
      <c r="G682" s="1168"/>
      <c r="H682" s="1168"/>
      <c r="I682" s="1170"/>
      <c r="J682" s="1170"/>
      <c r="K682" s="1170"/>
      <c r="L682" s="153">
        <f t="shared" si="60"/>
        <v>0</v>
      </c>
      <c r="M682" s="154">
        <f t="shared" si="61"/>
        <v>0</v>
      </c>
      <c r="N682" s="155">
        <f>+IF(OR($Q682=Parametres!$G$2,$Q682=Parametres!$G$3),I682,C682)</f>
        <v>0</v>
      </c>
      <c r="O682" s="1108">
        <f>+IF(OR($Q682=Parametres!$G$2,$Q682=Parametres!$G$3),J682,D682)</f>
        <v>0</v>
      </c>
      <c r="P682" s="155">
        <f>+IF(OR($Q682=Parametres!$G$2,$Q682=Parametres!$G$3),K682,E682)</f>
        <v>0</v>
      </c>
      <c r="Q682" s="154">
        <f t="shared" si="62"/>
        <v>0</v>
      </c>
      <c r="R682" s="153">
        <f t="shared" si="63"/>
        <v>0</v>
      </c>
      <c r="S682" s="154">
        <f t="shared" si="6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hidden="1" customHeight="1">
      <c r="A683" s="1168"/>
      <c r="B683" s="1168"/>
      <c r="C683" s="1174"/>
      <c r="D683" s="1174"/>
      <c r="E683" s="1174"/>
      <c r="F683" s="1168"/>
      <c r="G683" s="1168"/>
      <c r="H683" s="1168"/>
      <c r="I683" s="1170"/>
      <c r="J683" s="1170"/>
      <c r="K683" s="1170"/>
      <c r="L683" s="153">
        <f t="shared" si="60"/>
        <v>0</v>
      </c>
      <c r="M683" s="154">
        <f t="shared" si="61"/>
        <v>0</v>
      </c>
      <c r="N683" s="155">
        <f>+IF(OR($Q683=Parametres!$G$2,$Q683=Parametres!$G$3),I683,C683)</f>
        <v>0</v>
      </c>
      <c r="O683" s="1108">
        <f>+IF(OR($Q683=Parametres!$G$2,$Q683=Parametres!$G$3),J683,D683)</f>
        <v>0</v>
      </c>
      <c r="P683" s="155">
        <f>+IF(OR($Q683=Parametres!$G$2,$Q683=Parametres!$G$3),K683,E683)</f>
        <v>0</v>
      </c>
      <c r="Q683" s="154">
        <f t="shared" si="62"/>
        <v>0</v>
      </c>
      <c r="R683" s="153">
        <f t="shared" si="63"/>
        <v>0</v>
      </c>
      <c r="S683" s="154">
        <f t="shared" si="6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hidden="1" customHeight="1">
      <c r="A684" s="1168"/>
      <c r="B684" s="1168"/>
      <c r="C684" s="1174"/>
      <c r="D684" s="1174"/>
      <c r="E684" s="1174"/>
      <c r="F684" s="1168"/>
      <c r="G684" s="1168"/>
      <c r="H684" s="1168"/>
      <c r="I684" s="1170"/>
      <c r="J684" s="1170"/>
      <c r="K684" s="1170"/>
      <c r="L684" s="153">
        <f t="shared" si="60"/>
        <v>0</v>
      </c>
      <c r="M684" s="154">
        <f t="shared" si="61"/>
        <v>0</v>
      </c>
      <c r="N684" s="155">
        <f>+IF(OR($Q684=Parametres!$G$2,$Q684=Parametres!$G$3),I684,C684)</f>
        <v>0</v>
      </c>
      <c r="O684" s="1108">
        <f>+IF(OR($Q684=Parametres!$G$2,$Q684=Parametres!$G$3),J684,D684)</f>
        <v>0</v>
      </c>
      <c r="P684" s="155">
        <f>+IF(OR($Q684=Parametres!$G$2,$Q684=Parametres!$G$3),K684,E684)</f>
        <v>0</v>
      </c>
      <c r="Q684" s="154">
        <f t="shared" si="62"/>
        <v>0</v>
      </c>
      <c r="R684" s="153">
        <f t="shared" si="63"/>
        <v>0</v>
      </c>
      <c r="S684" s="154">
        <f t="shared" si="6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hidden="1" customHeight="1">
      <c r="A685" s="1168"/>
      <c r="B685" s="1168"/>
      <c r="C685" s="1174"/>
      <c r="D685" s="1174"/>
      <c r="E685" s="1174"/>
      <c r="F685" s="1168"/>
      <c r="G685" s="1168"/>
      <c r="H685" s="1168"/>
      <c r="I685" s="1170"/>
      <c r="J685" s="1170"/>
      <c r="K685" s="1170"/>
      <c r="L685" s="153">
        <f t="shared" si="60"/>
        <v>0</v>
      </c>
      <c r="M685" s="154">
        <f t="shared" si="61"/>
        <v>0</v>
      </c>
      <c r="N685" s="155">
        <f>+IF(OR($Q685=Parametres!$G$2,$Q685=Parametres!$G$3),I685,C685)</f>
        <v>0</v>
      </c>
      <c r="O685" s="1108">
        <f>+IF(OR($Q685=Parametres!$G$2,$Q685=Parametres!$G$3),J685,D685)</f>
        <v>0</v>
      </c>
      <c r="P685" s="155">
        <f>+IF(OR($Q685=Parametres!$G$2,$Q685=Parametres!$G$3),K685,E685)</f>
        <v>0</v>
      </c>
      <c r="Q685" s="154">
        <f t="shared" si="62"/>
        <v>0</v>
      </c>
      <c r="R685" s="153">
        <f t="shared" si="63"/>
        <v>0</v>
      </c>
      <c r="S685" s="154">
        <f t="shared" si="6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hidden="1" customHeight="1">
      <c r="A686" s="1168"/>
      <c r="B686" s="1168"/>
      <c r="C686" s="1174"/>
      <c r="D686" s="1174"/>
      <c r="E686" s="1174"/>
      <c r="F686" s="1168"/>
      <c r="G686" s="1168"/>
      <c r="H686" s="1168"/>
      <c r="I686" s="1170"/>
      <c r="J686" s="1170"/>
      <c r="K686" s="1170"/>
      <c r="L686" s="153">
        <f t="shared" si="60"/>
        <v>0</v>
      </c>
      <c r="M686" s="154">
        <f t="shared" si="61"/>
        <v>0</v>
      </c>
      <c r="N686" s="155">
        <f>+IF(OR($Q686=Parametres!$G$2,$Q686=Parametres!$G$3),I686,C686)</f>
        <v>0</v>
      </c>
      <c r="O686" s="1110">
        <f>+IF(OR($Q686=Parametres!$G$2,$Q686=Parametres!$G$3),J686,D686)</f>
        <v>0</v>
      </c>
      <c r="P686" s="155">
        <f>+IF(OR($Q686=Parametres!$G$2,$Q686=Parametres!$G$3),K686,E686)</f>
        <v>0</v>
      </c>
      <c r="Q686" s="154">
        <f t="shared" si="62"/>
        <v>0</v>
      </c>
      <c r="R686" s="153">
        <f t="shared" si="63"/>
        <v>0</v>
      </c>
      <c r="S686" s="154">
        <f t="shared" si="6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hidden="1" customHeight="1">
      <c r="A687" s="1168"/>
      <c r="B687" s="1168"/>
      <c r="C687" s="1174"/>
      <c r="D687" s="1174"/>
      <c r="E687" s="1174"/>
      <c r="F687" s="1168"/>
      <c r="G687" s="1168"/>
      <c r="H687" s="1168"/>
      <c r="I687" s="1170"/>
      <c r="J687" s="1170"/>
      <c r="K687" s="1170"/>
      <c r="L687" s="153">
        <f t="shared" si="60"/>
        <v>0</v>
      </c>
      <c r="M687" s="154">
        <f t="shared" si="61"/>
        <v>0</v>
      </c>
      <c r="N687" s="155">
        <f>+IF(OR($Q687=Parametres!$G$2,$Q687=Parametres!$G$3),I687,C687)</f>
        <v>0</v>
      </c>
      <c r="O687" s="1108">
        <f>+IF(OR($Q687=Parametres!$G$2,$Q687=Parametres!$G$3),J687,D687)</f>
        <v>0</v>
      </c>
      <c r="P687" s="155">
        <f>+IF(OR($Q687=Parametres!$G$2,$Q687=Parametres!$G$3),K687,E687)</f>
        <v>0</v>
      </c>
      <c r="Q687" s="154">
        <f t="shared" si="62"/>
        <v>0</v>
      </c>
      <c r="R687" s="153">
        <f t="shared" si="63"/>
        <v>0</v>
      </c>
      <c r="S687" s="154">
        <f t="shared" si="6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hidden="1" customHeight="1">
      <c r="A688" s="1168"/>
      <c r="B688" s="1168"/>
      <c r="C688" s="1174"/>
      <c r="D688" s="1174"/>
      <c r="E688" s="1174"/>
      <c r="F688" s="1168"/>
      <c r="G688" s="1168"/>
      <c r="H688" s="1168"/>
      <c r="I688" s="1170"/>
      <c r="J688" s="1170"/>
      <c r="K688" s="1170"/>
      <c r="L688" s="153">
        <f t="shared" si="60"/>
        <v>0</v>
      </c>
      <c r="M688" s="154">
        <f t="shared" si="61"/>
        <v>0</v>
      </c>
      <c r="N688" s="155">
        <f>+IF(OR($Q688=Parametres!$G$2,$Q688=Parametres!$G$3),I688,C688)</f>
        <v>0</v>
      </c>
      <c r="O688" s="1108">
        <f>+IF(OR($Q688=Parametres!$G$2,$Q688=Parametres!$G$3),J688,D688)</f>
        <v>0</v>
      </c>
      <c r="P688" s="155">
        <f>+IF(OR($Q688=Parametres!$G$2,$Q688=Parametres!$G$3),K688,E688)</f>
        <v>0</v>
      </c>
      <c r="Q688" s="154">
        <f t="shared" si="62"/>
        <v>0</v>
      </c>
      <c r="R688" s="153">
        <f t="shared" si="63"/>
        <v>0</v>
      </c>
      <c r="S688" s="154">
        <f t="shared" si="6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hidden="1" customHeight="1">
      <c r="A689" s="1168"/>
      <c r="B689" s="1168"/>
      <c r="C689" s="1174"/>
      <c r="D689" s="1174"/>
      <c r="E689" s="1174"/>
      <c r="F689" s="1168"/>
      <c r="G689" s="1168"/>
      <c r="H689" s="1168"/>
      <c r="I689" s="1170"/>
      <c r="J689" s="1170"/>
      <c r="K689" s="1170"/>
      <c r="L689" s="153">
        <f t="shared" si="60"/>
        <v>0</v>
      </c>
      <c r="M689" s="154">
        <f t="shared" si="61"/>
        <v>0</v>
      </c>
      <c r="N689" s="155">
        <f>+IF(OR($Q689=Parametres!$G$2,$Q689=Parametres!$G$3),I689,C689)</f>
        <v>0</v>
      </c>
      <c r="O689" s="1108">
        <f>+IF(OR($Q689=Parametres!$G$2,$Q689=Parametres!$G$3),J689,D689)</f>
        <v>0</v>
      </c>
      <c r="P689" s="155">
        <f>+IF(OR($Q689=Parametres!$G$2,$Q689=Parametres!$G$3),K689,E689)</f>
        <v>0</v>
      </c>
      <c r="Q689" s="154">
        <f t="shared" si="62"/>
        <v>0</v>
      </c>
      <c r="R689" s="153">
        <f t="shared" si="63"/>
        <v>0</v>
      </c>
      <c r="S689" s="154">
        <f t="shared" si="6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hidden="1" customHeight="1">
      <c r="A690" s="1168"/>
      <c r="B690" s="1168"/>
      <c r="C690" s="1174"/>
      <c r="D690" s="1174"/>
      <c r="E690" s="1174"/>
      <c r="F690" s="1168"/>
      <c r="G690" s="1168"/>
      <c r="H690" s="1168"/>
      <c r="I690" s="1170"/>
      <c r="J690" s="1170"/>
      <c r="K690" s="1170"/>
      <c r="L690" s="153">
        <f t="shared" si="60"/>
        <v>0</v>
      </c>
      <c r="M690" s="154">
        <f t="shared" si="61"/>
        <v>0</v>
      </c>
      <c r="N690" s="155">
        <f>+IF(OR($Q690=Parametres!$G$2,$Q690=Parametres!$G$3),I690,C690)</f>
        <v>0</v>
      </c>
      <c r="O690" s="1108">
        <f>+IF(OR($Q690=Parametres!$G$2,$Q690=Parametres!$G$3),J690,D690)</f>
        <v>0</v>
      </c>
      <c r="P690" s="155">
        <f>+IF(OR($Q690=Parametres!$G$2,$Q690=Parametres!$G$3),K690,E690)</f>
        <v>0</v>
      </c>
      <c r="Q690" s="154">
        <f t="shared" si="62"/>
        <v>0</v>
      </c>
      <c r="R690" s="153">
        <f t="shared" si="63"/>
        <v>0</v>
      </c>
      <c r="S690" s="154">
        <f t="shared" si="6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hidden="1" customHeight="1">
      <c r="A691" s="1168"/>
      <c r="B691" s="1168"/>
      <c r="C691" s="1174"/>
      <c r="D691" s="1174"/>
      <c r="E691" s="1174"/>
      <c r="F691" s="1168"/>
      <c r="G691" s="1168"/>
      <c r="H691" s="1168"/>
      <c r="I691" s="1170"/>
      <c r="J691" s="1170"/>
      <c r="K691" s="1170"/>
      <c r="L691" s="153">
        <f t="shared" si="60"/>
        <v>0</v>
      </c>
      <c r="M691" s="154">
        <f t="shared" si="61"/>
        <v>0</v>
      </c>
      <c r="N691" s="155">
        <f>+IF(OR($Q691=Parametres!$G$2,$Q691=Parametres!$G$3),I691,C691)</f>
        <v>0</v>
      </c>
      <c r="O691" s="1108">
        <f>+IF(OR($Q691=Parametres!$G$2,$Q691=Parametres!$G$3),J691,D691)</f>
        <v>0</v>
      </c>
      <c r="P691" s="155">
        <f>+IF(OR($Q691=Parametres!$G$2,$Q691=Parametres!$G$3),K691,E691)</f>
        <v>0</v>
      </c>
      <c r="Q691" s="154">
        <f t="shared" si="62"/>
        <v>0</v>
      </c>
      <c r="R691" s="153">
        <f t="shared" si="63"/>
        <v>0</v>
      </c>
      <c r="S691" s="154">
        <f t="shared" si="6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hidden="1" customHeight="1">
      <c r="A692" s="1168"/>
      <c r="B692" s="1168"/>
      <c r="C692" s="1174"/>
      <c r="D692" s="1174"/>
      <c r="E692" s="1174"/>
      <c r="F692" s="1168"/>
      <c r="G692" s="1168"/>
      <c r="H692" s="1168"/>
      <c r="I692" s="1170"/>
      <c r="J692" s="1170"/>
      <c r="K692" s="1170"/>
      <c r="L692" s="153">
        <f t="shared" si="60"/>
        <v>0</v>
      </c>
      <c r="M692" s="154">
        <f t="shared" si="61"/>
        <v>0</v>
      </c>
      <c r="N692" s="155">
        <f>+IF(OR($Q692=Parametres!$G$2,$Q692=Parametres!$G$3),I692,C692)</f>
        <v>0</v>
      </c>
      <c r="O692" s="1108">
        <f>+IF(OR($Q692=Parametres!$G$2,$Q692=Parametres!$G$3),J692,D692)</f>
        <v>0</v>
      </c>
      <c r="P692" s="155">
        <f>+IF(OR($Q692=Parametres!$G$2,$Q692=Parametres!$G$3),K692,E692)</f>
        <v>0</v>
      </c>
      <c r="Q692" s="154">
        <f t="shared" si="62"/>
        <v>0</v>
      </c>
      <c r="R692" s="153">
        <f t="shared" si="63"/>
        <v>0</v>
      </c>
      <c r="S692" s="154">
        <f t="shared" si="6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hidden="1" customHeight="1">
      <c r="A693" s="1168"/>
      <c r="B693" s="1168"/>
      <c r="C693" s="1174"/>
      <c r="D693" s="1174"/>
      <c r="E693" s="1174"/>
      <c r="F693" s="1168"/>
      <c r="G693" s="1168"/>
      <c r="H693" s="1168"/>
      <c r="I693" s="1170"/>
      <c r="J693" s="1170"/>
      <c r="K693" s="1170"/>
      <c r="L693" s="153">
        <f t="shared" si="60"/>
        <v>0</v>
      </c>
      <c r="M693" s="154">
        <f t="shared" si="61"/>
        <v>0</v>
      </c>
      <c r="N693" s="155">
        <f>+IF(OR($Q693=Parametres!$G$2,$Q693=Parametres!$G$3),I693,C693)</f>
        <v>0</v>
      </c>
      <c r="O693" s="1108">
        <f>+IF(OR($Q693=Parametres!$G$2,$Q693=Parametres!$G$3),J693,D693)</f>
        <v>0</v>
      </c>
      <c r="P693" s="155">
        <f>+IF(OR($Q693=Parametres!$G$2,$Q693=Parametres!$G$3),K693,E693)</f>
        <v>0</v>
      </c>
      <c r="Q693" s="154">
        <f t="shared" si="62"/>
        <v>0</v>
      </c>
      <c r="R693" s="153">
        <f t="shared" si="63"/>
        <v>0</v>
      </c>
      <c r="S693" s="154">
        <f t="shared" si="6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hidden="1" customHeight="1">
      <c r="A694" s="1168"/>
      <c r="B694" s="1168"/>
      <c r="C694" s="1174"/>
      <c r="D694" s="1174"/>
      <c r="E694" s="1174"/>
      <c r="F694" s="1168"/>
      <c r="G694" s="1168"/>
      <c r="H694" s="1168"/>
      <c r="I694" s="1170"/>
      <c r="J694" s="1170"/>
      <c r="K694" s="1170"/>
      <c r="L694" s="153">
        <f t="shared" si="60"/>
        <v>0</v>
      </c>
      <c r="M694" s="154">
        <f t="shared" si="61"/>
        <v>0</v>
      </c>
      <c r="N694" s="155">
        <f>+IF(OR($Q694=Parametres!$G$2,$Q694=Parametres!$G$3),I694,C694)</f>
        <v>0</v>
      </c>
      <c r="O694" s="1108">
        <f>+IF(OR($Q694=Parametres!$G$2,$Q694=Parametres!$G$3),J694,D694)</f>
        <v>0</v>
      </c>
      <c r="P694" s="155">
        <f>+IF(OR($Q694=Parametres!$G$2,$Q694=Parametres!$G$3),K694,E694)</f>
        <v>0</v>
      </c>
      <c r="Q694" s="154">
        <f t="shared" si="62"/>
        <v>0</v>
      </c>
      <c r="R694" s="153">
        <f t="shared" si="63"/>
        <v>0</v>
      </c>
      <c r="S694" s="154">
        <f t="shared" si="6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hidden="1" customHeight="1">
      <c r="A695" s="1168"/>
      <c r="B695" s="1168"/>
      <c r="C695" s="1174"/>
      <c r="D695" s="1174"/>
      <c r="E695" s="1174"/>
      <c r="F695" s="1168"/>
      <c r="G695" s="1168"/>
      <c r="H695" s="1168"/>
      <c r="I695" s="1170"/>
      <c r="J695" s="1170"/>
      <c r="K695" s="1170"/>
      <c r="L695" s="153">
        <f t="shared" si="60"/>
        <v>0</v>
      </c>
      <c r="M695" s="154">
        <f t="shared" si="61"/>
        <v>0</v>
      </c>
      <c r="N695" s="155">
        <f>+IF(OR($Q695=Parametres!$G$2,$Q695=Parametres!$G$3),I695,C695)</f>
        <v>0</v>
      </c>
      <c r="O695" s="1108">
        <f>+IF(OR($Q695=Parametres!$G$2,$Q695=Parametres!$G$3),J695,D695)</f>
        <v>0</v>
      </c>
      <c r="P695" s="155">
        <f>+IF(OR($Q695=Parametres!$G$2,$Q695=Parametres!$G$3),K695,E695)</f>
        <v>0</v>
      </c>
      <c r="Q695" s="154">
        <f t="shared" si="62"/>
        <v>0</v>
      </c>
      <c r="R695" s="153">
        <f t="shared" si="63"/>
        <v>0</v>
      </c>
      <c r="S695" s="154">
        <f t="shared" si="6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hidden="1" customHeight="1">
      <c r="A696" s="1170"/>
      <c r="B696" s="1184"/>
      <c r="C696" s="1185"/>
      <c r="D696" s="1170"/>
      <c r="E696" s="1170"/>
      <c r="F696" s="1170"/>
      <c r="G696" s="1170"/>
      <c r="H696" s="1170"/>
      <c r="I696" s="1170"/>
      <c r="J696" s="1170"/>
      <c r="K696" s="1170"/>
      <c r="L696" s="153">
        <f t="shared" si="60"/>
        <v>0</v>
      </c>
      <c r="M696" s="154">
        <f t="shared" si="61"/>
        <v>0</v>
      </c>
      <c r="N696" s="155">
        <f>+IF(OR($Q696=Parametres!$G$2,$Q696=Parametres!$G$3),I696,C696)</f>
        <v>0</v>
      </c>
      <c r="O696" s="1108">
        <f>+IF(OR($Q696=Parametres!$G$2,$Q696=Parametres!$G$3),J696,D696)</f>
        <v>0</v>
      </c>
      <c r="P696" s="155">
        <f>+IF(OR($Q696=Parametres!$G$2,$Q696=Parametres!$G$3),K696,E696)</f>
        <v>0</v>
      </c>
      <c r="Q696" s="154">
        <f t="shared" si="62"/>
        <v>0</v>
      </c>
      <c r="R696" s="153">
        <f t="shared" si="63"/>
        <v>0</v>
      </c>
      <c r="S696" s="154">
        <f t="shared" si="6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hidden="1" customHeight="1">
      <c r="A697" s="1170"/>
      <c r="B697" s="1184"/>
      <c r="C697" s="1185"/>
      <c r="D697" s="1170"/>
      <c r="E697" s="1170"/>
      <c r="F697" s="1170"/>
      <c r="G697" s="1170"/>
      <c r="H697" s="1170"/>
      <c r="I697" s="1170"/>
      <c r="J697" s="1170"/>
      <c r="K697" s="1170"/>
      <c r="L697" s="153">
        <f t="shared" si="60"/>
        <v>0</v>
      </c>
      <c r="M697" s="154">
        <f t="shared" si="61"/>
        <v>0</v>
      </c>
      <c r="N697" s="155">
        <f>+IF(OR($Q697=Parametres!$G$2,$Q697=Parametres!$G$3),I697,C697)</f>
        <v>0</v>
      </c>
      <c r="O697" s="1108">
        <f>+IF(OR($Q697=Parametres!$G$2,$Q697=Parametres!$G$3),J697,D697)</f>
        <v>0</v>
      </c>
      <c r="P697" s="155">
        <f>+IF(OR($Q697=Parametres!$G$2,$Q697=Parametres!$G$3),K697,E697)</f>
        <v>0</v>
      </c>
      <c r="Q697" s="154">
        <f t="shared" si="62"/>
        <v>0</v>
      </c>
      <c r="R697" s="153">
        <f t="shared" si="63"/>
        <v>0</v>
      </c>
      <c r="S697" s="154">
        <f t="shared" si="6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hidden="1" customHeight="1">
      <c r="A698" s="1170"/>
      <c r="B698" s="1184"/>
      <c r="C698" s="1185"/>
      <c r="D698" s="1170"/>
      <c r="E698" s="1170"/>
      <c r="F698" s="1170"/>
      <c r="G698" s="1170"/>
      <c r="H698" s="1170"/>
      <c r="I698" s="1170"/>
      <c r="J698" s="1170"/>
      <c r="K698" s="1170"/>
      <c r="L698" s="153">
        <f t="shared" si="60"/>
        <v>0</v>
      </c>
      <c r="M698" s="154">
        <f t="shared" si="61"/>
        <v>0</v>
      </c>
      <c r="N698" s="155">
        <f>+IF(OR($Q698=Parametres!$G$2,$Q698=Parametres!$G$3),I698,C698)</f>
        <v>0</v>
      </c>
      <c r="O698" s="1108">
        <f>+IF(OR($Q698=Parametres!$G$2,$Q698=Parametres!$G$3),J698,D698)</f>
        <v>0</v>
      </c>
      <c r="P698" s="155">
        <f>+IF(OR($Q698=Parametres!$G$2,$Q698=Parametres!$G$3),K698,E698)</f>
        <v>0</v>
      </c>
      <c r="Q698" s="154">
        <f t="shared" si="62"/>
        <v>0</v>
      </c>
      <c r="R698" s="153">
        <f t="shared" si="63"/>
        <v>0</v>
      </c>
      <c r="S698" s="154">
        <f t="shared" si="6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hidden="1" customHeight="1">
      <c r="A699" s="1170"/>
      <c r="B699" s="1184"/>
      <c r="C699" s="1185"/>
      <c r="D699" s="1170"/>
      <c r="E699" s="1170"/>
      <c r="F699" s="1170"/>
      <c r="G699" s="1170"/>
      <c r="H699" s="1170"/>
      <c r="I699" s="1170"/>
      <c r="J699" s="1170"/>
      <c r="K699" s="1170"/>
      <c r="L699" s="153">
        <f t="shared" si="60"/>
        <v>0</v>
      </c>
      <c r="M699" s="154">
        <f t="shared" si="61"/>
        <v>0</v>
      </c>
      <c r="N699" s="155">
        <f>+IF(OR($Q699=Parametres!$G$2,$Q699=Parametres!$G$3),I699,C699)</f>
        <v>0</v>
      </c>
      <c r="O699" s="1108">
        <f>+IF(OR($Q699=Parametres!$G$2,$Q699=Parametres!$G$3),J699,D699)</f>
        <v>0</v>
      </c>
      <c r="P699" s="155">
        <f>+IF(OR($Q699=Parametres!$G$2,$Q699=Parametres!$G$3),K699,E699)</f>
        <v>0</v>
      </c>
      <c r="Q699" s="154">
        <f t="shared" si="62"/>
        <v>0</v>
      </c>
      <c r="R699" s="153">
        <f t="shared" si="63"/>
        <v>0</v>
      </c>
      <c r="S699" s="154">
        <f t="shared" si="6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hidden="1" customHeight="1">
      <c r="A700" s="1170"/>
      <c r="B700" s="1184"/>
      <c r="C700" s="1185"/>
      <c r="D700" s="1170"/>
      <c r="E700" s="1170"/>
      <c r="F700" s="1170"/>
      <c r="G700" s="1170"/>
      <c r="H700" s="1170"/>
      <c r="I700" s="1170"/>
      <c r="J700" s="1170"/>
      <c r="K700" s="1170"/>
      <c r="L700" s="153">
        <f t="shared" si="60"/>
        <v>0</v>
      </c>
      <c r="M700" s="154">
        <f t="shared" si="61"/>
        <v>0</v>
      </c>
      <c r="N700" s="155">
        <f>+IF(OR($Q700=Parametres!$G$2,$Q700=Parametres!$G$3),I700,C700)</f>
        <v>0</v>
      </c>
      <c r="O700" s="1108">
        <f>+IF(OR($Q700=Parametres!$G$2,$Q700=Parametres!$G$3),J700,D700)</f>
        <v>0</v>
      </c>
      <c r="P700" s="155">
        <f>+IF(OR($Q700=Parametres!$G$2,$Q700=Parametres!$G$3),K700,E700)</f>
        <v>0</v>
      </c>
      <c r="Q700" s="154">
        <f t="shared" si="62"/>
        <v>0</v>
      </c>
      <c r="R700" s="153">
        <f t="shared" si="63"/>
        <v>0</v>
      </c>
      <c r="S700" s="154">
        <f t="shared" si="6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hidden="1" customHeight="1">
      <c r="A701" s="1170"/>
      <c r="B701" s="1184"/>
      <c r="C701" s="1185"/>
      <c r="D701" s="1170"/>
      <c r="E701" s="1170"/>
      <c r="F701" s="1170"/>
      <c r="G701" s="1170"/>
      <c r="H701" s="1170"/>
      <c r="I701" s="1170"/>
      <c r="J701" s="1170"/>
      <c r="K701" s="1170"/>
      <c r="L701" s="153">
        <f t="shared" si="60"/>
        <v>0</v>
      </c>
      <c r="M701" s="154">
        <f t="shared" si="61"/>
        <v>0</v>
      </c>
      <c r="N701" s="155">
        <f>+IF(OR($Q701=Parametres!$G$2,$Q701=Parametres!$G$3),I701,C701)</f>
        <v>0</v>
      </c>
      <c r="O701" s="1108">
        <f>+IF(OR($Q701=Parametres!$G$2,$Q701=Parametres!$G$3),J701,D701)</f>
        <v>0</v>
      </c>
      <c r="P701" s="155">
        <f>+IF(OR($Q701=Parametres!$G$2,$Q701=Parametres!$G$3),K701,E701)</f>
        <v>0</v>
      </c>
      <c r="Q701" s="154">
        <f t="shared" si="62"/>
        <v>0</v>
      </c>
      <c r="R701" s="153">
        <f t="shared" si="63"/>
        <v>0</v>
      </c>
      <c r="S701" s="154">
        <f t="shared" si="6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hidden="1" customHeight="1">
      <c r="A702" s="1170"/>
      <c r="B702" s="1184"/>
      <c r="C702" s="1185"/>
      <c r="D702" s="1170"/>
      <c r="E702" s="1170"/>
      <c r="F702" s="1170"/>
      <c r="G702" s="1170"/>
      <c r="H702" s="1170"/>
      <c r="I702" s="1170"/>
      <c r="J702" s="1170"/>
      <c r="K702" s="1170"/>
      <c r="L702" s="153">
        <f t="shared" si="60"/>
        <v>0</v>
      </c>
      <c r="M702" s="154">
        <f t="shared" si="61"/>
        <v>0</v>
      </c>
      <c r="N702" s="155">
        <f>+IF(OR($Q702=Parametres!$G$2,$Q702=Parametres!$G$3),I702,C702)</f>
        <v>0</v>
      </c>
      <c r="O702" s="1108">
        <f>+IF(OR($Q702=Parametres!$G$2,$Q702=Parametres!$G$3),J702,D702)</f>
        <v>0</v>
      </c>
      <c r="P702" s="155">
        <f>+IF(OR($Q702=Parametres!$G$2,$Q702=Parametres!$G$3),K702,E702)</f>
        <v>0</v>
      </c>
      <c r="Q702" s="154">
        <f t="shared" si="62"/>
        <v>0</v>
      </c>
      <c r="R702" s="153">
        <f t="shared" si="63"/>
        <v>0</v>
      </c>
      <c r="S702" s="154">
        <f t="shared" si="6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hidden="1" customHeight="1">
      <c r="A703" s="1170"/>
      <c r="B703" s="1184"/>
      <c r="C703" s="1185"/>
      <c r="D703" s="1170"/>
      <c r="E703" s="1170"/>
      <c r="F703" s="1170"/>
      <c r="G703" s="1170"/>
      <c r="H703" s="1170"/>
      <c r="I703" s="1170"/>
      <c r="J703" s="1170"/>
      <c r="K703" s="1170"/>
      <c r="L703" s="153">
        <f t="shared" si="60"/>
        <v>0</v>
      </c>
      <c r="M703" s="154">
        <f t="shared" si="61"/>
        <v>0</v>
      </c>
      <c r="N703" s="155">
        <f>+IF(OR($Q703=Parametres!$G$2,$Q703=Parametres!$G$3),I703,C703)</f>
        <v>0</v>
      </c>
      <c r="O703" s="1108">
        <f>+IF(OR($Q703=Parametres!$G$2,$Q703=Parametres!$G$3),J703,D703)</f>
        <v>0</v>
      </c>
      <c r="P703" s="155">
        <f>+IF(OR($Q703=Parametres!$G$2,$Q703=Parametres!$G$3),K703,E703)</f>
        <v>0</v>
      </c>
      <c r="Q703" s="154">
        <f t="shared" si="62"/>
        <v>0</v>
      </c>
      <c r="R703" s="153">
        <f t="shared" si="63"/>
        <v>0</v>
      </c>
      <c r="S703" s="154">
        <f t="shared" si="6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hidden="1" customHeight="1">
      <c r="A704" s="1170"/>
      <c r="B704" s="1184"/>
      <c r="C704" s="1185"/>
      <c r="D704" s="1170"/>
      <c r="E704" s="1170"/>
      <c r="F704" s="1170"/>
      <c r="G704" s="1170"/>
      <c r="H704" s="1170"/>
      <c r="I704" s="1170"/>
      <c r="J704" s="1170"/>
      <c r="K704" s="1170"/>
      <c r="L704" s="153">
        <f t="shared" si="60"/>
        <v>0</v>
      </c>
      <c r="M704" s="154">
        <f t="shared" si="61"/>
        <v>0</v>
      </c>
      <c r="N704" s="155">
        <f>+IF(OR($Q704=Parametres!$G$2,$Q704=Parametres!$G$3),I704,C704)</f>
        <v>0</v>
      </c>
      <c r="O704" s="1108">
        <f>+IF(OR($Q704=Parametres!$G$2,$Q704=Parametres!$G$3),J704,D704)</f>
        <v>0</v>
      </c>
      <c r="P704" s="155">
        <f>+IF(OR($Q704=Parametres!$G$2,$Q704=Parametres!$G$3),K704,E704)</f>
        <v>0</v>
      </c>
      <c r="Q704" s="154">
        <f t="shared" si="62"/>
        <v>0</v>
      </c>
      <c r="R704" s="153">
        <f t="shared" si="63"/>
        <v>0</v>
      </c>
      <c r="S704" s="154">
        <f t="shared" si="6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hidden="1" customHeight="1">
      <c r="A705" s="1170"/>
      <c r="B705" s="1184"/>
      <c r="C705" s="1185"/>
      <c r="D705" s="1170"/>
      <c r="E705" s="1170"/>
      <c r="F705" s="1170"/>
      <c r="G705" s="1170"/>
      <c r="H705" s="1170"/>
      <c r="I705" s="1170"/>
      <c r="J705" s="1170"/>
      <c r="K705" s="1170"/>
      <c r="L705" s="153">
        <f t="shared" si="60"/>
        <v>0</v>
      </c>
      <c r="M705" s="154">
        <f t="shared" si="61"/>
        <v>0</v>
      </c>
      <c r="N705" s="155">
        <f>+IF(OR($Q705=Parametres!$G$2,$Q705=Parametres!$G$3),I705,C705)</f>
        <v>0</v>
      </c>
      <c r="O705" s="1108">
        <f>+IF(OR($Q705=Parametres!$G$2,$Q705=Parametres!$G$3),J705,D705)</f>
        <v>0</v>
      </c>
      <c r="P705" s="155">
        <f>+IF(OR($Q705=Parametres!$G$2,$Q705=Parametres!$G$3),K705,E705)</f>
        <v>0</v>
      </c>
      <c r="Q705" s="154">
        <f t="shared" si="62"/>
        <v>0</v>
      </c>
      <c r="R705" s="153">
        <f t="shared" si="63"/>
        <v>0</v>
      </c>
      <c r="S705" s="154">
        <f t="shared" si="6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hidden="1" customHeight="1">
      <c r="A706" s="1170"/>
      <c r="B706" s="1184"/>
      <c r="C706" s="1185"/>
      <c r="D706" s="1170"/>
      <c r="E706" s="1170"/>
      <c r="F706" s="1170"/>
      <c r="G706" s="1170"/>
      <c r="H706" s="1170"/>
      <c r="I706" s="1170"/>
      <c r="J706" s="1170"/>
      <c r="K706" s="1170"/>
      <c r="L706" s="153">
        <f t="shared" ref="L706:L769" si="65">+B706</f>
        <v>0</v>
      </c>
      <c r="M706" s="154">
        <f t="shared" ref="M706:M769" si="66">+A706</f>
        <v>0</v>
      </c>
      <c r="N706" s="155">
        <f>+IF(OR($Q706=Parametres!$G$2,$Q706=Parametres!$G$3),I706,C706)</f>
        <v>0</v>
      </c>
      <c r="O706" s="1108">
        <f>+IF(OR($Q706=Parametres!$G$2,$Q706=Parametres!$G$3),J706,D706)</f>
        <v>0</v>
      </c>
      <c r="P706" s="155">
        <f>+IF(OR($Q706=Parametres!$G$2,$Q706=Parametres!$G$3),K706,E706)</f>
        <v>0</v>
      </c>
      <c r="Q706" s="154">
        <f t="shared" ref="Q706:Q769" si="67">+F706</f>
        <v>0</v>
      </c>
      <c r="R706" s="153">
        <f t="shared" ref="R706:R769" si="68">+G706</f>
        <v>0</v>
      </c>
      <c r="S706" s="154">
        <f t="shared" ref="S706:S769" si="6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hidden="1" customHeight="1">
      <c r="A707" s="1170"/>
      <c r="B707" s="1184"/>
      <c r="C707" s="1185"/>
      <c r="D707" s="1170"/>
      <c r="E707" s="1170"/>
      <c r="F707" s="1170"/>
      <c r="G707" s="1170"/>
      <c r="H707" s="1170"/>
      <c r="I707" s="1170"/>
      <c r="J707" s="1170"/>
      <c r="K707" s="1170"/>
      <c r="L707" s="153">
        <f t="shared" si="65"/>
        <v>0</v>
      </c>
      <c r="M707" s="154">
        <f t="shared" si="66"/>
        <v>0</v>
      </c>
      <c r="N707" s="155">
        <f>+IF(OR($Q707=Parametres!$G$2,$Q707=Parametres!$G$3),I707,C707)</f>
        <v>0</v>
      </c>
      <c r="O707" s="1108">
        <f>+IF(OR($Q707=Parametres!$G$2,$Q707=Parametres!$G$3),J707,D707)</f>
        <v>0</v>
      </c>
      <c r="P707" s="155">
        <f>+IF(OR($Q707=Parametres!$G$2,$Q707=Parametres!$G$3),K707,E707)</f>
        <v>0</v>
      </c>
      <c r="Q707" s="154">
        <f t="shared" si="67"/>
        <v>0</v>
      </c>
      <c r="R707" s="153">
        <f t="shared" si="68"/>
        <v>0</v>
      </c>
      <c r="S707" s="154">
        <f t="shared" si="6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hidden="1" customHeight="1">
      <c r="A708" s="1170"/>
      <c r="B708" s="1184"/>
      <c r="C708" s="1185"/>
      <c r="D708" s="1170"/>
      <c r="E708" s="1170"/>
      <c r="F708" s="1170"/>
      <c r="G708" s="1170"/>
      <c r="H708" s="1170"/>
      <c r="I708" s="1170"/>
      <c r="J708" s="1170"/>
      <c r="K708" s="1170"/>
      <c r="L708" s="153">
        <f t="shared" si="65"/>
        <v>0</v>
      </c>
      <c r="M708" s="154">
        <f t="shared" si="66"/>
        <v>0</v>
      </c>
      <c r="N708" s="155">
        <f>+IF(OR($Q708=Parametres!$G$2,$Q708=Parametres!$G$3),I708,C708)</f>
        <v>0</v>
      </c>
      <c r="O708" s="1108">
        <f>+IF(OR($Q708=Parametres!$G$2,$Q708=Parametres!$G$3),J708,D708)</f>
        <v>0</v>
      </c>
      <c r="P708" s="155">
        <f>+IF(OR($Q708=Parametres!$G$2,$Q708=Parametres!$G$3),K708,E708)</f>
        <v>0</v>
      </c>
      <c r="Q708" s="154">
        <f t="shared" si="67"/>
        <v>0</v>
      </c>
      <c r="R708" s="153">
        <f t="shared" si="68"/>
        <v>0</v>
      </c>
      <c r="S708" s="154">
        <f t="shared" si="6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hidden="1" customHeight="1">
      <c r="A709" s="1170"/>
      <c r="B709" s="1184"/>
      <c r="C709" s="1185"/>
      <c r="D709" s="1170"/>
      <c r="E709" s="1170"/>
      <c r="F709" s="1170"/>
      <c r="G709" s="1170"/>
      <c r="H709" s="1170"/>
      <c r="I709" s="1170"/>
      <c r="J709" s="1170"/>
      <c r="K709" s="1170"/>
      <c r="L709" s="153">
        <f t="shared" si="65"/>
        <v>0</v>
      </c>
      <c r="M709" s="154">
        <f t="shared" si="66"/>
        <v>0</v>
      </c>
      <c r="N709" s="155">
        <f>+IF(OR($Q709=Parametres!$G$2,$Q709=Parametres!$G$3),I709,C709)</f>
        <v>0</v>
      </c>
      <c r="O709" s="1108">
        <f>+IF(OR($Q709=Parametres!$G$2,$Q709=Parametres!$G$3),J709,D709)</f>
        <v>0</v>
      </c>
      <c r="P709" s="155">
        <f>+IF(OR($Q709=Parametres!$G$2,$Q709=Parametres!$G$3),K709,E709)</f>
        <v>0</v>
      </c>
      <c r="Q709" s="154">
        <f t="shared" si="67"/>
        <v>0</v>
      </c>
      <c r="R709" s="153">
        <f t="shared" si="68"/>
        <v>0</v>
      </c>
      <c r="S709" s="154">
        <f t="shared" si="6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hidden="1" customHeight="1">
      <c r="A710" s="1170"/>
      <c r="B710" s="1184"/>
      <c r="C710" s="1185"/>
      <c r="D710" s="1170"/>
      <c r="E710" s="1170"/>
      <c r="F710" s="1170"/>
      <c r="G710" s="1170"/>
      <c r="H710" s="1170"/>
      <c r="I710" s="1170"/>
      <c r="J710" s="1170"/>
      <c r="K710" s="1170"/>
      <c r="L710" s="153">
        <f t="shared" si="65"/>
        <v>0</v>
      </c>
      <c r="M710" s="154">
        <f t="shared" si="66"/>
        <v>0</v>
      </c>
      <c r="N710" s="155">
        <f>+IF(OR($Q710=Parametres!$G$2,$Q710=Parametres!$G$3),I710,C710)</f>
        <v>0</v>
      </c>
      <c r="O710" s="1108">
        <f>+IF(OR($Q710=Parametres!$G$2,$Q710=Parametres!$G$3),J710,D710)</f>
        <v>0</v>
      </c>
      <c r="P710" s="155">
        <f>+IF(OR($Q710=Parametres!$G$2,$Q710=Parametres!$G$3),K710,E710)</f>
        <v>0</v>
      </c>
      <c r="Q710" s="154">
        <f t="shared" si="67"/>
        <v>0</v>
      </c>
      <c r="R710" s="153">
        <f t="shared" si="68"/>
        <v>0</v>
      </c>
      <c r="S710" s="154">
        <f t="shared" si="6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hidden="1" customHeight="1">
      <c r="A711" s="1170"/>
      <c r="B711" s="1184"/>
      <c r="C711" s="1185"/>
      <c r="D711" s="1170"/>
      <c r="E711" s="1170"/>
      <c r="F711" s="1170"/>
      <c r="G711" s="1170"/>
      <c r="H711" s="1170"/>
      <c r="I711" s="1170"/>
      <c r="J711" s="1170"/>
      <c r="K711" s="1170"/>
      <c r="L711" s="153">
        <f t="shared" si="65"/>
        <v>0</v>
      </c>
      <c r="M711" s="154">
        <f t="shared" si="66"/>
        <v>0</v>
      </c>
      <c r="N711" s="155">
        <f>+IF(OR($Q711=Parametres!$G$2,$Q711=Parametres!$G$3),I711,C711)</f>
        <v>0</v>
      </c>
      <c r="O711" s="1108">
        <f>+IF(OR($Q711=Parametres!$G$2,$Q711=Parametres!$G$3),J711,D711)</f>
        <v>0</v>
      </c>
      <c r="P711" s="155">
        <f>+IF(OR($Q711=Parametres!$G$2,$Q711=Parametres!$G$3),K711,E711)</f>
        <v>0</v>
      </c>
      <c r="Q711" s="154">
        <f t="shared" si="67"/>
        <v>0</v>
      </c>
      <c r="R711" s="153">
        <f t="shared" si="68"/>
        <v>0</v>
      </c>
      <c r="S711" s="154">
        <f t="shared" si="6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hidden="1" customHeight="1">
      <c r="A712" s="1170"/>
      <c r="B712" s="1184"/>
      <c r="C712" s="1185"/>
      <c r="D712" s="1170"/>
      <c r="E712" s="1170"/>
      <c r="F712" s="1170"/>
      <c r="G712" s="1170"/>
      <c r="H712" s="1170"/>
      <c r="I712" s="1170"/>
      <c r="J712" s="1170"/>
      <c r="K712" s="1170"/>
      <c r="L712" s="153">
        <f t="shared" si="65"/>
        <v>0</v>
      </c>
      <c r="M712" s="154">
        <f t="shared" si="66"/>
        <v>0</v>
      </c>
      <c r="N712" s="155">
        <f>+IF(OR($Q712=Parametres!$G$2,$Q712=Parametres!$G$3),I712,C712)</f>
        <v>0</v>
      </c>
      <c r="O712" s="1108">
        <f>+IF(OR($Q712=Parametres!$G$2,$Q712=Parametres!$G$3),J712,D712)</f>
        <v>0</v>
      </c>
      <c r="P712" s="155">
        <f>+IF(OR($Q712=Parametres!$G$2,$Q712=Parametres!$G$3),K712,E712)</f>
        <v>0</v>
      </c>
      <c r="Q712" s="154">
        <f t="shared" si="67"/>
        <v>0</v>
      </c>
      <c r="R712" s="153">
        <f t="shared" si="68"/>
        <v>0</v>
      </c>
      <c r="S712" s="154">
        <f t="shared" si="6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hidden="1" customHeight="1">
      <c r="A713" s="1170"/>
      <c r="B713" s="1184"/>
      <c r="C713" s="1185"/>
      <c r="D713" s="1170"/>
      <c r="E713" s="1170"/>
      <c r="F713" s="1170"/>
      <c r="G713" s="1170"/>
      <c r="H713" s="1170"/>
      <c r="I713" s="1170"/>
      <c r="J713" s="1170"/>
      <c r="K713" s="1170"/>
      <c r="L713" s="153">
        <f t="shared" si="65"/>
        <v>0</v>
      </c>
      <c r="M713" s="154">
        <f t="shared" si="66"/>
        <v>0</v>
      </c>
      <c r="N713" s="155">
        <f>+IF(OR($Q713=Parametres!$G$2,$Q713=Parametres!$G$3),I713,C713)</f>
        <v>0</v>
      </c>
      <c r="O713" s="1108">
        <f>+IF(OR($Q713=Parametres!$G$2,$Q713=Parametres!$G$3),J713,D713)</f>
        <v>0</v>
      </c>
      <c r="P713" s="155">
        <f>+IF(OR($Q713=Parametres!$G$2,$Q713=Parametres!$G$3),K713,E713)</f>
        <v>0</v>
      </c>
      <c r="Q713" s="154">
        <f t="shared" si="67"/>
        <v>0</v>
      </c>
      <c r="R713" s="153">
        <f t="shared" si="68"/>
        <v>0</v>
      </c>
      <c r="S713" s="154">
        <f t="shared" si="6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hidden="1" customHeight="1">
      <c r="A714" s="1170"/>
      <c r="B714" s="1184"/>
      <c r="C714" s="1185"/>
      <c r="D714" s="1170"/>
      <c r="E714" s="1170"/>
      <c r="F714" s="1170"/>
      <c r="G714" s="1170"/>
      <c r="H714" s="1170"/>
      <c r="I714" s="1170"/>
      <c r="J714" s="1170"/>
      <c r="K714" s="1170"/>
      <c r="L714" s="153">
        <f t="shared" si="65"/>
        <v>0</v>
      </c>
      <c r="M714" s="154">
        <f t="shared" si="66"/>
        <v>0</v>
      </c>
      <c r="N714" s="155">
        <f>+IF(OR($Q714=Parametres!$G$2,$Q714=Parametres!$G$3),I714,C714)</f>
        <v>0</v>
      </c>
      <c r="O714" s="1108">
        <f>+IF(OR($Q714=Parametres!$G$2,$Q714=Parametres!$G$3),J714,D714)</f>
        <v>0</v>
      </c>
      <c r="P714" s="155">
        <f>+IF(OR($Q714=Parametres!$G$2,$Q714=Parametres!$G$3),K714,E714)</f>
        <v>0</v>
      </c>
      <c r="Q714" s="154">
        <f t="shared" si="67"/>
        <v>0</v>
      </c>
      <c r="R714" s="153">
        <f t="shared" si="68"/>
        <v>0</v>
      </c>
      <c r="S714" s="154">
        <f t="shared" si="6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hidden="1" customHeight="1">
      <c r="A715" s="1170"/>
      <c r="B715" s="1184"/>
      <c r="C715" s="1185"/>
      <c r="D715" s="1170"/>
      <c r="E715" s="1170"/>
      <c r="F715" s="1170"/>
      <c r="G715" s="1170"/>
      <c r="H715" s="1170"/>
      <c r="I715" s="1170"/>
      <c r="J715" s="1170"/>
      <c r="K715" s="1170"/>
      <c r="L715" s="153">
        <f t="shared" si="65"/>
        <v>0</v>
      </c>
      <c r="M715" s="154">
        <f t="shared" si="66"/>
        <v>0</v>
      </c>
      <c r="N715" s="155">
        <f>+IF(OR($Q715=Parametres!$G$2,$Q715=Parametres!$G$3),I715,C715)</f>
        <v>0</v>
      </c>
      <c r="O715" s="1108">
        <f>+IF(OR($Q715=Parametres!$G$2,$Q715=Parametres!$G$3),J715,D715)</f>
        <v>0</v>
      </c>
      <c r="P715" s="155">
        <f>+IF(OR($Q715=Parametres!$G$2,$Q715=Parametres!$G$3),K715,E715)</f>
        <v>0</v>
      </c>
      <c r="Q715" s="154">
        <f t="shared" si="67"/>
        <v>0</v>
      </c>
      <c r="R715" s="153">
        <f t="shared" si="68"/>
        <v>0</v>
      </c>
      <c r="S715" s="154">
        <f t="shared" si="6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hidden="1" customHeight="1">
      <c r="A716" s="1170"/>
      <c r="B716" s="1184"/>
      <c r="C716" s="1185"/>
      <c r="D716" s="1170"/>
      <c r="E716" s="1170"/>
      <c r="F716" s="1170"/>
      <c r="G716" s="1170"/>
      <c r="H716" s="1170"/>
      <c r="I716" s="1170"/>
      <c r="J716" s="1170"/>
      <c r="K716" s="1170"/>
      <c r="L716" s="153">
        <f t="shared" si="65"/>
        <v>0</v>
      </c>
      <c r="M716" s="154">
        <f t="shared" si="66"/>
        <v>0</v>
      </c>
      <c r="N716" s="155">
        <f>+IF(OR($Q716=Parametres!$G$2,$Q716=Parametres!$G$3),I716,C716)</f>
        <v>0</v>
      </c>
      <c r="O716" s="1108">
        <f>+IF(OR($Q716=Parametres!$G$2,$Q716=Parametres!$G$3),J716,D716)</f>
        <v>0</v>
      </c>
      <c r="P716" s="155">
        <f>+IF(OR($Q716=Parametres!$G$2,$Q716=Parametres!$G$3),K716,E716)</f>
        <v>0</v>
      </c>
      <c r="Q716" s="154">
        <f t="shared" si="67"/>
        <v>0</v>
      </c>
      <c r="R716" s="153">
        <f t="shared" si="68"/>
        <v>0</v>
      </c>
      <c r="S716" s="154">
        <f t="shared" si="6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hidden="1" customHeight="1">
      <c r="A717" s="1170"/>
      <c r="B717" s="1184"/>
      <c r="C717" s="1185"/>
      <c r="D717" s="1170"/>
      <c r="E717" s="1170"/>
      <c r="F717" s="1170"/>
      <c r="G717" s="1170"/>
      <c r="H717" s="1170"/>
      <c r="I717" s="1170"/>
      <c r="J717" s="1170"/>
      <c r="K717" s="1170"/>
      <c r="L717" s="153">
        <f t="shared" si="65"/>
        <v>0</v>
      </c>
      <c r="M717" s="154">
        <f t="shared" si="66"/>
        <v>0</v>
      </c>
      <c r="N717" s="155">
        <f>+IF(OR($Q717=Parametres!$G$2,$Q717=Parametres!$G$3),I717,C717)</f>
        <v>0</v>
      </c>
      <c r="O717" s="1108">
        <f>+IF(OR($Q717=Parametres!$G$2,$Q717=Parametres!$G$3),J717,D717)</f>
        <v>0</v>
      </c>
      <c r="P717" s="155">
        <f>+IF(OR($Q717=Parametres!$G$2,$Q717=Parametres!$G$3),K717,E717)</f>
        <v>0</v>
      </c>
      <c r="Q717" s="154">
        <f t="shared" si="67"/>
        <v>0</v>
      </c>
      <c r="R717" s="153">
        <f t="shared" si="68"/>
        <v>0</v>
      </c>
      <c r="S717" s="154">
        <f t="shared" si="6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hidden="1" customHeight="1">
      <c r="A718" s="1170"/>
      <c r="B718" s="1184"/>
      <c r="C718" s="1185"/>
      <c r="D718" s="1170"/>
      <c r="E718" s="1170"/>
      <c r="F718" s="1170"/>
      <c r="G718" s="1170"/>
      <c r="H718" s="1170"/>
      <c r="I718" s="1170"/>
      <c r="J718" s="1170"/>
      <c r="K718" s="1170"/>
      <c r="L718" s="153">
        <f t="shared" si="65"/>
        <v>0</v>
      </c>
      <c r="M718" s="154">
        <f t="shared" si="66"/>
        <v>0</v>
      </c>
      <c r="N718" s="155">
        <f>+IF(OR($Q718=Parametres!$G$2,$Q718=Parametres!$G$3),I718,C718)</f>
        <v>0</v>
      </c>
      <c r="O718" s="1108">
        <f>+IF(OR($Q718=Parametres!$G$2,$Q718=Parametres!$G$3),J718,D718)</f>
        <v>0</v>
      </c>
      <c r="P718" s="155">
        <f>+IF(OR($Q718=Parametres!$G$2,$Q718=Parametres!$G$3),K718,E718)</f>
        <v>0</v>
      </c>
      <c r="Q718" s="154">
        <f t="shared" si="67"/>
        <v>0</v>
      </c>
      <c r="R718" s="153">
        <f t="shared" si="68"/>
        <v>0</v>
      </c>
      <c r="S718" s="154">
        <f t="shared" si="6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hidden="1" customHeight="1">
      <c r="A719" s="1170"/>
      <c r="B719" s="1184"/>
      <c r="C719" s="1185"/>
      <c r="D719" s="1170"/>
      <c r="E719" s="1170"/>
      <c r="F719" s="1170"/>
      <c r="G719" s="1170"/>
      <c r="H719" s="1170"/>
      <c r="I719" s="1170"/>
      <c r="J719" s="1170"/>
      <c r="K719" s="1170"/>
      <c r="L719" s="153">
        <f t="shared" si="65"/>
        <v>0</v>
      </c>
      <c r="M719" s="154">
        <f t="shared" si="66"/>
        <v>0</v>
      </c>
      <c r="N719" s="155">
        <f>+IF(OR($Q719=Parametres!$G$2,$Q719=Parametres!$G$3),I719,C719)</f>
        <v>0</v>
      </c>
      <c r="O719" s="1108">
        <f>+IF(OR($Q719=Parametres!$G$2,$Q719=Parametres!$G$3),J719,D719)</f>
        <v>0</v>
      </c>
      <c r="P719" s="155">
        <f>+IF(OR($Q719=Parametres!$G$2,$Q719=Parametres!$G$3),K719,E719)</f>
        <v>0</v>
      </c>
      <c r="Q719" s="154">
        <f t="shared" si="67"/>
        <v>0</v>
      </c>
      <c r="R719" s="153">
        <f t="shared" si="68"/>
        <v>0</v>
      </c>
      <c r="S719" s="154">
        <f t="shared" si="6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hidden="1" customHeight="1">
      <c r="A720" s="1170"/>
      <c r="B720" s="1184"/>
      <c r="C720" s="1185"/>
      <c r="D720" s="1170"/>
      <c r="E720" s="1170"/>
      <c r="F720" s="1170"/>
      <c r="G720" s="1170"/>
      <c r="H720" s="1170"/>
      <c r="I720" s="1170"/>
      <c r="J720" s="1170"/>
      <c r="K720" s="1170"/>
      <c r="L720" s="153">
        <f t="shared" si="65"/>
        <v>0</v>
      </c>
      <c r="M720" s="154">
        <f t="shared" si="66"/>
        <v>0</v>
      </c>
      <c r="N720" s="155">
        <f>+IF(OR($Q720=Parametres!$G$2,$Q720=Parametres!$G$3),I720,C720)</f>
        <v>0</v>
      </c>
      <c r="O720" s="1108">
        <f>+IF(OR($Q720=Parametres!$G$2,$Q720=Parametres!$G$3),J720,D720)</f>
        <v>0</v>
      </c>
      <c r="P720" s="155">
        <f>+IF(OR($Q720=Parametres!$G$2,$Q720=Parametres!$G$3),K720,E720)</f>
        <v>0</v>
      </c>
      <c r="Q720" s="154">
        <f t="shared" si="67"/>
        <v>0</v>
      </c>
      <c r="R720" s="153">
        <f t="shared" si="68"/>
        <v>0</v>
      </c>
      <c r="S720" s="154">
        <f t="shared" si="6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hidden="1" customHeight="1">
      <c r="A721" s="1170"/>
      <c r="B721" s="1184"/>
      <c r="C721" s="1185"/>
      <c r="D721" s="1170"/>
      <c r="E721" s="1170"/>
      <c r="F721" s="1170"/>
      <c r="G721" s="1170"/>
      <c r="H721" s="1170"/>
      <c r="I721" s="1170"/>
      <c r="J721" s="1170"/>
      <c r="K721" s="1170"/>
      <c r="L721" s="153">
        <f t="shared" si="65"/>
        <v>0</v>
      </c>
      <c r="M721" s="154">
        <f t="shared" si="66"/>
        <v>0</v>
      </c>
      <c r="N721" s="155">
        <f>+IF(OR($Q721=Parametres!$G$2,$Q721=Parametres!$G$3),I721,C721)</f>
        <v>0</v>
      </c>
      <c r="O721" s="1108">
        <f>+IF(OR($Q721=Parametres!$G$2,$Q721=Parametres!$G$3),J721,D721)</f>
        <v>0</v>
      </c>
      <c r="P721" s="155">
        <f>+IF(OR($Q721=Parametres!$G$2,$Q721=Parametres!$G$3),K721,E721)</f>
        <v>0</v>
      </c>
      <c r="Q721" s="154">
        <f t="shared" si="67"/>
        <v>0</v>
      </c>
      <c r="R721" s="153">
        <f t="shared" si="68"/>
        <v>0</v>
      </c>
      <c r="S721" s="154">
        <f t="shared" si="6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hidden="1" customHeight="1">
      <c r="A722" s="1170"/>
      <c r="B722" s="1184"/>
      <c r="C722" s="1185"/>
      <c r="D722" s="1170"/>
      <c r="E722" s="1170"/>
      <c r="F722" s="1170"/>
      <c r="G722" s="1170"/>
      <c r="H722" s="1170"/>
      <c r="I722" s="1170"/>
      <c r="J722" s="1170"/>
      <c r="K722" s="1170"/>
      <c r="L722" s="153">
        <f t="shared" si="65"/>
        <v>0</v>
      </c>
      <c r="M722" s="154">
        <f t="shared" si="66"/>
        <v>0</v>
      </c>
      <c r="N722" s="155">
        <f>+IF(OR($Q722=Parametres!$G$2,$Q722=Parametres!$G$3),I722,C722)</f>
        <v>0</v>
      </c>
      <c r="O722" s="1108">
        <f>+IF(OR($Q722=Parametres!$G$2,$Q722=Parametres!$G$3),J722,D722)</f>
        <v>0</v>
      </c>
      <c r="P722" s="155">
        <f>+IF(OR($Q722=Parametres!$G$2,$Q722=Parametres!$G$3),K722,E722)</f>
        <v>0</v>
      </c>
      <c r="Q722" s="154">
        <f t="shared" si="67"/>
        <v>0</v>
      </c>
      <c r="R722" s="153">
        <f t="shared" si="68"/>
        <v>0</v>
      </c>
      <c r="S722" s="154">
        <f t="shared" si="6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hidden="1" customHeight="1">
      <c r="A723" s="1170"/>
      <c r="B723" s="1184"/>
      <c r="C723" s="1185"/>
      <c r="D723" s="1170"/>
      <c r="E723" s="1170"/>
      <c r="F723" s="1170"/>
      <c r="G723" s="1170"/>
      <c r="H723" s="1170"/>
      <c r="I723" s="1170"/>
      <c r="J723" s="1170"/>
      <c r="K723" s="1170"/>
      <c r="L723" s="153">
        <f t="shared" si="65"/>
        <v>0</v>
      </c>
      <c r="M723" s="154">
        <f t="shared" si="66"/>
        <v>0</v>
      </c>
      <c r="N723" s="155">
        <f>+IF(OR($Q723=Parametres!$G$2,$Q723=Parametres!$G$3),I723,C723)</f>
        <v>0</v>
      </c>
      <c r="O723" s="1108">
        <f>+IF(OR($Q723=Parametres!$G$2,$Q723=Parametres!$G$3),J723,D723)</f>
        <v>0</v>
      </c>
      <c r="P723" s="155">
        <f>+IF(OR($Q723=Parametres!$G$2,$Q723=Parametres!$G$3),K723,E723)</f>
        <v>0</v>
      </c>
      <c r="Q723" s="154">
        <f t="shared" si="67"/>
        <v>0</v>
      </c>
      <c r="R723" s="153">
        <f t="shared" si="68"/>
        <v>0</v>
      </c>
      <c r="S723" s="154">
        <f t="shared" si="6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hidden="1" customHeight="1">
      <c r="A724" s="1170"/>
      <c r="B724" s="1184"/>
      <c r="C724" s="1185"/>
      <c r="D724" s="1170"/>
      <c r="E724" s="1170"/>
      <c r="F724" s="1170"/>
      <c r="G724" s="1170"/>
      <c r="H724" s="1170"/>
      <c r="I724" s="1170"/>
      <c r="J724" s="1170"/>
      <c r="K724" s="1170"/>
      <c r="L724" s="153">
        <f t="shared" si="65"/>
        <v>0</v>
      </c>
      <c r="M724" s="154">
        <f t="shared" si="66"/>
        <v>0</v>
      </c>
      <c r="N724" s="155">
        <f>+IF(OR($Q724=Parametres!$G$2,$Q724=Parametres!$G$3),I724,C724)</f>
        <v>0</v>
      </c>
      <c r="O724" s="1108">
        <f>+IF(OR($Q724=Parametres!$G$2,$Q724=Parametres!$G$3),J724,D724)</f>
        <v>0</v>
      </c>
      <c r="P724" s="155">
        <f>+IF(OR($Q724=Parametres!$G$2,$Q724=Parametres!$G$3),K724,E724)</f>
        <v>0</v>
      </c>
      <c r="Q724" s="154">
        <f t="shared" si="67"/>
        <v>0</v>
      </c>
      <c r="R724" s="153">
        <f t="shared" si="68"/>
        <v>0</v>
      </c>
      <c r="S724" s="154">
        <f t="shared" si="6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hidden="1" customHeight="1">
      <c r="A725" s="1170"/>
      <c r="B725" s="1184"/>
      <c r="C725" s="1185"/>
      <c r="D725" s="1170"/>
      <c r="E725" s="1170"/>
      <c r="F725" s="1170"/>
      <c r="G725" s="1170"/>
      <c r="H725" s="1170"/>
      <c r="I725" s="1170"/>
      <c r="J725" s="1170"/>
      <c r="K725" s="1170"/>
      <c r="L725" s="153">
        <f t="shared" si="65"/>
        <v>0</v>
      </c>
      <c r="M725" s="154">
        <f t="shared" si="66"/>
        <v>0</v>
      </c>
      <c r="N725" s="155">
        <f>+IF(OR($Q725=Parametres!$G$2,$Q725=Parametres!$G$3),I725,C725)</f>
        <v>0</v>
      </c>
      <c r="O725" s="1108">
        <f>+IF(OR($Q725=Parametres!$G$2,$Q725=Parametres!$G$3),J725,D725)</f>
        <v>0</v>
      </c>
      <c r="P725" s="155">
        <f>+IF(OR($Q725=Parametres!$G$2,$Q725=Parametres!$G$3),K725,E725)</f>
        <v>0</v>
      </c>
      <c r="Q725" s="154">
        <f t="shared" si="67"/>
        <v>0</v>
      </c>
      <c r="R725" s="153">
        <f t="shared" si="68"/>
        <v>0</v>
      </c>
      <c r="S725" s="154">
        <f t="shared" si="6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hidden="1" customHeight="1">
      <c r="A726" s="1170"/>
      <c r="B726" s="1184"/>
      <c r="C726" s="1185"/>
      <c r="D726" s="1170"/>
      <c r="E726" s="1170"/>
      <c r="F726" s="1170"/>
      <c r="G726" s="1170"/>
      <c r="H726" s="1170"/>
      <c r="I726" s="1170"/>
      <c r="J726" s="1170"/>
      <c r="K726" s="1170"/>
      <c r="L726" s="153">
        <f t="shared" si="65"/>
        <v>0</v>
      </c>
      <c r="M726" s="154">
        <f t="shared" si="66"/>
        <v>0</v>
      </c>
      <c r="N726" s="155">
        <f>+IF(OR($Q726=Parametres!$G$2,$Q726=Parametres!$G$3),I726,C726)</f>
        <v>0</v>
      </c>
      <c r="O726" s="1108">
        <f>+IF(OR($Q726=Parametres!$G$2,$Q726=Parametres!$G$3),J726,D726)</f>
        <v>0</v>
      </c>
      <c r="P726" s="155">
        <f>+IF(OR($Q726=Parametres!$G$2,$Q726=Parametres!$G$3),K726,E726)</f>
        <v>0</v>
      </c>
      <c r="Q726" s="154">
        <f t="shared" si="67"/>
        <v>0</v>
      </c>
      <c r="R726" s="153">
        <f t="shared" si="68"/>
        <v>0</v>
      </c>
      <c r="S726" s="154">
        <f t="shared" si="6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hidden="1" customHeight="1">
      <c r="A727" s="1170"/>
      <c r="B727" s="1184"/>
      <c r="C727" s="1185"/>
      <c r="D727" s="1170"/>
      <c r="E727" s="1170"/>
      <c r="F727" s="1170"/>
      <c r="G727" s="1170"/>
      <c r="H727" s="1170"/>
      <c r="I727" s="1170"/>
      <c r="J727" s="1170"/>
      <c r="K727" s="1170"/>
      <c r="L727" s="153">
        <f t="shared" si="65"/>
        <v>0</v>
      </c>
      <c r="M727" s="154">
        <f t="shared" si="66"/>
        <v>0</v>
      </c>
      <c r="N727" s="155">
        <f>+IF(OR($Q727=Parametres!$G$2,$Q727=Parametres!$G$3),I727,C727)</f>
        <v>0</v>
      </c>
      <c r="O727" s="1108">
        <f>+IF(OR($Q727=Parametres!$G$2,$Q727=Parametres!$G$3),J727,D727)</f>
        <v>0</v>
      </c>
      <c r="P727" s="155">
        <f>+IF(OR($Q727=Parametres!$G$2,$Q727=Parametres!$G$3),K727,E727)</f>
        <v>0</v>
      </c>
      <c r="Q727" s="154">
        <f t="shared" si="67"/>
        <v>0</v>
      </c>
      <c r="R727" s="153">
        <f t="shared" si="68"/>
        <v>0</v>
      </c>
      <c r="S727" s="154">
        <f t="shared" si="6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hidden="1" customHeight="1">
      <c r="A728" s="1170"/>
      <c r="B728" s="1184"/>
      <c r="C728" s="1185"/>
      <c r="D728" s="1170"/>
      <c r="E728" s="1170"/>
      <c r="F728" s="1170"/>
      <c r="G728" s="1170"/>
      <c r="H728" s="1170"/>
      <c r="I728" s="1170"/>
      <c r="J728" s="1170"/>
      <c r="K728" s="1170"/>
      <c r="L728" s="153">
        <f t="shared" si="65"/>
        <v>0</v>
      </c>
      <c r="M728" s="154">
        <f t="shared" si="66"/>
        <v>0</v>
      </c>
      <c r="N728" s="155">
        <f>+IF(OR($Q728=Parametres!$G$2,$Q728=Parametres!$G$3),I728,C728)</f>
        <v>0</v>
      </c>
      <c r="O728" s="1108">
        <f>+IF(OR($Q728=Parametres!$G$2,$Q728=Parametres!$G$3),J728,D728)</f>
        <v>0</v>
      </c>
      <c r="P728" s="155">
        <f>+IF(OR($Q728=Parametres!$G$2,$Q728=Parametres!$G$3),K728,E728)</f>
        <v>0</v>
      </c>
      <c r="Q728" s="154">
        <f t="shared" si="67"/>
        <v>0</v>
      </c>
      <c r="R728" s="153">
        <f t="shared" si="68"/>
        <v>0</v>
      </c>
      <c r="S728" s="154">
        <f t="shared" si="6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hidden="1" customHeight="1">
      <c r="A729" s="1170"/>
      <c r="B729" s="1184"/>
      <c r="C729" s="1185"/>
      <c r="D729" s="1170"/>
      <c r="E729" s="1170"/>
      <c r="F729" s="1170"/>
      <c r="G729" s="1170"/>
      <c r="H729" s="1170"/>
      <c r="I729" s="1170"/>
      <c r="J729" s="1170"/>
      <c r="K729" s="1170"/>
      <c r="L729" s="153">
        <f t="shared" si="65"/>
        <v>0</v>
      </c>
      <c r="M729" s="154">
        <f t="shared" si="66"/>
        <v>0</v>
      </c>
      <c r="N729" s="155">
        <f>+IF(OR($Q729=Parametres!$G$2,$Q729=Parametres!$G$3),I729,C729)</f>
        <v>0</v>
      </c>
      <c r="O729" s="1108">
        <f>+IF(OR($Q729=Parametres!$G$2,$Q729=Parametres!$G$3),J729,D729)</f>
        <v>0</v>
      </c>
      <c r="P729" s="155">
        <f>+IF(OR($Q729=Parametres!$G$2,$Q729=Parametres!$G$3),K729,E729)</f>
        <v>0</v>
      </c>
      <c r="Q729" s="154">
        <f t="shared" si="67"/>
        <v>0</v>
      </c>
      <c r="R729" s="153">
        <f t="shared" si="68"/>
        <v>0</v>
      </c>
      <c r="S729" s="154">
        <f t="shared" si="6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hidden="1" customHeight="1">
      <c r="A730" s="1170"/>
      <c r="B730" s="1184"/>
      <c r="C730" s="1185"/>
      <c r="D730" s="1170"/>
      <c r="E730" s="1170"/>
      <c r="F730" s="1170"/>
      <c r="G730" s="1170"/>
      <c r="H730" s="1170"/>
      <c r="I730" s="1170"/>
      <c r="J730" s="1170"/>
      <c r="K730" s="1170"/>
      <c r="L730" s="153">
        <f t="shared" si="65"/>
        <v>0</v>
      </c>
      <c r="M730" s="154">
        <f t="shared" si="66"/>
        <v>0</v>
      </c>
      <c r="N730" s="155">
        <f>+IF(OR($Q730=Parametres!$G$2,$Q730=Parametres!$G$3),I730,C730)</f>
        <v>0</v>
      </c>
      <c r="O730" s="1108">
        <f>+IF(OR($Q730=Parametres!$G$2,$Q730=Parametres!$G$3),J730,D730)</f>
        <v>0</v>
      </c>
      <c r="P730" s="155">
        <f>+IF(OR($Q730=Parametres!$G$2,$Q730=Parametres!$G$3),K730,E730)</f>
        <v>0</v>
      </c>
      <c r="Q730" s="154">
        <f t="shared" si="67"/>
        <v>0</v>
      </c>
      <c r="R730" s="153">
        <f t="shared" si="68"/>
        <v>0</v>
      </c>
      <c r="S730" s="154">
        <f t="shared" si="6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hidden="1" customHeight="1">
      <c r="A731" s="1170"/>
      <c r="B731" s="1184"/>
      <c r="C731" s="1185"/>
      <c r="D731" s="1170"/>
      <c r="E731" s="1170"/>
      <c r="F731" s="1170"/>
      <c r="G731" s="1170"/>
      <c r="H731" s="1170"/>
      <c r="I731" s="1170"/>
      <c r="J731" s="1170"/>
      <c r="K731" s="1170"/>
      <c r="L731" s="153">
        <f t="shared" si="65"/>
        <v>0</v>
      </c>
      <c r="M731" s="154">
        <f t="shared" si="66"/>
        <v>0</v>
      </c>
      <c r="N731" s="155">
        <f>+IF(OR($Q731=Parametres!$G$2,$Q731=Parametres!$G$3),I731,C731)</f>
        <v>0</v>
      </c>
      <c r="O731" s="1108">
        <f>+IF(OR($Q731=Parametres!$G$2,$Q731=Parametres!$G$3),J731,D731)</f>
        <v>0</v>
      </c>
      <c r="P731" s="155">
        <f>+IF(OR($Q731=Parametres!$G$2,$Q731=Parametres!$G$3),K731,E731)</f>
        <v>0</v>
      </c>
      <c r="Q731" s="154">
        <f t="shared" si="67"/>
        <v>0</v>
      </c>
      <c r="R731" s="153">
        <f t="shared" si="68"/>
        <v>0</v>
      </c>
      <c r="S731" s="154">
        <f t="shared" si="6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hidden="1" customHeight="1">
      <c r="A732" s="1170"/>
      <c r="B732" s="1184"/>
      <c r="C732" s="1185"/>
      <c r="D732" s="1170"/>
      <c r="E732" s="1170"/>
      <c r="F732" s="1170"/>
      <c r="G732" s="1170"/>
      <c r="H732" s="1170"/>
      <c r="I732" s="1170"/>
      <c r="J732" s="1170"/>
      <c r="K732" s="1170"/>
      <c r="L732" s="153">
        <f t="shared" si="65"/>
        <v>0</v>
      </c>
      <c r="M732" s="154">
        <f t="shared" si="66"/>
        <v>0</v>
      </c>
      <c r="N732" s="155">
        <f>+IF(OR($Q732=Parametres!$G$2,$Q732=Parametres!$G$3),I732,C732)</f>
        <v>0</v>
      </c>
      <c r="O732" s="1108">
        <f>+IF(OR($Q732=Parametres!$G$2,$Q732=Parametres!$G$3),J732,D732)</f>
        <v>0</v>
      </c>
      <c r="P732" s="155">
        <f>+IF(OR($Q732=Parametres!$G$2,$Q732=Parametres!$G$3),K732,E732)</f>
        <v>0</v>
      </c>
      <c r="Q732" s="154">
        <f t="shared" si="67"/>
        <v>0</v>
      </c>
      <c r="R732" s="153">
        <f t="shared" si="68"/>
        <v>0</v>
      </c>
      <c r="S732" s="154">
        <f t="shared" si="6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hidden="1" customHeight="1">
      <c r="A733" s="1170"/>
      <c r="B733" s="1184"/>
      <c r="C733" s="1185"/>
      <c r="D733" s="1170"/>
      <c r="E733" s="1170"/>
      <c r="F733" s="1170"/>
      <c r="G733" s="1170"/>
      <c r="H733" s="1170"/>
      <c r="I733" s="1170"/>
      <c r="J733" s="1170"/>
      <c r="K733" s="1170"/>
      <c r="L733" s="153">
        <f t="shared" si="65"/>
        <v>0</v>
      </c>
      <c r="M733" s="154">
        <f t="shared" si="66"/>
        <v>0</v>
      </c>
      <c r="N733" s="155">
        <f>+IF(OR($Q733=Parametres!$G$2,$Q733=Parametres!$G$3),I733,C733)</f>
        <v>0</v>
      </c>
      <c r="O733" s="1108">
        <f>+IF(OR($Q733=Parametres!$G$2,$Q733=Parametres!$G$3),J733,D733)</f>
        <v>0</v>
      </c>
      <c r="P733" s="155">
        <f>+IF(OR($Q733=Parametres!$G$2,$Q733=Parametres!$G$3),K733,E733)</f>
        <v>0</v>
      </c>
      <c r="Q733" s="154">
        <f t="shared" si="67"/>
        <v>0</v>
      </c>
      <c r="R733" s="153">
        <f t="shared" si="68"/>
        <v>0</v>
      </c>
      <c r="S733" s="154">
        <f t="shared" si="6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hidden="1" customHeight="1">
      <c r="A734" s="1170"/>
      <c r="B734" s="1184"/>
      <c r="C734" s="1185"/>
      <c r="D734" s="1170"/>
      <c r="E734" s="1170"/>
      <c r="F734" s="1170"/>
      <c r="G734" s="1170"/>
      <c r="H734" s="1170"/>
      <c r="I734" s="1170"/>
      <c r="J734" s="1170"/>
      <c r="K734" s="1170"/>
      <c r="L734" s="153">
        <f t="shared" si="65"/>
        <v>0</v>
      </c>
      <c r="M734" s="154">
        <f t="shared" si="66"/>
        <v>0</v>
      </c>
      <c r="N734" s="155">
        <f>+IF(OR($Q734=Parametres!$G$2,$Q734=Parametres!$G$3),I734,C734)</f>
        <v>0</v>
      </c>
      <c r="O734" s="1108">
        <f>+IF(OR($Q734=Parametres!$G$2,$Q734=Parametres!$G$3),J734,D734)</f>
        <v>0</v>
      </c>
      <c r="P734" s="155">
        <f>+IF(OR($Q734=Parametres!$G$2,$Q734=Parametres!$G$3),K734,E734)</f>
        <v>0</v>
      </c>
      <c r="Q734" s="154">
        <f t="shared" si="67"/>
        <v>0</v>
      </c>
      <c r="R734" s="153">
        <f t="shared" si="68"/>
        <v>0</v>
      </c>
      <c r="S734" s="154">
        <f t="shared" si="6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hidden="1" customHeight="1">
      <c r="A735" s="1170"/>
      <c r="B735" s="1184"/>
      <c r="C735" s="1185"/>
      <c r="D735" s="1170"/>
      <c r="E735" s="1170"/>
      <c r="F735" s="1170"/>
      <c r="G735" s="1170"/>
      <c r="H735" s="1170"/>
      <c r="I735" s="1170"/>
      <c r="J735" s="1170"/>
      <c r="K735" s="1170"/>
      <c r="L735" s="153">
        <f t="shared" si="65"/>
        <v>0</v>
      </c>
      <c r="M735" s="154">
        <f t="shared" si="66"/>
        <v>0</v>
      </c>
      <c r="N735" s="155">
        <f>+IF(OR($Q735=Parametres!$G$2,$Q735=Parametres!$G$3),I735,C735)</f>
        <v>0</v>
      </c>
      <c r="O735" s="1108">
        <f>+IF(OR($Q735=Parametres!$G$2,$Q735=Parametres!$G$3),J735,D735)</f>
        <v>0</v>
      </c>
      <c r="P735" s="155">
        <f>+IF(OR($Q735=Parametres!$G$2,$Q735=Parametres!$G$3),K735,E735)</f>
        <v>0</v>
      </c>
      <c r="Q735" s="154">
        <f t="shared" si="67"/>
        <v>0</v>
      </c>
      <c r="R735" s="153">
        <f t="shared" si="68"/>
        <v>0</v>
      </c>
      <c r="S735" s="154">
        <f t="shared" si="6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hidden="1" customHeight="1">
      <c r="A736" s="1170"/>
      <c r="B736" s="1184"/>
      <c r="C736" s="1185"/>
      <c r="D736" s="1170"/>
      <c r="E736" s="1170"/>
      <c r="F736" s="1170"/>
      <c r="G736" s="1170"/>
      <c r="H736" s="1170"/>
      <c r="I736" s="1170"/>
      <c r="J736" s="1170"/>
      <c r="K736" s="1170"/>
      <c r="L736" s="153">
        <f t="shared" si="65"/>
        <v>0</v>
      </c>
      <c r="M736" s="154">
        <f t="shared" si="66"/>
        <v>0</v>
      </c>
      <c r="N736" s="155">
        <f>+IF(OR($Q736=Parametres!$G$2,$Q736=Parametres!$G$3),I736,C736)</f>
        <v>0</v>
      </c>
      <c r="O736" s="1108">
        <f>+IF(OR($Q736=Parametres!$G$2,$Q736=Parametres!$G$3),J736,D736)</f>
        <v>0</v>
      </c>
      <c r="P736" s="155">
        <f>+IF(OR($Q736=Parametres!$G$2,$Q736=Parametres!$G$3),K736,E736)</f>
        <v>0</v>
      </c>
      <c r="Q736" s="154">
        <f t="shared" si="67"/>
        <v>0</v>
      </c>
      <c r="R736" s="153">
        <f t="shared" si="68"/>
        <v>0</v>
      </c>
      <c r="S736" s="154">
        <f t="shared" si="6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hidden="1" customHeight="1">
      <c r="A737" s="1170"/>
      <c r="B737" s="1184"/>
      <c r="C737" s="1185"/>
      <c r="D737" s="1170"/>
      <c r="E737" s="1170"/>
      <c r="F737" s="1170"/>
      <c r="G737" s="1170"/>
      <c r="H737" s="1170"/>
      <c r="I737" s="1170"/>
      <c r="J737" s="1170"/>
      <c r="K737" s="1170"/>
      <c r="L737" s="153">
        <f t="shared" si="65"/>
        <v>0</v>
      </c>
      <c r="M737" s="154">
        <f t="shared" si="66"/>
        <v>0</v>
      </c>
      <c r="N737" s="155">
        <f>+IF(OR($Q737=Parametres!$G$2,$Q737=Parametres!$G$3),I737,C737)</f>
        <v>0</v>
      </c>
      <c r="O737" s="1108">
        <f>+IF(OR($Q737=Parametres!$G$2,$Q737=Parametres!$G$3),J737,D737)</f>
        <v>0</v>
      </c>
      <c r="P737" s="155">
        <f>+IF(OR($Q737=Parametres!$G$2,$Q737=Parametres!$G$3),K737,E737)</f>
        <v>0</v>
      </c>
      <c r="Q737" s="154">
        <f t="shared" si="67"/>
        <v>0</v>
      </c>
      <c r="R737" s="153">
        <f t="shared" si="68"/>
        <v>0</v>
      </c>
      <c r="S737" s="154">
        <f t="shared" si="6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hidden="1" customHeight="1">
      <c r="A738" s="1170"/>
      <c r="B738" s="1184"/>
      <c r="C738" s="1185"/>
      <c r="D738" s="1170"/>
      <c r="E738" s="1170"/>
      <c r="F738" s="1170"/>
      <c r="G738" s="1170"/>
      <c r="H738" s="1170"/>
      <c r="I738" s="1170"/>
      <c r="J738" s="1170"/>
      <c r="K738" s="1170"/>
      <c r="L738" s="153">
        <f t="shared" si="65"/>
        <v>0</v>
      </c>
      <c r="M738" s="154">
        <f t="shared" si="66"/>
        <v>0</v>
      </c>
      <c r="N738" s="155">
        <f>+IF(OR($Q738=Parametres!$G$2,$Q738=Parametres!$G$3),I738,C738)</f>
        <v>0</v>
      </c>
      <c r="O738" s="1108">
        <f>+IF(OR($Q738=Parametres!$G$2,$Q738=Parametres!$G$3),J738,D738)</f>
        <v>0</v>
      </c>
      <c r="P738" s="155">
        <f>+IF(OR($Q738=Parametres!$G$2,$Q738=Parametres!$G$3),K738,E738)</f>
        <v>0</v>
      </c>
      <c r="Q738" s="154">
        <f t="shared" si="67"/>
        <v>0</v>
      </c>
      <c r="R738" s="153">
        <f t="shared" si="68"/>
        <v>0</v>
      </c>
      <c r="S738" s="154">
        <f t="shared" si="6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hidden="1" customHeight="1">
      <c r="A739" s="1170"/>
      <c r="B739" s="1184"/>
      <c r="C739" s="1185"/>
      <c r="D739" s="1170"/>
      <c r="E739" s="1170"/>
      <c r="F739" s="1170"/>
      <c r="G739" s="1170"/>
      <c r="H739" s="1170"/>
      <c r="I739" s="1170"/>
      <c r="J739" s="1170"/>
      <c r="K739" s="1170"/>
      <c r="L739" s="153">
        <f t="shared" si="65"/>
        <v>0</v>
      </c>
      <c r="M739" s="154">
        <f t="shared" si="66"/>
        <v>0</v>
      </c>
      <c r="N739" s="155">
        <f>+IF(OR($Q739=Parametres!$G$2,$Q739=Parametres!$G$3),I739,C739)</f>
        <v>0</v>
      </c>
      <c r="O739" s="1108">
        <f>+IF(OR($Q739=Parametres!$G$2,$Q739=Parametres!$G$3),J739,D739)</f>
        <v>0</v>
      </c>
      <c r="P739" s="155">
        <f>+IF(OR($Q739=Parametres!$G$2,$Q739=Parametres!$G$3),K739,E739)</f>
        <v>0</v>
      </c>
      <c r="Q739" s="154">
        <f t="shared" si="67"/>
        <v>0</v>
      </c>
      <c r="R739" s="153">
        <f t="shared" si="68"/>
        <v>0</v>
      </c>
      <c r="S739" s="154">
        <f t="shared" si="6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hidden="1" customHeight="1">
      <c r="A740" s="1170"/>
      <c r="B740" s="1184"/>
      <c r="C740" s="1185"/>
      <c r="D740" s="1170"/>
      <c r="E740" s="1170"/>
      <c r="F740" s="1170"/>
      <c r="G740" s="1170"/>
      <c r="H740" s="1170"/>
      <c r="I740" s="1170"/>
      <c r="J740" s="1170"/>
      <c r="K740" s="1170"/>
      <c r="L740" s="153">
        <f t="shared" si="65"/>
        <v>0</v>
      </c>
      <c r="M740" s="154">
        <f t="shared" si="66"/>
        <v>0</v>
      </c>
      <c r="N740" s="155">
        <f>+IF(OR($Q740=Parametres!$G$2,$Q740=Parametres!$G$3),I740,C740)</f>
        <v>0</v>
      </c>
      <c r="O740" s="1108">
        <f>+IF(OR($Q740=Parametres!$G$2,$Q740=Parametres!$G$3),J740,D740)</f>
        <v>0</v>
      </c>
      <c r="P740" s="155">
        <f>+IF(OR($Q740=Parametres!$G$2,$Q740=Parametres!$G$3),K740,E740)</f>
        <v>0</v>
      </c>
      <c r="Q740" s="154">
        <f t="shared" si="67"/>
        <v>0</v>
      </c>
      <c r="R740" s="153">
        <f t="shared" si="68"/>
        <v>0</v>
      </c>
      <c r="S740" s="154">
        <f t="shared" si="6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hidden="1" customHeight="1">
      <c r="A741" s="1170"/>
      <c r="B741" s="1184"/>
      <c r="C741" s="1185"/>
      <c r="D741" s="1170"/>
      <c r="E741" s="1170"/>
      <c r="F741" s="1170"/>
      <c r="G741" s="1170"/>
      <c r="H741" s="1170"/>
      <c r="I741" s="1170"/>
      <c r="J741" s="1170"/>
      <c r="K741" s="1170"/>
      <c r="L741" s="153">
        <f t="shared" si="65"/>
        <v>0</v>
      </c>
      <c r="M741" s="154">
        <f t="shared" si="66"/>
        <v>0</v>
      </c>
      <c r="N741" s="155">
        <f>+IF(OR($Q741=Parametres!$G$2,$Q741=Parametres!$G$3),I741,C741)</f>
        <v>0</v>
      </c>
      <c r="O741" s="1108">
        <f>+IF(OR($Q741=Parametres!$G$2,$Q741=Parametres!$G$3),J741,D741)</f>
        <v>0</v>
      </c>
      <c r="P741" s="155">
        <f>+IF(OR($Q741=Parametres!$G$2,$Q741=Parametres!$G$3),K741,E741)</f>
        <v>0</v>
      </c>
      <c r="Q741" s="154">
        <f t="shared" si="67"/>
        <v>0</v>
      </c>
      <c r="R741" s="153">
        <f t="shared" si="68"/>
        <v>0</v>
      </c>
      <c r="S741" s="154">
        <f t="shared" si="6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hidden="1" customHeight="1">
      <c r="A742" s="1170"/>
      <c r="B742" s="1184"/>
      <c r="C742" s="1185"/>
      <c r="D742" s="1170"/>
      <c r="E742" s="1170"/>
      <c r="F742" s="1170"/>
      <c r="G742" s="1170"/>
      <c r="H742" s="1170"/>
      <c r="I742" s="1170"/>
      <c r="J742" s="1170"/>
      <c r="K742" s="1170"/>
      <c r="L742" s="153">
        <f t="shared" si="65"/>
        <v>0</v>
      </c>
      <c r="M742" s="154">
        <f t="shared" si="66"/>
        <v>0</v>
      </c>
      <c r="N742" s="155">
        <f>+IF(OR($Q742=Parametres!$G$2,$Q742=Parametres!$G$3),I742,C742)</f>
        <v>0</v>
      </c>
      <c r="O742" s="1108">
        <f>+IF(OR($Q742=Parametres!$G$2,$Q742=Parametres!$G$3),J742,D742)</f>
        <v>0</v>
      </c>
      <c r="P742" s="155">
        <f>+IF(OR($Q742=Parametres!$G$2,$Q742=Parametres!$G$3),K742,E742)</f>
        <v>0</v>
      </c>
      <c r="Q742" s="154">
        <f t="shared" si="67"/>
        <v>0</v>
      </c>
      <c r="R742" s="153">
        <f t="shared" si="68"/>
        <v>0</v>
      </c>
      <c r="S742" s="154">
        <f t="shared" si="6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hidden="1" customHeight="1">
      <c r="A743" s="1170"/>
      <c r="B743" s="1184"/>
      <c r="C743" s="1185"/>
      <c r="D743" s="1170"/>
      <c r="E743" s="1170"/>
      <c r="F743" s="1170"/>
      <c r="G743" s="1170"/>
      <c r="H743" s="1170"/>
      <c r="I743" s="1170"/>
      <c r="J743" s="1170"/>
      <c r="K743" s="1170"/>
      <c r="L743" s="153">
        <f t="shared" si="65"/>
        <v>0</v>
      </c>
      <c r="M743" s="154">
        <f t="shared" si="66"/>
        <v>0</v>
      </c>
      <c r="N743" s="155">
        <f>+IF(OR($Q743=Parametres!$G$2,$Q743=Parametres!$G$3),I743,C743)</f>
        <v>0</v>
      </c>
      <c r="O743" s="1108">
        <f>+IF(OR($Q743=Parametres!$G$2,$Q743=Parametres!$G$3),J743,D743)</f>
        <v>0</v>
      </c>
      <c r="P743" s="155">
        <f>+IF(OR($Q743=Parametres!$G$2,$Q743=Parametres!$G$3),K743,E743)</f>
        <v>0</v>
      </c>
      <c r="Q743" s="154">
        <f t="shared" si="67"/>
        <v>0</v>
      </c>
      <c r="R743" s="153">
        <f t="shared" si="68"/>
        <v>0</v>
      </c>
      <c r="S743" s="154">
        <f t="shared" si="6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hidden="1" customHeight="1">
      <c r="A744" s="1170"/>
      <c r="B744" s="1184"/>
      <c r="C744" s="1185"/>
      <c r="D744" s="1170"/>
      <c r="E744" s="1170"/>
      <c r="F744" s="1170"/>
      <c r="G744" s="1170"/>
      <c r="H744" s="1170"/>
      <c r="I744" s="1170"/>
      <c r="J744" s="1170"/>
      <c r="K744" s="1170"/>
      <c r="L744" s="153">
        <f t="shared" si="65"/>
        <v>0</v>
      </c>
      <c r="M744" s="154">
        <f t="shared" si="66"/>
        <v>0</v>
      </c>
      <c r="N744" s="155">
        <f>+IF(OR($Q744=Parametres!$G$2,$Q744=Parametres!$G$3),I744,C744)</f>
        <v>0</v>
      </c>
      <c r="O744" s="1108">
        <f>+IF(OR($Q744=Parametres!$G$2,$Q744=Parametres!$G$3),J744,D744)</f>
        <v>0</v>
      </c>
      <c r="P744" s="155">
        <f>+IF(OR($Q744=Parametres!$G$2,$Q744=Parametres!$G$3),K744,E744)</f>
        <v>0</v>
      </c>
      <c r="Q744" s="154">
        <f t="shared" si="67"/>
        <v>0</v>
      </c>
      <c r="R744" s="153">
        <f t="shared" si="68"/>
        <v>0</v>
      </c>
      <c r="S744" s="154">
        <f t="shared" si="6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hidden="1" customHeight="1">
      <c r="A745" s="1170"/>
      <c r="B745" s="1184"/>
      <c r="C745" s="1185"/>
      <c r="D745" s="1170"/>
      <c r="E745" s="1170"/>
      <c r="F745" s="1170"/>
      <c r="G745" s="1170"/>
      <c r="H745" s="1170"/>
      <c r="I745" s="1170"/>
      <c r="J745" s="1170"/>
      <c r="K745" s="1170"/>
      <c r="L745" s="153">
        <f t="shared" si="65"/>
        <v>0</v>
      </c>
      <c r="M745" s="154">
        <f t="shared" si="66"/>
        <v>0</v>
      </c>
      <c r="N745" s="155">
        <f>+IF(OR($Q745=Parametres!$G$2,$Q745=Parametres!$G$3),I745,C745)</f>
        <v>0</v>
      </c>
      <c r="O745" s="1108">
        <f>+IF(OR($Q745=Parametres!$G$2,$Q745=Parametres!$G$3),J745,D745)</f>
        <v>0</v>
      </c>
      <c r="P745" s="155">
        <f>+IF(OR($Q745=Parametres!$G$2,$Q745=Parametres!$G$3),K745,E745)</f>
        <v>0</v>
      </c>
      <c r="Q745" s="154">
        <f t="shared" si="67"/>
        <v>0</v>
      </c>
      <c r="R745" s="153">
        <f t="shared" si="68"/>
        <v>0</v>
      </c>
      <c r="S745" s="154">
        <f t="shared" si="6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hidden="1" customHeight="1">
      <c r="A746" s="1170"/>
      <c r="B746" s="1184"/>
      <c r="C746" s="1185"/>
      <c r="D746" s="1170"/>
      <c r="E746" s="1170"/>
      <c r="F746" s="1170"/>
      <c r="G746" s="1170"/>
      <c r="H746" s="1170"/>
      <c r="I746" s="1170"/>
      <c r="J746" s="1170"/>
      <c r="K746" s="1170"/>
      <c r="L746" s="153">
        <f t="shared" si="65"/>
        <v>0</v>
      </c>
      <c r="M746" s="154">
        <f t="shared" si="66"/>
        <v>0</v>
      </c>
      <c r="N746" s="155">
        <f>+IF(OR($Q746=Parametres!$G$2,$Q746=Parametres!$G$3),I746,C746)</f>
        <v>0</v>
      </c>
      <c r="O746" s="1108">
        <f>+IF(OR($Q746=Parametres!$G$2,$Q746=Parametres!$G$3),J746,D746)</f>
        <v>0</v>
      </c>
      <c r="P746" s="155">
        <f>+IF(OR($Q746=Parametres!$G$2,$Q746=Parametres!$G$3),K746,E746)</f>
        <v>0</v>
      </c>
      <c r="Q746" s="154">
        <f t="shared" si="67"/>
        <v>0</v>
      </c>
      <c r="R746" s="153">
        <f t="shared" si="68"/>
        <v>0</v>
      </c>
      <c r="S746" s="154">
        <f t="shared" si="6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hidden="1" customHeight="1">
      <c r="A747" s="1170"/>
      <c r="B747" s="1184"/>
      <c r="C747" s="1185"/>
      <c r="D747" s="1170"/>
      <c r="E747" s="1170"/>
      <c r="F747" s="1170"/>
      <c r="G747" s="1170"/>
      <c r="H747" s="1170"/>
      <c r="I747" s="1170"/>
      <c r="J747" s="1170"/>
      <c r="K747" s="1170"/>
      <c r="L747" s="153">
        <f t="shared" si="65"/>
        <v>0</v>
      </c>
      <c r="M747" s="154">
        <f t="shared" si="66"/>
        <v>0</v>
      </c>
      <c r="N747" s="155">
        <f>+IF(OR($Q747=Parametres!$G$2,$Q747=Parametres!$G$3),I747,C747)</f>
        <v>0</v>
      </c>
      <c r="O747" s="1108">
        <f>+IF(OR($Q747=Parametres!$G$2,$Q747=Parametres!$G$3),J747,D747)</f>
        <v>0</v>
      </c>
      <c r="P747" s="155">
        <f>+IF(OR($Q747=Parametres!$G$2,$Q747=Parametres!$G$3),K747,E747)</f>
        <v>0</v>
      </c>
      <c r="Q747" s="154">
        <f t="shared" si="67"/>
        <v>0</v>
      </c>
      <c r="R747" s="153">
        <f t="shared" si="68"/>
        <v>0</v>
      </c>
      <c r="S747" s="154">
        <f t="shared" si="6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hidden="1" customHeight="1">
      <c r="A748" s="1170"/>
      <c r="B748" s="1184"/>
      <c r="C748" s="1185"/>
      <c r="D748" s="1170"/>
      <c r="E748" s="1170"/>
      <c r="F748" s="1170"/>
      <c r="G748" s="1170"/>
      <c r="H748" s="1170"/>
      <c r="I748" s="1170"/>
      <c r="J748" s="1170"/>
      <c r="K748" s="1170"/>
      <c r="L748" s="153">
        <f t="shared" si="65"/>
        <v>0</v>
      </c>
      <c r="M748" s="154">
        <f t="shared" si="66"/>
        <v>0</v>
      </c>
      <c r="N748" s="155">
        <f>+IF(OR($Q748=Parametres!$G$2,$Q748=Parametres!$G$3),I748,C748)</f>
        <v>0</v>
      </c>
      <c r="O748" s="1108">
        <f>+IF(OR($Q748=Parametres!$G$2,$Q748=Parametres!$G$3),J748,D748)</f>
        <v>0</v>
      </c>
      <c r="P748" s="155">
        <f>+IF(OR($Q748=Parametres!$G$2,$Q748=Parametres!$G$3),K748,E748)</f>
        <v>0</v>
      </c>
      <c r="Q748" s="154">
        <f t="shared" si="67"/>
        <v>0</v>
      </c>
      <c r="R748" s="153">
        <f t="shared" si="68"/>
        <v>0</v>
      </c>
      <c r="S748" s="154">
        <f t="shared" si="6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hidden="1" customHeight="1">
      <c r="A749" s="1170"/>
      <c r="B749" s="1184"/>
      <c r="C749" s="1185"/>
      <c r="D749" s="1170"/>
      <c r="E749" s="1170"/>
      <c r="F749" s="1170"/>
      <c r="G749" s="1170"/>
      <c r="H749" s="1170"/>
      <c r="I749" s="1170"/>
      <c r="J749" s="1170"/>
      <c r="K749" s="1170"/>
      <c r="L749" s="153">
        <f t="shared" si="65"/>
        <v>0</v>
      </c>
      <c r="M749" s="154">
        <f t="shared" si="66"/>
        <v>0</v>
      </c>
      <c r="N749" s="155">
        <f>+IF(OR($Q749=Parametres!$G$2,$Q749=Parametres!$G$3),I749,C749)</f>
        <v>0</v>
      </c>
      <c r="O749" s="1108">
        <f>+IF(OR($Q749=Parametres!$G$2,$Q749=Parametres!$G$3),J749,D749)</f>
        <v>0</v>
      </c>
      <c r="P749" s="155">
        <f>+IF(OR($Q749=Parametres!$G$2,$Q749=Parametres!$G$3),K749,E749)</f>
        <v>0</v>
      </c>
      <c r="Q749" s="154">
        <f t="shared" si="67"/>
        <v>0</v>
      </c>
      <c r="R749" s="153">
        <f t="shared" si="68"/>
        <v>0</v>
      </c>
      <c r="S749" s="154">
        <f t="shared" si="6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hidden="1" customHeight="1">
      <c r="A750" s="1170"/>
      <c r="B750" s="1184"/>
      <c r="C750" s="1185"/>
      <c r="D750" s="1170"/>
      <c r="E750" s="1170"/>
      <c r="F750" s="1170"/>
      <c r="G750" s="1170"/>
      <c r="H750" s="1170"/>
      <c r="I750" s="1170"/>
      <c r="J750" s="1170"/>
      <c r="K750" s="1170"/>
      <c r="L750" s="153">
        <f t="shared" si="65"/>
        <v>0</v>
      </c>
      <c r="M750" s="154">
        <f t="shared" si="66"/>
        <v>0</v>
      </c>
      <c r="N750" s="155">
        <f>+IF(OR($Q750=Parametres!$G$2,$Q750=Parametres!$G$3),I750,C750)</f>
        <v>0</v>
      </c>
      <c r="O750" s="1108">
        <f>+IF(OR($Q750=Parametres!$G$2,$Q750=Parametres!$G$3),J750,D750)</f>
        <v>0</v>
      </c>
      <c r="P750" s="155">
        <f>+IF(OR($Q750=Parametres!$G$2,$Q750=Parametres!$G$3),K750,E750)</f>
        <v>0</v>
      </c>
      <c r="Q750" s="154">
        <f t="shared" si="67"/>
        <v>0</v>
      </c>
      <c r="R750" s="153">
        <f t="shared" si="68"/>
        <v>0</v>
      </c>
      <c r="S750" s="154">
        <f t="shared" si="6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hidden="1" customHeight="1">
      <c r="A751" s="1170"/>
      <c r="B751" s="1184"/>
      <c r="C751" s="1185"/>
      <c r="D751" s="1170"/>
      <c r="E751" s="1170"/>
      <c r="F751" s="1170"/>
      <c r="G751" s="1170"/>
      <c r="H751" s="1170"/>
      <c r="I751" s="1170"/>
      <c r="J751" s="1170"/>
      <c r="K751" s="1170"/>
      <c r="L751" s="153">
        <f t="shared" si="65"/>
        <v>0</v>
      </c>
      <c r="M751" s="154">
        <f t="shared" si="66"/>
        <v>0</v>
      </c>
      <c r="N751" s="155">
        <f>+IF(OR($Q751=Parametres!$G$2,$Q751=Parametres!$G$3),I751,C751)</f>
        <v>0</v>
      </c>
      <c r="O751" s="1108">
        <f>+IF(OR($Q751=Parametres!$G$2,$Q751=Parametres!$G$3),J751,D751)</f>
        <v>0</v>
      </c>
      <c r="P751" s="155">
        <f>+IF(OR($Q751=Parametres!$G$2,$Q751=Parametres!$G$3),K751,E751)</f>
        <v>0</v>
      </c>
      <c r="Q751" s="154">
        <f t="shared" si="67"/>
        <v>0</v>
      </c>
      <c r="R751" s="153">
        <f t="shared" si="68"/>
        <v>0</v>
      </c>
      <c r="S751" s="154">
        <f t="shared" si="6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hidden="1" customHeight="1">
      <c r="A752" s="1170"/>
      <c r="B752" s="1184"/>
      <c r="C752" s="1185"/>
      <c r="D752" s="1170"/>
      <c r="E752" s="1170"/>
      <c r="F752" s="1170"/>
      <c r="G752" s="1170"/>
      <c r="H752" s="1170"/>
      <c r="I752" s="1170"/>
      <c r="J752" s="1170"/>
      <c r="K752" s="1170"/>
      <c r="L752" s="153">
        <f t="shared" si="65"/>
        <v>0</v>
      </c>
      <c r="M752" s="154">
        <f t="shared" si="66"/>
        <v>0</v>
      </c>
      <c r="N752" s="155">
        <f>+IF(OR($Q752=Parametres!$G$2,$Q752=Parametres!$G$3),I752,C752)</f>
        <v>0</v>
      </c>
      <c r="O752" s="1108">
        <f>+IF(OR($Q752=Parametres!$G$2,$Q752=Parametres!$G$3),J752,D752)</f>
        <v>0</v>
      </c>
      <c r="P752" s="155">
        <f>+IF(OR($Q752=Parametres!$G$2,$Q752=Parametres!$G$3),K752,E752)</f>
        <v>0</v>
      </c>
      <c r="Q752" s="154">
        <f t="shared" si="67"/>
        <v>0</v>
      </c>
      <c r="R752" s="153">
        <f t="shared" si="68"/>
        <v>0</v>
      </c>
      <c r="S752" s="154">
        <f t="shared" si="6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hidden="1" customHeight="1">
      <c r="A753" s="1170"/>
      <c r="B753" s="1184"/>
      <c r="C753" s="1185"/>
      <c r="D753" s="1170"/>
      <c r="E753" s="1170"/>
      <c r="F753" s="1170"/>
      <c r="G753" s="1170"/>
      <c r="H753" s="1170"/>
      <c r="I753" s="1170"/>
      <c r="J753" s="1170"/>
      <c r="K753" s="1170"/>
      <c r="L753" s="153">
        <f t="shared" si="65"/>
        <v>0</v>
      </c>
      <c r="M753" s="154">
        <f t="shared" si="66"/>
        <v>0</v>
      </c>
      <c r="N753" s="155">
        <f>+IF(OR($Q753=Parametres!$G$2,$Q753=Parametres!$G$3),I753,C753)</f>
        <v>0</v>
      </c>
      <c r="O753" s="1108">
        <f>+IF(OR($Q753=Parametres!$G$2,$Q753=Parametres!$G$3),J753,D753)</f>
        <v>0</v>
      </c>
      <c r="P753" s="155">
        <f>+IF(OR($Q753=Parametres!$G$2,$Q753=Parametres!$G$3),K753,E753)</f>
        <v>0</v>
      </c>
      <c r="Q753" s="154">
        <f t="shared" si="67"/>
        <v>0</v>
      </c>
      <c r="R753" s="153">
        <f t="shared" si="68"/>
        <v>0</v>
      </c>
      <c r="S753" s="154">
        <f t="shared" si="6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hidden="1" customHeight="1">
      <c r="A754" s="1170"/>
      <c r="B754" s="1184"/>
      <c r="C754" s="1185"/>
      <c r="D754" s="1170"/>
      <c r="E754" s="1170"/>
      <c r="F754" s="1170"/>
      <c r="G754" s="1170"/>
      <c r="H754" s="1170"/>
      <c r="I754" s="1170"/>
      <c r="J754" s="1170"/>
      <c r="K754" s="1170"/>
      <c r="L754" s="153">
        <f t="shared" si="65"/>
        <v>0</v>
      </c>
      <c r="M754" s="154">
        <f t="shared" si="66"/>
        <v>0</v>
      </c>
      <c r="N754" s="155">
        <f>+IF(OR($Q754=Parametres!$G$2,$Q754=Parametres!$G$3),I754,C754)</f>
        <v>0</v>
      </c>
      <c r="O754" s="1108">
        <f>+IF(OR($Q754=Parametres!$G$2,$Q754=Parametres!$G$3),J754,D754)</f>
        <v>0</v>
      </c>
      <c r="P754" s="155">
        <f>+IF(OR($Q754=Parametres!$G$2,$Q754=Parametres!$G$3),K754,E754)</f>
        <v>0</v>
      </c>
      <c r="Q754" s="154">
        <f t="shared" si="67"/>
        <v>0</v>
      </c>
      <c r="R754" s="153">
        <f t="shared" si="68"/>
        <v>0</v>
      </c>
      <c r="S754" s="154">
        <f t="shared" si="6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hidden="1" customHeight="1">
      <c r="A755" s="1170"/>
      <c r="B755" s="1184"/>
      <c r="C755" s="1185"/>
      <c r="D755" s="1170"/>
      <c r="E755" s="1170"/>
      <c r="F755" s="1170"/>
      <c r="G755" s="1170"/>
      <c r="H755" s="1170"/>
      <c r="I755" s="1170"/>
      <c r="J755" s="1170"/>
      <c r="K755" s="1170"/>
      <c r="L755" s="153">
        <f t="shared" si="65"/>
        <v>0</v>
      </c>
      <c r="M755" s="154">
        <f t="shared" si="66"/>
        <v>0</v>
      </c>
      <c r="N755" s="155">
        <f>+IF(OR($Q755=Parametres!$G$2,$Q755=Parametres!$G$3),I755,C755)</f>
        <v>0</v>
      </c>
      <c r="O755" s="1108">
        <f>+IF(OR($Q755=Parametres!$G$2,$Q755=Parametres!$G$3),J755,D755)</f>
        <v>0</v>
      </c>
      <c r="P755" s="155">
        <f>+IF(OR($Q755=Parametres!$G$2,$Q755=Parametres!$G$3),K755,E755)</f>
        <v>0</v>
      </c>
      <c r="Q755" s="154">
        <f t="shared" si="67"/>
        <v>0</v>
      </c>
      <c r="R755" s="153">
        <f t="shared" si="68"/>
        <v>0</v>
      </c>
      <c r="S755" s="154">
        <f t="shared" si="6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hidden="1" customHeight="1">
      <c r="A756" s="1170"/>
      <c r="B756" s="1184"/>
      <c r="C756" s="1185"/>
      <c r="D756" s="1170"/>
      <c r="E756" s="1170"/>
      <c r="F756" s="1170"/>
      <c r="G756" s="1170"/>
      <c r="H756" s="1170"/>
      <c r="I756" s="1170"/>
      <c r="J756" s="1170"/>
      <c r="K756" s="1170"/>
      <c r="L756" s="153">
        <f t="shared" si="65"/>
        <v>0</v>
      </c>
      <c r="M756" s="154">
        <f t="shared" si="66"/>
        <v>0</v>
      </c>
      <c r="N756" s="155">
        <f>+IF(OR($Q756=Parametres!$G$2,$Q756=Parametres!$G$3),I756,C756)</f>
        <v>0</v>
      </c>
      <c r="O756" s="1108">
        <f>+IF(OR($Q756=Parametres!$G$2,$Q756=Parametres!$G$3),J756,D756)</f>
        <v>0</v>
      </c>
      <c r="P756" s="155">
        <f>+IF(OR($Q756=Parametres!$G$2,$Q756=Parametres!$G$3),K756,E756)</f>
        <v>0</v>
      </c>
      <c r="Q756" s="154">
        <f t="shared" si="67"/>
        <v>0</v>
      </c>
      <c r="R756" s="153">
        <f t="shared" si="68"/>
        <v>0</v>
      </c>
      <c r="S756" s="154">
        <f t="shared" si="6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hidden="1" customHeight="1">
      <c r="A757" s="1170"/>
      <c r="B757" s="1184"/>
      <c r="C757" s="1185"/>
      <c r="D757" s="1170"/>
      <c r="E757" s="1170"/>
      <c r="F757" s="1170"/>
      <c r="G757" s="1170"/>
      <c r="H757" s="1170"/>
      <c r="I757" s="1170"/>
      <c r="J757" s="1170"/>
      <c r="K757" s="1170"/>
      <c r="L757" s="153">
        <f t="shared" si="65"/>
        <v>0</v>
      </c>
      <c r="M757" s="154">
        <f t="shared" si="66"/>
        <v>0</v>
      </c>
      <c r="N757" s="155">
        <f>+IF(OR($Q757=Parametres!$G$2,$Q757=Parametres!$G$3),I757,C757)</f>
        <v>0</v>
      </c>
      <c r="O757" s="1108">
        <f>+IF(OR($Q757=Parametres!$G$2,$Q757=Parametres!$G$3),J757,D757)</f>
        <v>0</v>
      </c>
      <c r="P757" s="155">
        <f>+IF(OR($Q757=Parametres!$G$2,$Q757=Parametres!$G$3),K757,E757)</f>
        <v>0</v>
      </c>
      <c r="Q757" s="154">
        <f t="shared" si="67"/>
        <v>0</v>
      </c>
      <c r="R757" s="153">
        <f t="shared" si="68"/>
        <v>0</v>
      </c>
      <c r="S757" s="154">
        <f t="shared" si="6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hidden="1" customHeight="1">
      <c r="A758" s="1170"/>
      <c r="B758" s="1184"/>
      <c r="C758" s="1185"/>
      <c r="D758" s="1170"/>
      <c r="E758" s="1170"/>
      <c r="F758" s="1170"/>
      <c r="G758" s="1170"/>
      <c r="H758" s="1170"/>
      <c r="I758" s="1170"/>
      <c r="J758" s="1170"/>
      <c r="K758" s="1170"/>
      <c r="L758" s="153">
        <f t="shared" si="65"/>
        <v>0</v>
      </c>
      <c r="M758" s="154">
        <f t="shared" si="66"/>
        <v>0</v>
      </c>
      <c r="N758" s="155">
        <f>+IF(OR($Q758=Parametres!$G$2,$Q758=Parametres!$G$3),I758,C758)</f>
        <v>0</v>
      </c>
      <c r="O758" s="1108">
        <f>+IF(OR($Q758=Parametres!$G$2,$Q758=Parametres!$G$3),J758,D758)</f>
        <v>0</v>
      </c>
      <c r="P758" s="155">
        <f>+IF(OR($Q758=Parametres!$G$2,$Q758=Parametres!$G$3),K758,E758)</f>
        <v>0</v>
      </c>
      <c r="Q758" s="154">
        <f t="shared" si="67"/>
        <v>0</v>
      </c>
      <c r="R758" s="153">
        <f t="shared" si="68"/>
        <v>0</v>
      </c>
      <c r="S758" s="154">
        <f t="shared" si="6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hidden="1" customHeight="1">
      <c r="A759" s="1170"/>
      <c r="B759" s="1184"/>
      <c r="C759" s="1185"/>
      <c r="D759" s="1170"/>
      <c r="E759" s="1170"/>
      <c r="F759" s="1170"/>
      <c r="G759" s="1170"/>
      <c r="H759" s="1170"/>
      <c r="I759" s="1170"/>
      <c r="J759" s="1170"/>
      <c r="K759" s="1170"/>
      <c r="L759" s="153">
        <f t="shared" si="65"/>
        <v>0</v>
      </c>
      <c r="M759" s="154">
        <f t="shared" si="66"/>
        <v>0</v>
      </c>
      <c r="N759" s="155">
        <f>+IF(OR($Q759=Parametres!$G$2,$Q759=Parametres!$G$3),I759,C759)</f>
        <v>0</v>
      </c>
      <c r="O759" s="1108">
        <f>+IF(OR($Q759=Parametres!$G$2,$Q759=Parametres!$G$3),J759,D759)</f>
        <v>0</v>
      </c>
      <c r="P759" s="155">
        <f>+IF(OR($Q759=Parametres!$G$2,$Q759=Parametres!$G$3),K759,E759)</f>
        <v>0</v>
      </c>
      <c r="Q759" s="154">
        <f t="shared" si="67"/>
        <v>0</v>
      </c>
      <c r="R759" s="153">
        <f t="shared" si="68"/>
        <v>0</v>
      </c>
      <c r="S759" s="154">
        <f t="shared" si="6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hidden="1" customHeight="1">
      <c r="A760" s="1170"/>
      <c r="B760" s="1184"/>
      <c r="C760" s="1185"/>
      <c r="D760" s="1170"/>
      <c r="E760" s="1170"/>
      <c r="F760" s="1170"/>
      <c r="G760" s="1170"/>
      <c r="H760" s="1170"/>
      <c r="I760" s="1170"/>
      <c r="J760" s="1170"/>
      <c r="K760" s="1170"/>
      <c r="L760" s="153">
        <f t="shared" si="65"/>
        <v>0</v>
      </c>
      <c r="M760" s="154">
        <f t="shared" si="66"/>
        <v>0</v>
      </c>
      <c r="N760" s="155">
        <f>+IF(OR($Q760=Parametres!$G$2,$Q760=Parametres!$G$3),I760,C760)</f>
        <v>0</v>
      </c>
      <c r="O760" s="1108">
        <f>+IF(OR($Q760=Parametres!$G$2,$Q760=Parametres!$G$3),J760,D760)</f>
        <v>0</v>
      </c>
      <c r="P760" s="155">
        <f>+IF(OR($Q760=Parametres!$G$2,$Q760=Parametres!$G$3),K760,E760)</f>
        <v>0</v>
      </c>
      <c r="Q760" s="154">
        <f t="shared" si="67"/>
        <v>0</v>
      </c>
      <c r="R760" s="153">
        <f t="shared" si="68"/>
        <v>0</v>
      </c>
      <c r="S760" s="154">
        <f t="shared" si="6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hidden="1" customHeight="1">
      <c r="A761" s="1170"/>
      <c r="B761" s="1184"/>
      <c r="C761" s="1185"/>
      <c r="D761" s="1170"/>
      <c r="E761" s="1170"/>
      <c r="F761" s="1170"/>
      <c r="G761" s="1170"/>
      <c r="H761" s="1170"/>
      <c r="I761" s="1170"/>
      <c r="J761" s="1170"/>
      <c r="K761" s="1170"/>
      <c r="L761" s="153">
        <f t="shared" si="65"/>
        <v>0</v>
      </c>
      <c r="M761" s="154">
        <f t="shared" si="66"/>
        <v>0</v>
      </c>
      <c r="N761" s="155">
        <f>+IF(OR($Q761=Parametres!$G$2,$Q761=Parametres!$G$3),I761,C761)</f>
        <v>0</v>
      </c>
      <c r="O761" s="1108">
        <f>+IF(OR($Q761=Parametres!$G$2,$Q761=Parametres!$G$3),J761,D761)</f>
        <v>0</v>
      </c>
      <c r="P761" s="155">
        <f>+IF(OR($Q761=Parametres!$G$2,$Q761=Parametres!$G$3),K761,E761)</f>
        <v>0</v>
      </c>
      <c r="Q761" s="154">
        <f t="shared" si="67"/>
        <v>0</v>
      </c>
      <c r="R761" s="153">
        <f t="shared" si="68"/>
        <v>0</v>
      </c>
      <c r="S761" s="154">
        <f t="shared" si="6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hidden="1" customHeight="1">
      <c r="A762" s="1170"/>
      <c r="B762" s="1184"/>
      <c r="C762" s="1185"/>
      <c r="D762" s="1170"/>
      <c r="E762" s="1170"/>
      <c r="F762" s="1170"/>
      <c r="G762" s="1170"/>
      <c r="H762" s="1170"/>
      <c r="I762" s="1170"/>
      <c r="J762" s="1170"/>
      <c r="K762" s="1170"/>
      <c r="L762" s="153">
        <f t="shared" si="65"/>
        <v>0</v>
      </c>
      <c r="M762" s="154">
        <f t="shared" si="66"/>
        <v>0</v>
      </c>
      <c r="N762" s="155">
        <f>+IF(OR($Q762=Parametres!$G$2,$Q762=Parametres!$G$3),I762,C762)</f>
        <v>0</v>
      </c>
      <c r="O762" s="1108">
        <f>+IF(OR($Q762=Parametres!$G$2,$Q762=Parametres!$G$3),J762,D762)</f>
        <v>0</v>
      </c>
      <c r="P762" s="155">
        <f>+IF(OR($Q762=Parametres!$G$2,$Q762=Parametres!$G$3),K762,E762)</f>
        <v>0</v>
      </c>
      <c r="Q762" s="154">
        <f t="shared" si="67"/>
        <v>0</v>
      </c>
      <c r="R762" s="153">
        <f t="shared" si="68"/>
        <v>0</v>
      </c>
      <c r="S762" s="154">
        <f t="shared" si="6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hidden="1" customHeight="1">
      <c r="A763" s="1170"/>
      <c r="B763" s="1184"/>
      <c r="C763" s="1185"/>
      <c r="D763" s="1170"/>
      <c r="E763" s="1170"/>
      <c r="F763" s="1170"/>
      <c r="G763" s="1170"/>
      <c r="H763" s="1170"/>
      <c r="I763" s="1170"/>
      <c r="J763" s="1170"/>
      <c r="K763" s="1170"/>
      <c r="L763" s="153">
        <f t="shared" si="65"/>
        <v>0</v>
      </c>
      <c r="M763" s="154">
        <f t="shared" si="66"/>
        <v>0</v>
      </c>
      <c r="N763" s="155">
        <f>+IF(OR($Q763=Parametres!$G$2,$Q763=Parametres!$G$3),I763,C763)</f>
        <v>0</v>
      </c>
      <c r="O763" s="1108">
        <f>+IF(OR($Q763=Parametres!$G$2,$Q763=Parametres!$G$3),J763,D763)</f>
        <v>0</v>
      </c>
      <c r="P763" s="155">
        <f>+IF(OR($Q763=Parametres!$G$2,$Q763=Parametres!$G$3),K763,E763)</f>
        <v>0</v>
      </c>
      <c r="Q763" s="154">
        <f t="shared" si="67"/>
        <v>0</v>
      </c>
      <c r="R763" s="153">
        <f t="shared" si="68"/>
        <v>0</v>
      </c>
      <c r="S763" s="154">
        <f t="shared" si="6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hidden="1" customHeight="1">
      <c r="A764" s="1170"/>
      <c r="B764" s="1184"/>
      <c r="C764" s="1185"/>
      <c r="D764" s="1170"/>
      <c r="E764" s="1170"/>
      <c r="F764" s="1170"/>
      <c r="G764" s="1170"/>
      <c r="H764" s="1170"/>
      <c r="I764" s="1170"/>
      <c r="J764" s="1170"/>
      <c r="K764" s="1170"/>
      <c r="L764" s="153">
        <f t="shared" si="65"/>
        <v>0</v>
      </c>
      <c r="M764" s="154">
        <f t="shared" si="66"/>
        <v>0</v>
      </c>
      <c r="N764" s="155">
        <f>+IF(OR($Q764=Parametres!$G$2,$Q764=Parametres!$G$3),I764,C764)</f>
        <v>0</v>
      </c>
      <c r="O764" s="1108">
        <f>+IF(OR($Q764=Parametres!$G$2,$Q764=Parametres!$G$3),J764,D764)</f>
        <v>0</v>
      </c>
      <c r="P764" s="155">
        <f>+IF(OR($Q764=Parametres!$G$2,$Q764=Parametres!$G$3),K764,E764)</f>
        <v>0</v>
      </c>
      <c r="Q764" s="154">
        <f t="shared" si="67"/>
        <v>0</v>
      </c>
      <c r="R764" s="153">
        <f t="shared" si="68"/>
        <v>0</v>
      </c>
      <c r="S764" s="154">
        <f t="shared" si="6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hidden="1" customHeight="1">
      <c r="A765" s="1170"/>
      <c r="B765" s="1184"/>
      <c r="C765" s="1185"/>
      <c r="D765" s="1170"/>
      <c r="E765" s="1170"/>
      <c r="F765" s="1170"/>
      <c r="G765" s="1170"/>
      <c r="H765" s="1170"/>
      <c r="I765" s="1170"/>
      <c r="J765" s="1170"/>
      <c r="K765" s="1170"/>
      <c r="L765" s="153">
        <f t="shared" si="65"/>
        <v>0</v>
      </c>
      <c r="M765" s="154">
        <f t="shared" si="66"/>
        <v>0</v>
      </c>
      <c r="N765" s="155">
        <f>+IF(OR($Q765=Parametres!$G$2,$Q765=Parametres!$G$3),I765,C765)</f>
        <v>0</v>
      </c>
      <c r="O765" s="1108">
        <f>+IF(OR($Q765=Parametres!$G$2,$Q765=Parametres!$G$3),J765,D765)</f>
        <v>0</v>
      </c>
      <c r="P765" s="155">
        <f>+IF(OR($Q765=Parametres!$G$2,$Q765=Parametres!$G$3),K765,E765)</f>
        <v>0</v>
      </c>
      <c r="Q765" s="154">
        <f t="shared" si="67"/>
        <v>0</v>
      </c>
      <c r="R765" s="153">
        <f t="shared" si="68"/>
        <v>0</v>
      </c>
      <c r="S765" s="154">
        <f t="shared" si="6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hidden="1" customHeight="1">
      <c r="A766" s="1170"/>
      <c r="B766" s="1184"/>
      <c r="C766" s="1185"/>
      <c r="D766" s="1170"/>
      <c r="E766" s="1170"/>
      <c r="F766" s="1170"/>
      <c r="G766" s="1170"/>
      <c r="H766" s="1170"/>
      <c r="I766" s="1170"/>
      <c r="J766" s="1170"/>
      <c r="K766" s="1170"/>
      <c r="L766" s="153">
        <f t="shared" si="65"/>
        <v>0</v>
      </c>
      <c r="M766" s="154">
        <f t="shared" si="66"/>
        <v>0</v>
      </c>
      <c r="N766" s="155">
        <f>+IF(OR($Q766=Parametres!$G$2,$Q766=Parametres!$G$3),I766,C766)</f>
        <v>0</v>
      </c>
      <c r="O766" s="1108">
        <f>+IF(OR($Q766=Parametres!$G$2,$Q766=Parametres!$G$3),J766,D766)</f>
        <v>0</v>
      </c>
      <c r="P766" s="155">
        <f>+IF(OR($Q766=Parametres!$G$2,$Q766=Parametres!$G$3),K766,E766)</f>
        <v>0</v>
      </c>
      <c r="Q766" s="154">
        <f t="shared" si="67"/>
        <v>0</v>
      </c>
      <c r="R766" s="153">
        <f t="shared" si="68"/>
        <v>0</v>
      </c>
      <c r="S766" s="154">
        <f t="shared" si="6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hidden="1" customHeight="1">
      <c r="A767" s="1170"/>
      <c r="B767" s="1184"/>
      <c r="C767" s="1185"/>
      <c r="D767" s="1170"/>
      <c r="E767" s="1170"/>
      <c r="F767" s="1170"/>
      <c r="G767" s="1170"/>
      <c r="H767" s="1170"/>
      <c r="I767" s="1170"/>
      <c r="J767" s="1170"/>
      <c r="K767" s="1170"/>
      <c r="L767" s="153">
        <f t="shared" si="65"/>
        <v>0</v>
      </c>
      <c r="M767" s="154">
        <f t="shared" si="66"/>
        <v>0</v>
      </c>
      <c r="N767" s="155">
        <f>+IF(OR($Q767=Parametres!$G$2,$Q767=Parametres!$G$3),I767,C767)</f>
        <v>0</v>
      </c>
      <c r="O767" s="1108">
        <f>+IF(OR($Q767=Parametres!$G$2,$Q767=Parametres!$G$3),J767,D767)</f>
        <v>0</v>
      </c>
      <c r="P767" s="155">
        <f>+IF(OR($Q767=Parametres!$G$2,$Q767=Parametres!$G$3),K767,E767)</f>
        <v>0</v>
      </c>
      <c r="Q767" s="154">
        <f t="shared" si="67"/>
        <v>0</v>
      </c>
      <c r="R767" s="153">
        <f t="shared" si="68"/>
        <v>0</v>
      </c>
      <c r="S767" s="154">
        <f t="shared" si="6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hidden="1" customHeight="1">
      <c r="A768" s="1170"/>
      <c r="B768" s="1184"/>
      <c r="C768" s="1185"/>
      <c r="D768" s="1170"/>
      <c r="E768" s="1170"/>
      <c r="F768" s="1170"/>
      <c r="G768" s="1170"/>
      <c r="H768" s="1170"/>
      <c r="I768" s="1170"/>
      <c r="J768" s="1170"/>
      <c r="K768" s="1170"/>
      <c r="L768" s="153">
        <f t="shared" si="65"/>
        <v>0</v>
      </c>
      <c r="M768" s="154">
        <f t="shared" si="66"/>
        <v>0</v>
      </c>
      <c r="N768" s="155">
        <f>+IF(OR($Q768=Parametres!$G$2,$Q768=Parametres!$G$3),I768,C768)</f>
        <v>0</v>
      </c>
      <c r="O768" s="1108">
        <f>+IF(OR($Q768=Parametres!$G$2,$Q768=Parametres!$G$3),J768,D768)</f>
        <v>0</v>
      </c>
      <c r="P768" s="155">
        <f>+IF(OR($Q768=Parametres!$G$2,$Q768=Parametres!$G$3),K768,E768)</f>
        <v>0</v>
      </c>
      <c r="Q768" s="154">
        <f t="shared" si="67"/>
        <v>0</v>
      </c>
      <c r="R768" s="153">
        <f t="shared" si="68"/>
        <v>0</v>
      </c>
      <c r="S768" s="154">
        <f t="shared" si="6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hidden="1" customHeight="1">
      <c r="A769" s="1170"/>
      <c r="B769" s="1184"/>
      <c r="C769" s="1185"/>
      <c r="D769" s="1170"/>
      <c r="E769" s="1170"/>
      <c r="F769" s="1170"/>
      <c r="G769" s="1170"/>
      <c r="H769" s="1170"/>
      <c r="I769" s="1170"/>
      <c r="J769" s="1170"/>
      <c r="K769" s="1170"/>
      <c r="L769" s="153">
        <f t="shared" si="65"/>
        <v>0</v>
      </c>
      <c r="M769" s="154">
        <f t="shared" si="66"/>
        <v>0</v>
      </c>
      <c r="N769" s="155">
        <f>+IF(OR($Q769=Parametres!$G$2,$Q769=Parametres!$G$3),I769,C769)</f>
        <v>0</v>
      </c>
      <c r="O769" s="1108">
        <f>+IF(OR($Q769=Parametres!$G$2,$Q769=Parametres!$G$3),J769,D769)</f>
        <v>0</v>
      </c>
      <c r="P769" s="155">
        <f>+IF(OR($Q769=Parametres!$G$2,$Q769=Parametres!$G$3),K769,E769)</f>
        <v>0</v>
      </c>
      <c r="Q769" s="154">
        <f t="shared" si="67"/>
        <v>0</v>
      </c>
      <c r="R769" s="153">
        <f t="shared" si="68"/>
        <v>0</v>
      </c>
      <c r="S769" s="154">
        <f t="shared" si="6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hidden="1" customHeight="1">
      <c r="A770" s="1170"/>
      <c r="B770" s="1184"/>
      <c r="C770" s="1185"/>
      <c r="D770" s="1170"/>
      <c r="E770" s="1170"/>
      <c r="F770" s="1170"/>
      <c r="G770" s="1170"/>
      <c r="H770" s="1170"/>
      <c r="I770" s="1170"/>
      <c r="J770" s="1170"/>
      <c r="K770" s="1170"/>
      <c r="L770" s="153">
        <f t="shared" ref="L770:L833" si="70">+B770</f>
        <v>0</v>
      </c>
      <c r="M770" s="154">
        <f t="shared" ref="M770:M833" si="71">+A770</f>
        <v>0</v>
      </c>
      <c r="N770" s="155">
        <f>+IF(OR($Q770=Parametres!$G$2,$Q770=Parametres!$G$3),I770,C770)</f>
        <v>0</v>
      </c>
      <c r="O770" s="1108">
        <f>+IF(OR($Q770=Parametres!$G$2,$Q770=Parametres!$G$3),J770,D770)</f>
        <v>0</v>
      </c>
      <c r="P770" s="155">
        <f>+IF(OR($Q770=Parametres!$G$2,$Q770=Parametres!$G$3),K770,E770)</f>
        <v>0</v>
      </c>
      <c r="Q770" s="154">
        <f t="shared" ref="Q770:Q833" si="72">+F770</f>
        <v>0</v>
      </c>
      <c r="R770" s="153">
        <f t="shared" ref="R770:R833" si="73">+G770</f>
        <v>0</v>
      </c>
      <c r="S770" s="154">
        <f t="shared" ref="S770:S833" si="7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hidden="1" customHeight="1">
      <c r="A771" s="1170"/>
      <c r="B771" s="1184"/>
      <c r="C771" s="1185"/>
      <c r="D771" s="1170"/>
      <c r="E771" s="1170"/>
      <c r="F771" s="1170"/>
      <c r="G771" s="1170"/>
      <c r="H771" s="1170"/>
      <c r="I771" s="1170"/>
      <c r="J771" s="1170"/>
      <c r="K771" s="1170"/>
      <c r="L771" s="153">
        <f t="shared" si="70"/>
        <v>0</v>
      </c>
      <c r="M771" s="154">
        <f t="shared" si="71"/>
        <v>0</v>
      </c>
      <c r="N771" s="155">
        <f>+IF(OR($Q771=Parametres!$G$2,$Q771=Parametres!$G$3),I771,C771)</f>
        <v>0</v>
      </c>
      <c r="O771" s="1108">
        <f>+IF(OR($Q771=Parametres!$G$2,$Q771=Parametres!$G$3),J771,D771)</f>
        <v>0</v>
      </c>
      <c r="P771" s="155">
        <f>+IF(OR($Q771=Parametres!$G$2,$Q771=Parametres!$G$3),K771,E771)</f>
        <v>0</v>
      </c>
      <c r="Q771" s="154">
        <f t="shared" si="72"/>
        <v>0</v>
      </c>
      <c r="R771" s="153">
        <f t="shared" si="73"/>
        <v>0</v>
      </c>
      <c r="S771" s="154">
        <f t="shared" si="7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hidden="1" customHeight="1">
      <c r="A772" s="1170"/>
      <c r="B772" s="1184"/>
      <c r="C772" s="1185"/>
      <c r="D772" s="1170"/>
      <c r="E772" s="1170"/>
      <c r="F772" s="1170"/>
      <c r="G772" s="1170"/>
      <c r="H772" s="1170"/>
      <c r="I772" s="1170"/>
      <c r="J772" s="1170"/>
      <c r="K772" s="1170"/>
      <c r="L772" s="153">
        <f t="shared" si="70"/>
        <v>0</v>
      </c>
      <c r="M772" s="154">
        <f t="shared" si="71"/>
        <v>0</v>
      </c>
      <c r="N772" s="155">
        <f>+IF(OR($Q772=Parametres!$G$2,$Q772=Parametres!$G$3),I772,C772)</f>
        <v>0</v>
      </c>
      <c r="O772" s="1108">
        <f>+IF(OR($Q772=Parametres!$G$2,$Q772=Parametres!$G$3),J772,D772)</f>
        <v>0</v>
      </c>
      <c r="P772" s="155">
        <f>+IF(OR($Q772=Parametres!$G$2,$Q772=Parametres!$G$3),K772,E772)</f>
        <v>0</v>
      </c>
      <c r="Q772" s="154">
        <f t="shared" si="72"/>
        <v>0</v>
      </c>
      <c r="R772" s="153">
        <f t="shared" si="73"/>
        <v>0</v>
      </c>
      <c r="S772" s="154">
        <f t="shared" si="7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hidden="1" customHeight="1">
      <c r="A773" s="1170"/>
      <c r="B773" s="1184"/>
      <c r="C773" s="1185"/>
      <c r="D773" s="1170"/>
      <c r="E773" s="1170"/>
      <c r="F773" s="1170"/>
      <c r="G773" s="1170"/>
      <c r="H773" s="1170"/>
      <c r="I773" s="1170"/>
      <c r="J773" s="1170"/>
      <c r="K773" s="1170"/>
      <c r="L773" s="153">
        <f t="shared" si="70"/>
        <v>0</v>
      </c>
      <c r="M773" s="154">
        <f t="shared" si="71"/>
        <v>0</v>
      </c>
      <c r="N773" s="155">
        <f>+IF(OR($Q773=Parametres!$G$2,$Q773=Parametres!$G$3),I773,C773)</f>
        <v>0</v>
      </c>
      <c r="O773" s="1108">
        <f>+IF(OR($Q773=Parametres!$G$2,$Q773=Parametres!$G$3),J773,D773)</f>
        <v>0</v>
      </c>
      <c r="P773" s="155">
        <f>+IF(OR($Q773=Parametres!$G$2,$Q773=Parametres!$G$3),K773,E773)</f>
        <v>0</v>
      </c>
      <c r="Q773" s="154">
        <f t="shared" si="72"/>
        <v>0</v>
      </c>
      <c r="R773" s="153">
        <f t="shared" si="73"/>
        <v>0</v>
      </c>
      <c r="S773" s="154">
        <f t="shared" si="7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hidden="1" customHeight="1">
      <c r="A774" s="1170"/>
      <c r="B774" s="1184"/>
      <c r="C774" s="1185"/>
      <c r="D774" s="1170"/>
      <c r="E774" s="1170"/>
      <c r="F774" s="1170"/>
      <c r="G774" s="1170"/>
      <c r="H774" s="1170"/>
      <c r="I774" s="1170"/>
      <c r="J774" s="1170"/>
      <c r="K774" s="1170"/>
      <c r="L774" s="153">
        <f t="shared" si="70"/>
        <v>0</v>
      </c>
      <c r="M774" s="154">
        <f t="shared" si="71"/>
        <v>0</v>
      </c>
      <c r="N774" s="155">
        <f>+IF(OR($Q774=Parametres!$G$2,$Q774=Parametres!$G$3),I774,C774)</f>
        <v>0</v>
      </c>
      <c r="O774" s="1108">
        <f>+IF(OR($Q774=Parametres!$G$2,$Q774=Parametres!$G$3),J774,D774)</f>
        <v>0</v>
      </c>
      <c r="P774" s="155">
        <f>+IF(OR($Q774=Parametres!$G$2,$Q774=Parametres!$G$3),K774,E774)</f>
        <v>0</v>
      </c>
      <c r="Q774" s="154">
        <f t="shared" si="72"/>
        <v>0</v>
      </c>
      <c r="R774" s="153">
        <f t="shared" si="73"/>
        <v>0</v>
      </c>
      <c r="S774" s="154">
        <f t="shared" si="7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hidden="1" customHeight="1">
      <c r="A775" s="1170"/>
      <c r="B775" s="1184"/>
      <c r="C775" s="1185"/>
      <c r="D775" s="1170"/>
      <c r="E775" s="1170"/>
      <c r="F775" s="1170"/>
      <c r="G775" s="1170"/>
      <c r="H775" s="1170"/>
      <c r="I775" s="1170"/>
      <c r="J775" s="1170"/>
      <c r="K775" s="1170"/>
      <c r="L775" s="153">
        <f t="shared" si="70"/>
        <v>0</v>
      </c>
      <c r="M775" s="154">
        <f t="shared" si="71"/>
        <v>0</v>
      </c>
      <c r="N775" s="155">
        <f>+IF(OR($Q775=Parametres!$G$2,$Q775=Parametres!$G$3),I775,C775)</f>
        <v>0</v>
      </c>
      <c r="O775" s="1108">
        <f>+IF(OR($Q775=Parametres!$G$2,$Q775=Parametres!$G$3),J775,D775)</f>
        <v>0</v>
      </c>
      <c r="P775" s="155">
        <f>+IF(OR($Q775=Parametres!$G$2,$Q775=Parametres!$G$3),K775,E775)</f>
        <v>0</v>
      </c>
      <c r="Q775" s="154">
        <f t="shared" si="72"/>
        <v>0</v>
      </c>
      <c r="R775" s="153">
        <f t="shared" si="73"/>
        <v>0</v>
      </c>
      <c r="S775" s="154">
        <f t="shared" si="7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hidden="1" customHeight="1">
      <c r="A776" s="1170"/>
      <c r="B776" s="1184"/>
      <c r="C776" s="1185"/>
      <c r="D776" s="1170"/>
      <c r="E776" s="1170"/>
      <c r="F776" s="1170"/>
      <c r="G776" s="1170"/>
      <c r="H776" s="1170"/>
      <c r="I776" s="1170"/>
      <c r="J776" s="1170"/>
      <c r="K776" s="1170"/>
      <c r="L776" s="153">
        <f t="shared" si="70"/>
        <v>0</v>
      </c>
      <c r="M776" s="154">
        <f t="shared" si="71"/>
        <v>0</v>
      </c>
      <c r="N776" s="155">
        <f>+IF(OR($Q776=Parametres!$G$2,$Q776=Parametres!$G$3),I776,C776)</f>
        <v>0</v>
      </c>
      <c r="O776" s="1108">
        <f>+IF(OR($Q776=Parametres!$G$2,$Q776=Parametres!$G$3),J776,D776)</f>
        <v>0</v>
      </c>
      <c r="P776" s="155">
        <f>+IF(OR($Q776=Parametres!$G$2,$Q776=Parametres!$G$3),K776,E776)</f>
        <v>0</v>
      </c>
      <c r="Q776" s="154">
        <f t="shared" si="72"/>
        <v>0</v>
      </c>
      <c r="R776" s="153">
        <f t="shared" si="73"/>
        <v>0</v>
      </c>
      <c r="S776" s="154">
        <f t="shared" si="7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hidden="1" customHeight="1">
      <c r="A777" s="1170"/>
      <c r="B777" s="1184"/>
      <c r="C777" s="1185"/>
      <c r="D777" s="1170"/>
      <c r="E777" s="1170"/>
      <c r="F777" s="1170"/>
      <c r="G777" s="1170"/>
      <c r="H777" s="1170"/>
      <c r="I777" s="1170"/>
      <c r="J777" s="1170"/>
      <c r="K777" s="1170"/>
      <c r="L777" s="153">
        <f t="shared" si="70"/>
        <v>0</v>
      </c>
      <c r="M777" s="154">
        <f t="shared" si="71"/>
        <v>0</v>
      </c>
      <c r="N777" s="155">
        <f>+IF(OR($Q777=Parametres!$G$2,$Q777=Parametres!$G$3),I777,C777)</f>
        <v>0</v>
      </c>
      <c r="O777" s="1108">
        <f>+IF(OR($Q777=Parametres!$G$2,$Q777=Parametres!$G$3),J777,D777)</f>
        <v>0</v>
      </c>
      <c r="P777" s="155">
        <f>+IF(OR($Q777=Parametres!$G$2,$Q777=Parametres!$G$3),K777,E777)</f>
        <v>0</v>
      </c>
      <c r="Q777" s="154">
        <f t="shared" si="72"/>
        <v>0</v>
      </c>
      <c r="R777" s="153">
        <f t="shared" si="73"/>
        <v>0</v>
      </c>
      <c r="S777" s="154">
        <f t="shared" si="7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hidden="1" customHeight="1">
      <c r="A778" s="1170"/>
      <c r="B778" s="1184"/>
      <c r="C778" s="1185"/>
      <c r="D778" s="1170"/>
      <c r="E778" s="1170"/>
      <c r="F778" s="1170"/>
      <c r="G778" s="1170"/>
      <c r="H778" s="1170"/>
      <c r="I778" s="1170"/>
      <c r="J778" s="1170"/>
      <c r="K778" s="1170"/>
      <c r="L778" s="153">
        <f t="shared" si="70"/>
        <v>0</v>
      </c>
      <c r="M778" s="154">
        <f t="shared" si="71"/>
        <v>0</v>
      </c>
      <c r="N778" s="155">
        <f>+IF(OR($Q778=Parametres!$G$2,$Q778=Parametres!$G$3),I778,C778)</f>
        <v>0</v>
      </c>
      <c r="O778" s="1108">
        <f>+IF(OR($Q778=Parametres!$G$2,$Q778=Parametres!$G$3),J778,D778)</f>
        <v>0</v>
      </c>
      <c r="P778" s="155">
        <f>+IF(OR($Q778=Parametres!$G$2,$Q778=Parametres!$G$3),K778,E778)</f>
        <v>0</v>
      </c>
      <c r="Q778" s="154">
        <f t="shared" si="72"/>
        <v>0</v>
      </c>
      <c r="R778" s="153">
        <f t="shared" si="73"/>
        <v>0</v>
      </c>
      <c r="S778" s="154">
        <f t="shared" si="7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hidden="1" customHeight="1">
      <c r="A779" s="1170"/>
      <c r="B779" s="1184"/>
      <c r="C779" s="1185"/>
      <c r="D779" s="1170"/>
      <c r="E779" s="1170"/>
      <c r="F779" s="1170"/>
      <c r="G779" s="1170"/>
      <c r="H779" s="1170"/>
      <c r="I779" s="1170"/>
      <c r="J779" s="1170"/>
      <c r="K779" s="1170"/>
      <c r="L779" s="153">
        <f t="shared" si="70"/>
        <v>0</v>
      </c>
      <c r="M779" s="154">
        <f t="shared" si="71"/>
        <v>0</v>
      </c>
      <c r="N779" s="155">
        <f>+IF(OR($Q779=Parametres!$G$2,$Q779=Parametres!$G$3),I779,C779)</f>
        <v>0</v>
      </c>
      <c r="O779" s="1108">
        <f>+IF(OR($Q779=Parametres!$G$2,$Q779=Parametres!$G$3),J779,D779)</f>
        <v>0</v>
      </c>
      <c r="P779" s="155">
        <f>+IF(OR($Q779=Parametres!$G$2,$Q779=Parametres!$G$3),K779,E779)</f>
        <v>0</v>
      </c>
      <c r="Q779" s="154">
        <f t="shared" si="72"/>
        <v>0</v>
      </c>
      <c r="R779" s="153">
        <f t="shared" si="73"/>
        <v>0</v>
      </c>
      <c r="S779" s="154">
        <f t="shared" si="7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hidden="1" customHeight="1">
      <c r="A780" s="1170"/>
      <c r="B780" s="1184"/>
      <c r="C780" s="1185"/>
      <c r="D780" s="1170"/>
      <c r="E780" s="1170"/>
      <c r="F780" s="1170"/>
      <c r="G780" s="1170"/>
      <c r="H780" s="1170"/>
      <c r="I780" s="1170"/>
      <c r="J780" s="1170"/>
      <c r="K780" s="1170"/>
      <c r="L780" s="153">
        <f t="shared" si="70"/>
        <v>0</v>
      </c>
      <c r="M780" s="154">
        <f t="shared" si="71"/>
        <v>0</v>
      </c>
      <c r="N780" s="155">
        <f>+IF(OR($Q780=Parametres!$G$2,$Q780=Parametres!$G$3),I780,C780)</f>
        <v>0</v>
      </c>
      <c r="O780" s="1108">
        <f>+IF(OR($Q780=Parametres!$G$2,$Q780=Parametres!$G$3),J780,D780)</f>
        <v>0</v>
      </c>
      <c r="P780" s="155">
        <f>+IF(OR($Q780=Parametres!$G$2,$Q780=Parametres!$G$3),K780,E780)</f>
        <v>0</v>
      </c>
      <c r="Q780" s="154">
        <f t="shared" si="72"/>
        <v>0</v>
      </c>
      <c r="R780" s="153">
        <f t="shared" si="73"/>
        <v>0</v>
      </c>
      <c r="S780" s="154">
        <f t="shared" si="7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hidden="1" customHeight="1">
      <c r="A781" s="1170"/>
      <c r="B781" s="1184"/>
      <c r="C781" s="1185"/>
      <c r="D781" s="1170"/>
      <c r="E781" s="1170"/>
      <c r="F781" s="1170"/>
      <c r="G781" s="1170"/>
      <c r="H781" s="1170"/>
      <c r="I781" s="1170"/>
      <c r="J781" s="1170"/>
      <c r="K781" s="1170"/>
      <c r="L781" s="153">
        <f t="shared" si="70"/>
        <v>0</v>
      </c>
      <c r="M781" s="154">
        <f t="shared" si="71"/>
        <v>0</v>
      </c>
      <c r="N781" s="155">
        <f>+IF(OR($Q781=Parametres!$G$2,$Q781=Parametres!$G$3),I781,C781)</f>
        <v>0</v>
      </c>
      <c r="O781" s="1108">
        <f>+IF(OR($Q781=Parametres!$G$2,$Q781=Parametres!$G$3),J781,D781)</f>
        <v>0</v>
      </c>
      <c r="P781" s="155">
        <f>+IF(OR($Q781=Parametres!$G$2,$Q781=Parametres!$G$3),K781,E781)</f>
        <v>0</v>
      </c>
      <c r="Q781" s="154">
        <f t="shared" si="72"/>
        <v>0</v>
      </c>
      <c r="R781" s="153">
        <f t="shared" si="73"/>
        <v>0</v>
      </c>
      <c r="S781" s="154">
        <f t="shared" si="7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hidden="1" customHeight="1">
      <c r="A782" s="1170"/>
      <c r="B782" s="1184"/>
      <c r="C782" s="1185"/>
      <c r="D782" s="1170"/>
      <c r="E782" s="1170"/>
      <c r="F782" s="1170"/>
      <c r="G782" s="1170"/>
      <c r="H782" s="1170"/>
      <c r="I782" s="1170"/>
      <c r="J782" s="1170"/>
      <c r="K782" s="1170"/>
      <c r="L782" s="153">
        <f t="shared" si="70"/>
        <v>0</v>
      </c>
      <c r="M782" s="154">
        <f t="shared" si="71"/>
        <v>0</v>
      </c>
      <c r="N782" s="155">
        <f>+IF(OR($Q782=Parametres!$G$2,$Q782=Parametres!$G$3),I782,C782)</f>
        <v>0</v>
      </c>
      <c r="O782" s="1108">
        <f>+IF(OR($Q782=Parametres!$G$2,$Q782=Parametres!$G$3),J782,D782)</f>
        <v>0</v>
      </c>
      <c r="P782" s="155">
        <f>+IF(OR($Q782=Parametres!$G$2,$Q782=Parametres!$G$3),K782,E782)</f>
        <v>0</v>
      </c>
      <c r="Q782" s="154">
        <f t="shared" si="72"/>
        <v>0</v>
      </c>
      <c r="R782" s="153">
        <f t="shared" si="73"/>
        <v>0</v>
      </c>
      <c r="S782" s="154">
        <f t="shared" si="7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hidden="1" customHeight="1">
      <c r="A783" s="1170"/>
      <c r="B783" s="1184"/>
      <c r="C783" s="1185"/>
      <c r="D783" s="1170"/>
      <c r="E783" s="1170"/>
      <c r="F783" s="1170"/>
      <c r="G783" s="1170"/>
      <c r="H783" s="1170"/>
      <c r="I783" s="1170"/>
      <c r="J783" s="1170"/>
      <c r="K783" s="1170"/>
      <c r="L783" s="153">
        <f t="shared" si="70"/>
        <v>0</v>
      </c>
      <c r="M783" s="154">
        <f t="shared" si="71"/>
        <v>0</v>
      </c>
      <c r="N783" s="155">
        <f>+IF(OR($Q783=Parametres!$G$2,$Q783=Parametres!$G$3),I783,C783)</f>
        <v>0</v>
      </c>
      <c r="O783" s="1108">
        <f>+IF(OR($Q783=Parametres!$G$2,$Q783=Parametres!$G$3),J783,D783)</f>
        <v>0</v>
      </c>
      <c r="P783" s="155">
        <f>+IF(OR($Q783=Parametres!$G$2,$Q783=Parametres!$G$3),K783,E783)</f>
        <v>0</v>
      </c>
      <c r="Q783" s="154">
        <f t="shared" si="72"/>
        <v>0</v>
      </c>
      <c r="R783" s="153">
        <f t="shared" si="73"/>
        <v>0</v>
      </c>
      <c r="S783" s="154">
        <f t="shared" si="7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hidden="1" customHeight="1">
      <c r="A784" s="1170"/>
      <c r="B784" s="1184"/>
      <c r="C784" s="1185"/>
      <c r="D784" s="1170"/>
      <c r="E784" s="1170"/>
      <c r="F784" s="1170"/>
      <c r="G784" s="1170"/>
      <c r="H784" s="1170"/>
      <c r="I784" s="1170"/>
      <c r="J784" s="1170"/>
      <c r="K784" s="1170"/>
      <c r="L784" s="153">
        <f t="shared" si="70"/>
        <v>0</v>
      </c>
      <c r="M784" s="154">
        <f t="shared" si="71"/>
        <v>0</v>
      </c>
      <c r="N784" s="155">
        <f>+IF(OR($Q784=Parametres!$G$2,$Q784=Parametres!$G$3),I784,C784)</f>
        <v>0</v>
      </c>
      <c r="O784" s="1108">
        <f>+IF(OR($Q784=Parametres!$G$2,$Q784=Parametres!$G$3),J784,D784)</f>
        <v>0</v>
      </c>
      <c r="P784" s="155">
        <f>+IF(OR($Q784=Parametres!$G$2,$Q784=Parametres!$G$3),K784,E784)</f>
        <v>0</v>
      </c>
      <c r="Q784" s="154">
        <f t="shared" si="72"/>
        <v>0</v>
      </c>
      <c r="R784" s="153">
        <f t="shared" si="73"/>
        <v>0</v>
      </c>
      <c r="S784" s="154">
        <f t="shared" si="7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hidden="1" customHeight="1">
      <c r="A785" s="1170"/>
      <c r="B785" s="1184"/>
      <c r="C785" s="1185"/>
      <c r="D785" s="1170"/>
      <c r="E785" s="1170"/>
      <c r="F785" s="1170"/>
      <c r="G785" s="1170"/>
      <c r="H785" s="1170"/>
      <c r="I785" s="1170"/>
      <c r="J785" s="1170"/>
      <c r="K785" s="1170"/>
      <c r="L785" s="153">
        <f t="shared" si="70"/>
        <v>0</v>
      </c>
      <c r="M785" s="154">
        <f t="shared" si="71"/>
        <v>0</v>
      </c>
      <c r="N785" s="155">
        <f>+IF(OR($Q785=Parametres!$G$2,$Q785=Parametres!$G$3),I785,C785)</f>
        <v>0</v>
      </c>
      <c r="O785" s="1108">
        <f>+IF(OR($Q785=Parametres!$G$2,$Q785=Parametres!$G$3),J785,D785)</f>
        <v>0</v>
      </c>
      <c r="P785" s="155">
        <f>+IF(OR($Q785=Parametres!$G$2,$Q785=Parametres!$G$3),K785,E785)</f>
        <v>0</v>
      </c>
      <c r="Q785" s="154">
        <f t="shared" si="72"/>
        <v>0</v>
      </c>
      <c r="R785" s="153">
        <f t="shared" si="73"/>
        <v>0</v>
      </c>
      <c r="S785" s="154">
        <f t="shared" si="7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hidden="1" customHeight="1">
      <c r="A786" s="1170"/>
      <c r="B786" s="1184"/>
      <c r="C786" s="1185"/>
      <c r="D786" s="1170"/>
      <c r="E786" s="1170"/>
      <c r="F786" s="1170"/>
      <c r="G786" s="1170"/>
      <c r="H786" s="1170"/>
      <c r="I786" s="1170"/>
      <c r="J786" s="1170"/>
      <c r="K786" s="1170"/>
      <c r="L786" s="153">
        <f t="shared" si="70"/>
        <v>0</v>
      </c>
      <c r="M786" s="154">
        <f t="shared" si="71"/>
        <v>0</v>
      </c>
      <c r="N786" s="155">
        <f>+IF(OR($Q786=Parametres!$G$2,$Q786=Parametres!$G$3),I786,C786)</f>
        <v>0</v>
      </c>
      <c r="O786" s="1108">
        <f>+IF(OR($Q786=Parametres!$G$2,$Q786=Parametres!$G$3),J786,D786)</f>
        <v>0</v>
      </c>
      <c r="P786" s="155">
        <f>+IF(OR($Q786=Parametres!$G$2,$Q786=Parametres!$G$3),K786,E786)</f>
        <v>0</v>
      </c>
      <c r="Q786" s="154">
        <f t="shared" si="72"/>
        <v>0</v>
      </c>
      <c r="R786" s="153">
        <f t="shared" si="73"/>
        <v>0</v>
      </c>
      <c r="S786" s="154">
        <f t="shared" si="7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hidden="1" customHeight="1">
      <c r="A787" s="1170"/>
      <c r="B787" s="1184"/>
      <c r="C787" s="1185"/>
      <c r="D787" s="1170"/>
      <c r="E787" s="1170"/>
      <c r="F787" s="1170"/>
      <c r="G787" s="1170"/>
      <c r="H787" s="1170"/>
      <c r="I787" s="1170"/>
      <c r="J787" s="1170"/>
      <c r="K787" s="1170"/>
      <c r="L787" s="153">
        <f t="shared" si="70"/>
        <v>0</v>
      </c>
      <c r="M787" s="154">
        <f t="shared" si="71"/>
        <v>0</v>
      </c>
      <c r="N787" s="155">
        <f>+IF(OR($Q787=Parametres!$G$2,$Q787=Parametres!$G$3),I787,C787)</f>
        <v>0</v>
      </c>
      <c r="O787" s="1108">
        <f>+IF(OR($Q787=Parametres!$G$2,$Q787=Parametres!$G$3),J787,D787)</f>
        <v>0</v>
      </c>
      <c r="P787" s="155">
        <f>+IF(OR($Q787=Parametres!$G$2,$Q787=Parametres!$G$3),K787,E787)</f>
        <v>0</v>
      </c>
      <c r="Q787" s="154">
        <f t="shared" si="72"/>
        <v>0</v>
      </c>
      <c r="R787" s="153">
        <f t="shared" si="73"/>
        <v>0</v>
      </c>
      <c r="S787" s="154">
        <f t="shared" si="7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hidden="1" customHeight="1">
      <c r="A788" s="1170"/>
      <c r="B788" s="1184"/>
      <c r="C788" s="1185"/>
      <c r="D788" s="1170"/>
      <c r="E788" s="1170"/>
      <c r="F788" s="1170"/>
      <c r="G788" s="1170"/>
      <c r="H788" s="1170"/>
      <c r="I788" s="1170"/>
      <c r="J788" s="1170"/>
      <c r="K788" s="1170"/>
      <c r="L788" s="153">
        <f t="shared" si="70"/>
        <v>0</v>
      </c>
      <c r="M788" s="154">
        <f t="shared" si="71"/>
        <v>0</v>
      </c>
      <c r="N788" s="155">
        <f>+IF(OR($Q788=Parametres!$G$2,$Q788=Parametres!$G$3),I788,C788)</f>
        <v>0</v>
      </c>
      <c r="O788" s="1108">
        <f>+IF(OR($Q788=Parametres!$G$2,$Q788=Parametres!$G$3),J788,D788)</f>
        <v>0</v>
      </c>
      <c r="P788" s="155">
        <f>+IF(OR($Q788=Parametres!$G$2,$Q788=Parametres!$G$3),K788,E788)</f>
        <v>0</v>
      </c>
      <c r="Q788" s="154">
        <f t="shared" si="72"/>
        <v>0</v>
      </c>
      <c r="R788" s="153">
        <f t="shared" si="73"/>
        <v>0</v>
      </c>
      <c r="S788" s="154">
        <f t="shared" si="7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hidden="1" customHeight="1">
      <c r="A789" s="1170"/>
      <c r="B789" s="1184"/>
      <c r="C789" s="1185"/>
      <c r="D789" s="1170"/>
      <c r="E789" s="1170"/>
      <c r="F789" s="1170"/>
      <c r="G789" s="1170"/>
      <c r="H789" s="1170"/>
      <c r="I789" s="1170"/>
      <c r="J789" s="1170"/>
      <c r="K789" s="1170"/>
      <c r="L789" s="153">
        <f t="shared" si="70"/>
        <v>0</v>
      </c>
      <c r="M789" s="154">
        <f t="shared" si="71"/>
        <v>0</v>
      </c>
      <c r="N789" s="155">
        <f>+IF(OR($Q789=Parametres!$G$2,$Q789=Parametres!$G$3),I789,C789)</f>
        <v>0</v>
      </c>
      <c r="O789" s="1108">
        <f>+IF(OR($Q789=Parametres!$G$2,$Q789=Parametres!$G$3),J789,D789)</f>
        <v>0</v>
      </c>
      <c r="P789" s="155">
        <f>+IF(OR($Q789=Parametres!$G$2,$Q789=Parametres!$G$3),K789,E789)</f>
        <v>0</v>
      </c>
      <c r="Q789" s="154">
        <f t="shared" si="72"/>
        <v>0</v>
      </c>
      <c r="R789" s="153">
        <f t="shared" si="73"/>
        <v>0</v>
      </c>
      <c r="S789" s="154">
        <f t="shared" si="7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hidden="1" customHeight="1">
      <c r="A790" s="1170"/>
      <c r="B790" s="1184"/>
      <c r="C790" s="1185"/>
      <c r="D790" s="1170"/>
      <c r="E790" s="1170"/>
      <c r="F790" s="1170"/>
      <c r="G790" s="1170"/>
      <c r="H790" s="1170"/>
      <c r="I790" s="1170"/>
      <c r="J790" s="1170"/>
      <c r="K790" s="1170"/>
      <c r="L790" s="153">
        <f t="shared" si="70"/>
        <v>0</v>
      </c>
      <c r="M790" s="154">
        <f t="shared" si="71"/>
        <v>0</v>
      </c>
      <c r="N790" s="155">
        <f>+IF(OR($Q790=Parametres!$G$2,$Q790=Parametres!$G$3),I790,C790)</f>
        <v>0</v>
      </c>
      <c r="O790" s="1108">
        <f>+IF(OR($Q790=Parametres!$G$2,$Q790=Parametres!$G$3),J790,D790)</f>
        <v>0</v>
      </c>
      <c r="P790" s="155">
        <f>+IF(OR($Q790=Parametres!$G$2,$Q790=Parametres!$G$3),K790,E790)</f>
        <v>0</v>
      </c>
      <c r="Q790" s="154">
        <f t="shared" si="72"/>
        <v>0</v>
      </c>
      <c r="R790" s="153">
        <f t="shared" si="73"/>
        <v>0</v>
      </c>
      <c r="S790" s="154">
        <f t="shared" si="7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hidden="1" customHeight="1">
      <c r="A791" s="1170"/>
      <c r="B791" s="1184"/>
      <c r="C791" s="1185"/>
      <c r="D791" s="1170"/>
      <c r="E791" s="1170"/>
      <c r="F791" s="1170"/>
      <c r="G791" s="1170"/>
      <c r="H791" s="1170"/>
      <c r="I791" s="1170"/>
      <c r="J791" s="1170"/>
      <c r="K791" s="1170"/>
      <c r="L791" s="153">
        <f t="shared" si="70"/>
        <v>0</v>
      </c>
      <c r="M791" s="154">
        <f t="shared" si="71"/>
        <v>0</v>
      </c>
      <c r="N791" s="155">
        <f>+IF(OR($Q791=Parametres!$G$2,$Q791=Parametres!$G$3),I791,C791)</f>
        <v>0</v>
      </c>
      <c r="O791" s="1108">
        <f>+IF(OR($Q791=Parametres!$G$2,$Q791=Parametres!$G$3),J791,D791)</f>
        <v>0</v>
      </c>
      <c r="P791" s="155">
        <f>+IF(OR($Q791=Parametres!$G$2,$Q791=Parametres!$G$3),K791,E791)</f>
        <v>0</v>
      </c>
      <c r="Q791" s="154">
        <f t="shared" si="72"/>
        <v>0</v>
      </c>
      <c r="R791" s="153">
        <f t="shared" si="73"/>
        <v>0</v>
      </c>
      <c r="S791" s="154">
        <f t="shared" si="7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hidden="1" customHeight="1">
      <c r="A792" s="1170"/>
      <c r="B792" s="1184"/>
      <c r="C792" s="1185"/>
      <c r="D792" s="1170"/>
      <c r="E792" s="1170"/>
      <c r="F792" s="1170"/>
      <c r="G792" s="1170"/>
      <c r="H792" s="1170"/>
      <c r="I792" s="1170"/>
      <c r="J792" s="1170"/>
      <c r="K792" s="1170"/>
      <c r="L792" s="153">
        <f t="shared" si="70"/>
        <v>0</v>
      </c>
      <c r="M792" s="154">
        <f t="shared" si="71"/>
        <v>0</v>
      </c>
      <c r="N792" s="155">
        <f>+IF(OR($Q792=Parametres!$G$2,$Q792=Parametres!$G$3),I792,C792)</f>
        <v>0</v>
      </c>
      <c r="O792" s="1108">
        <f>+IF(OR($Q792=Parametres!$G$2,$Q792=Parametres!$G$3),J792,D792)</f>
        <v>0</v>
      </c>
      <c r="P792" s="155">
        <f>+IF(OR($Q792=Parametres!$G$2,$Q792=Parametres!$G$3),K792,E792)</f>
        <v>0</v>
      </c>
      <c r="Q792" s="154">
        <f t="shared" si="72"/>
        <v>0</v>
      </c>
      <c r="R792" s="153">
        <f t="shared" si="73"/>
        <v>0</v>
      </c>
      <c r="S792" s="154">
        <f t="shared" si="7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hidden="1" customHeight="1">
      <c r="A793" s="1170"/>
      <c r="B793" s="1184"/>
      <c r="C793" s="1185"/>
      <c r="D793" s="1170"/>
      <c r="E793" s="1170"/>
      <c r="F793" s="1170"/>
      <c r="G793" s="1170"/>
      <c r="H793" s="1170"/>
      <c r="I793" s="1170"/>
      <c r="J793" s="1170"/>
      <c r="K793" s="1170"/>
      <c r="L793" s="153">
        <f t="shared" si="70"/>
        <v>0</v>
      </c>
      <c r="M793" s="154">
        <f t="shared" si="71"/>
        <v>0</v>
      </c>
      <c r="N793" s="155">
        <f>+IF(OR($Q793=Parametres!$G$2,$Q793=Parametres!$G$3),I793,C793)</f>
        <v>0</v>
      </c>
      <c r="O793" s="1108">
        <f>+IF(OR($Q793=Parametres!$G$2,$Q793=Parametres!$G$3),J793,D793)</f>
        <v>0</v>
      </c>
      <c r="P793" s="155">
        <f>+IF(OR($Q793=Parametres!$G$2,$Q793=Parametres!$G$3),K793,E793)</f>
        <v>0</v>
      </c>
      <c r="Q793" s="154">
        <f t="shared" si="72"/>
        <v>0</v>
      </c>
      <c r="R793" s="153">
        <f t="shared" si="73"/>
        <v>0</v>
      </c>
      <c r="S793" s="154">
        <f t="shared" si="7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hidden="1" customHeight="1">
      <c r="A794" s="1170"/>
      <c r="B794" s="1184"/>
      <c r="C794" s="1185"/>
      <c r="D794" s="1170"/>
      <c r="E794" s="1170"/>
      <c r="F794" s="1170"/>
      <c r="G794" s="1170"/>
      <c r="H794" s="1170"/>
      <c r="I794" s="1170"/>
      <c r="J794" s="1170"/>
      <c r="K794" s="1170"/>
      <c r="L794" s="153">
        <f t="shared" si="70"/>
        <v>0</v>
      </c>
      <c r="M794" s="154">
        <f t="shared" si="71"/>
        <v>0</v>
      </c>
      <c r="N794" s="155">
        <f>+IF(OR($Q794=Parametres!$G$2,$Q794=Parametres!$G$3),I794,C794)</f>
        <v>0</v>
      </c>
      <c r="O794" s="1108">
        <f>+IF(OR($Q794=Parametres!$G$2,$Q794=Parametres!$G$3),J794,D794)</f>
        <v>0</v>
      </c>
      <c r="P794" s="155">
        <f>+IF(OR($Q794=Parametres!$G$2,$Q794=Parametres!$G$3),K794,E794)</f>
        <v>0</v>
      </c>
      <c r="Q794" s="154">
        <f t="shared" si="72"/>
        <v>0</v>
      </c>
      <c r="R794" s="153">
        <f t="shared" si="73"/>
        <v>0</v>
      </c>
      <c r="S794" s="154">
        <f t="shared" si="7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hidden="1" customHeight="1">
      <c r="A795" s="1170"/>
      <c r="B795" s="1184"/>
      <c r="C795" s="1185"/>
      <c r="D795" s="1170"/>
      <c r="E795" s="1170"/>
      <c r="F795" s="1170"/>
      <c r="G795" s="1170"/>
      <c r="H795" s="1170"/>
      <c r="I795" s="1170"/>
      <c r="J795" s="1170"/>
      <c r="K795" s="1170"/>
      <c r="L795" s="153">
        <f t="shared" si="70"/>
        <v>0</v>
      </c>
      <c r="M795" s="154">
        <f t="shared" si="71"/>
        <v>0</v>
      </c>
      <c r="N795" s="155">
        <f>+IF(OR($Q795=Parametres!$G$2,$Q795=Parametres!$G$3),I795,C795)</f>
        <v>0</v>
      </c>
      <c r="O795" s="1108">
        <f>+IF(OR($Q795=Parametres!$G$2,$Q795=Parametres!$G$3),J795,D795)</f>
        <v>0</v>
      </c>
      <c r="P795" s="155">
        <f>+IF(OR($Q795=Parametres!$G$2,$Q795=Parametres!$G$3),K795,E795)</f>
        <v>0</v>
      </c>
      <c r="Q795" s="154">
        <f t="shared" si="72"/>
        <v>0</v>
      </c>
      <c r="R795" s="153">
        <f t="shared" si="73"/>
        <v>0</v>
      </c>
      <c r="S795" s="154">
        <f t="shared" si="7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hidden="1" customHeight="1">
      <c r="A796" s="1170"/>
      <c r="B796" s="1184"/>
      <c r="C796" s="1185"/>
      <c r="D796" s="1170"/>
      <c r="E796" s="1170"/>
      <c r="F796" s="1170"/>
      <c r="G796" s="1170"/>
      <c r="H796" s="1170"/>
      <c r="I796" s="1170"/>
      <c r="J796" s="1170"/>
      <c r="K796" s="1170"/>
      <c r="L796" s="153">
        <f t="shared" si="70"/>
        <v>0</v>
      </c>
      <c r="M796" s="154">
        <f t="shared" si="71"/>
        <v>0</v>
      </c>
      <c r="N796" s="155">
        <f>+IF(OR($Q796=Parametres!$G$2,$Q796=Parametres!$G$3),I796,C796)</f>
        <v>0</v>
      </c>
      <c r="O796" s="1108">
        <f>+IF(OR($Q796=Parametres!$G$2,$Q796=Parametres!$G$3),J796,D796)</f>
        <v>0</v>
      </c>
      <c r="P796" s="155">
        <f>+IF(OR($Q796=Parametres!$G$2,$Q796=Parametres!$G$3),K796,E796)</f>
        <v>0</v>
      </c>
      <c r="Q796" s="154">
        <f t="shared" si="72"/>
        <v>0</v>
      </c>
      <c r="R796" s="153">
        <f t="shared" si="73"/>
        <v>0</v>
      </c>
      <c r="S796" s="154">
        <f t="shared" si="7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hidden="1" customHeight="1">
      <c r="A797" s="1170"/>
      <c r="B797" s="1184"/>
      <c r="C797" s="1185"/>
      <c r="D797" s="1170"/>
      <c r="E797" s="1170"/>
      <c r="F797" s="1170"/>
      <c r="G797" s="1170"/>
      <c r="H797" s="1170"/>
      <c r="I797" s="1170"/>
      <c r="J797" s="1170"/>
      <c r="K797" s="1170"/>
      <c r="L797" s="153">
        <f t="shared" si="70"/>
        <v>0</v>
      </c>
      <c r="M797" s="154">
        <f t="shared" si="71"/>
        <v>0</v>
      </c>
      <c r="N797" s="155">
        <f>+IF(OR($Q797=Parametres!$G$2,$Q797=Parametres!$G$3),I797,C797)</f>
        <v>0</v>
      </c>
      <c r="O797" s="1108">
        <f>+IF(OR($Q797=Parametres!$G$2,$Q797=Parametres!$G$3),J797,D797)</f>
        <v>0</v>
      </c>
      <c r="P797" s="155">
        <f>+IF(OR($Q797=Parametres!$G$2,$Q797=Parametres!$G$3),K797,E797)</f>
        <v>0</v>
      </c>
      <c r="Q797" s="154">
        <f t="shared" si="72"/>
        <v>0</v>
      </c>
      <c r="R797" s="153">
        <f t="shared" si="73"/>
        <v>0</v>
      </c>
      <c r="S797" s="154">
        <f t="shared" si="7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hidden="1" customHeight="1">
      <c r="A798" s="1170"/>
      <c r="B798" s="1184"/>
      <c r="C798" s="1185"/>
      <c r="D798" s="1170"/>
      <c r="E798" s="1170"/>
      <c r="F798" s="1170"/>
      <c r="G798" s="1170"/>
      <c r="H798" s="1170"/>
      <c r="I798" s="1170"/>
      <c r="J798" s="1170"/>
      <c r="K798" s="1170"/>
      <c r="L798" s="153">
        <f t="shared" si="70"/>
        <v>0</v>
      </c>
      <c r="M798" s="154">
        <f t="shared" si="71"/>
        <v>0</v>
      </c>
      <c r="N798" s="155">
        <f>+IF(OR($Q798=Parametres!$G$2,$Q798=Parametres!$G$3),I798,C798)</f>
        <v>0</v>
      </c>
      <c r="O798" s="1108">
        <f>+IF(OR($Q798=Parametres!$G$2,$Q798=Parametres!$G$3),J798,D798)</f>
        <v>0</v>
      </c>
      <c r="P798" s="155">
        <f>+IF(OR($Q798=Parametres!$G$2,$Q798=Parametres!$G$3),K798,E798)</f>
        <v>0</v>
      </c>
      <c r="Q798" s="154">
        <f t="shared" si="72"/>
        <v>0</v>
      </c>
      <c r="R798" s="153">
        <f t="shared" si="73"/>
        <v>0</v>
      </c>
      <c r="S798" s="154">
        <f t="shared" si="7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hidden="1" customHeight="1">
      <c r="A799" s="1170"/>
      <c r="B799" s="1184"/>
      <c r="C799" s="1185"/>
      <c r="D799" s="1170"/>
      <c r="E799" s="1170"/>
      <c r="F799" s="1170"/>
      <c r="G799" s="1170"/>
      <c r="H799" s="1170"/>
      <c r="I799" s="1170"/>
      <c r="J799" s="1170"/>
      <c r="K799" s="1170"/>
      <c r="L799" s="153">
        <f t="shared" si="70"/>
        <v>0</v>
      </c>
      <c r="M799" s="154">
        <f t="shared" si="71"/>
        <v>0</v>
      </c>
      <c r="N799" s="155">
        <f>+IF(OR($Q799=Parametres!$G$2,$Q799=Parametres!$G$3),I799,C799)</f>
        <v>0</v>
      </c>
      <c r="O799" s="1108">
        <f>+IF(OR($Q799=Parametres!$G$2,$Q799=Parametres!$G$3),J799,D799)</f>
        <v>0</v>
      </c>
      <c r="P799" s="155">
        <f>+IF(OR($Q799=Parametres!$G$2,$Q799=Parametres!$G$3),K799,E799)</f>
        <v>0</v>
      </c>
      <c r="Q799" s="154">
        <f t="shared" si="72"/>
        <v>0</v>
      </c>
      <c r="R799" s="153">
        <f t="shared" si="73"/>
        <v>0</v>
      </c>
      <c r="S799" s="154">
        <f t="shared" si="7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hidden="1" customHeight="1">
      <c r="A800" s="1170"/>
      <c r="B800" s="1184"/>
      <c r="C800" s="1185"/>
      <c r="D800" s="1170"/>
      <c r="E800" s="1170"/>
      <c r="F800" s="1170"/>
      <c r="G800" s="1170"/>
      <c r="H800" s="1170"/>
      <c r="I800" s="1170"/>
      <c r="J800" s="1170"/>
      <c r="K800" s="1170"/>
      <c r="L800" s="153">
        <f t="shared" si="70"/>
        <v>0</v>
      </c>
      <c r="M800" s="154">
        <f t="shared" si="71"/>
        <v>0</v>
      </c>
      <c r="N800" s="155">
        <f>+IF(OR($Q800=Parametres!$G$2,$Q800=Parametres!$G$3),I800,C800)</f>
        <v>0</v>
      </c>
      <c r="O800" s="1108">
        <f>+IF(OR($Q800=Parametres!$G$2,$Q800=Parametres!$G$3),J800,D800)</f>
        <v>0</v>
      </c>
      <c r="P800" s="155">
        <f>+IF(OR($Q800=Parametres!$G$2,$Q800=Parametres!$G$3),K800,E800)</f>
        <v>0</v>
      </c>
      <c r="Q800" s="154">
        <f t="shared" si="72"/>
        <v>0</v>
      </c>
      <c r="R800" s="153">
        <f t="shared" si="73"/>
        <v>0</v>
      </c>
      <c r="S800" s="154">
        <f t="shared" si="7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hidden="1" customHeight="1">
      <c r="A801" s="1170"/>
      <c r="B801" s="1184"/>
      <c r="C801" s="1185"/>
      <c r="D801" s="1170"/>
      <c r="E801" s="1170"/>
      <c r="F801" s="1170"/>
      <c r="G801" s="1170"/>
      <c r="H801" s="1170"/>
      <c r="I801" s="1170"/>
      <c r="J801" s="1170"/>
      <c r="K801" s="1170"/>
      <c r="L801" s="153">
        <f t="shared" si="70"/>
        <v>0</v>
      </c>
      <c r="M801" s="154">
        <f t="shared" si="71"/>
        <v>0</v>
      </c>
      <c r="N801" s="155">
        <f>+IF(OR($Q801=Parametres!$G$2,$Q801=Parametres!$G$3),I801,C801)</f>
        <v>0</v>
      </c>
      <c r="O801" s="1108">
        <f>+IF(OR($Q801=Parametres!$G$2,$Q801=Parametres!$G$3),J801,D801)</f>
        <v>0</v>
      </c>
      <c r="P801" s="155">
        <f>+IF(OR($Q801=Parametres!$G$2,$Q801=Parametres!$G$3),K801,E801)</f>
        <v>0</v>
      </c>
      <c r="Q801" s="154">
        <f t="shared" si="72"/>
        <v>0</v>
      </c>
      <c r="R801" s="153">
        <f t="shared" si="73"/>
        <v>0</v>
      </c>
      <c r="S801" s="154">
        <f t="shared" si="7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hidden="1" customHeight="1">
      <c r="A802" s="1170"/>
      <c r="B802" s="1184"/>
      <c r="C802" s="1185"/>
      <c r="D802" s="1170"/>
      <c r="E802" s="1170"/>
      <c r="F802" s="1170"/>
      <c r="G802" s="1170"/>
      <c r="H802" s="1170"/>
      <c r="I802" s="1170"/>
      <c r="J802" s="1170"/>
      <c r="K802" s="1170"/>
      <c r="L802" s="153">
        <f t="shared" si="70"/>
        <v>0</v>
      </c>
      <c r="M802" s="154">
        <f t="shared" si="71"/>
        <v>0</v>
      </c>
      <c r="N802" s="155">
        <f>+IF(OR($Q802=Parametres!$G$2,$Q802=Parametres!$G$3),I802,C802)</f>
        <v>0</v>
      </c>
      <c r="O802" s="1108">
        <f>+IF(OR($Q802=Parametres!$G$2,$Q802=Parametres!$G$3),J802,D802)</f>
        <v>0</v>
      </c>
      <c r="P802" s="155">
        <f>+IF(OR($Q802=Parametres!$G$2,$Q802=Parametres!$G$3),K802,E802)</f>
        <v>0</v>
      </c>
      <c r="Q802" s="154">
        <f t="shared" si="72"/>
        <v>0</v>
      </c>
      <c r="R802" s="153">
        <f t="shared" si="73"/>
        <v>0</v>
      </c>
      <c r="S802" s="154">
        <f t="shared" si="7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hidden="1" customHeight="1">
      <c r="A803" s="1170"/>
      <c r="B803" s="1184"/>
      <c r="C803" s="1185"/>
      <c r="D803" s="1170"/>
      <c r="E803" s="1170"/>
      <c r="F803" s="1170"/>
      <c r="G803" s="1170"/>
      <c r="H803" s="1170"/>
      <c r="I803" s="1170"/>
      <c r="J803" s="1170"/>
      <c r="K803" s="1170"/>
      <c r="L803" s="153">
        <f t="shared" si="70"/>
        <v>0</v>
      </c>
      <c r="M803" s="154">
        <f t="shared" si="71"/>
        <v>0</v>
      </c>
      <c r="N803" s="155">
        <f>+IF(OR($Q803=Parametres!$G$2,$Q803=Parametres!$G$3),I803,C803)</f>
        <v>0</v>
      </c>
      <c r="O803" s="1108">
        <f>+IF(OR($Q803=Parametres!$G$2,$Q803=Parametres!$G$3),J803,D803)</f>
        <v>0</v>
      </c>
      <c r="P803" s="155">
        <f>+IF(OR($Q803=Parametres!$G$2,$Q803=Parametres!$G$3),K803,E803)</f>
        <v>0</v>
      </c>
      <c r="Q803" s="154">
        <f t="shared" si="72"/>
        <v>0</v>
      </c>
      <c r="R803" s="153">
        <f t="shared" si="73"/>
        <v>0</v>
      </c>
      <c r="S803" s="154">
        <f t="shared" si="7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hidden="1" customHeight="1">
      <c r="A804" s="1170"/>
      <c r="B804" s="1184"/>
      <c r="C804" s="1185"/>
      <c r="D804" s="1170"/>
      <c r="E804" s="1170"/>
      <c r="F804" s="1170"/>
      <c r="G804" s="1170"/>
      <c r="H804" s="1170"/>
      <c r="I804" s="1170"/>
      <c r="J804" s="1170"/>
      <c r="K804" s="1170"/>
      <c r="L804" s="153">
        <f t="shared" si="70"/>
        <v>0</v>
      </c>
      <c r="M804" s="154">
        <f t="shared" si="71"/>
        <v>0</v>
      </c>
      <c r="N804" s="155">
        <f>+IF(OR($Q804=Parametres!$G$2,$Q804=Parametres!$G$3),I804,C804)</f>
        <v>0</v>
      </c>
      <c r="O804" s="1108">
        <f>+IF(OR($Q804=Parametres!$G$2,$Q804=Parametres!$G$3),J804,D804)</f>
        <v>0</v>
      </c>
      <c r="P804" s="155">
        <f>+IF(OR($Q804=Parametres!$G$2,$Q804=Parametres!$G$3),K804,E804)</f>
        <v>0</v>
      </c>
      <c r="Q804" s="154">
        <f t="shared" si="72"/>
        <v>0</v>
      </c>
      <c r="R804" s="153">
        <f t="shared" si="73"/>
        <v>0</v>
      </c>
      <c r="S804" s="154">
        <f t="shared" si="7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hidden="1" customHeight="1">
      <c r="A805" s="1170"/>
      <c r="B805" s="1184"/>
      <c r="C805" s="1185"/>
      <c r="D805" s="1170"/>
      <c r="E805" s="1170"/>
      <c r="F805" s="1170"/>
      <c r="G805" s="1170"/>
      <c r="H805" s="1170"/>
      <c r="I805" s="1170"/>
      <c r="J805" s="1170"/>
      <c r="K805" s="1170"/>
      <c r="L805" s="153">
        <f t="shared" si="70"/>
        <v>0</v>
      </c>
      <c r="M805" s="154">
        <f t="shared" si="71"/>
        <v>0</v>
      </c>
      <c r="N805" s="155">
        <f>+IF(OR($Q805=Parametres!$G$2,$Q805=Parametres!$G$3),I805,C805)</f>
        <v>0</v>
      </c>
      <c r="O805" s="1108">
        <f>+IF(OR($Q805=Parametres!$G$2,$Q805=Parametres!$G$3),J805,D805)</f>
        <v>0</v>
      </c>
      <c r="P805" s="155">
        <f>+IF(OR($Q805=Parametres!$G$2,$Q805=Parametres!$G$3),K805,E805)</f>
        <v>0</v>
      </c>
      <c r="Q805" s="154">
        <f t="shared" si="72"/>
        <v>0</v>
      </c>
      <c r="R805" s="153">
        <f t="shared" si="73"/>
        <v>0</v>
      </c>
      <c r="S805" s="154">
        <f t="shared" si="7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hidden="1" customHeight="1">
      <c r="A806" s="1170"/>
      <c r="B806" s="1184"/>
      <c r="C806" s="1185"/>
      <c r="D806" s="1170"/>
      <c r="E806" s="1170"/>
      <c r="F806" s="1170"/>
      <c r="G806" s="1170"/>
      <c r="H806" s="1170"/>
      <c r="I806" s="1170"/>
      <c r="J806" s="1170"/>
      <c r="K806" s="1170"/>
      <c r="L806" s="153">
        <f t="shared" si="70"/>
        <v>0</v>
      </c>
      <c r="M806" s="154">
        <f t="shared" si="71"/>
        <v>0</v>
      </c>
      <c r="N806" s="155">
        <f>+IF(OR($Q806=Parametres!$G$2,$Q806=Parametres!$G$3),I806,C806)</f>
        <v>0</v>
      </c>
      <c r="O806" s="1108">
        <f>+IF(OR($Q806=Parametres!$G$2,$Q806=Parametres!$G$3),J806,D806)</f>
        <v>0</v>
      </c>
      <c r="P806" s="155">
        <f>+IF(OR($Q806=Parametres!$G$2,$Q806=Parametres!$G$3),K806,E806)</f>
        <v>0</v>
      </c>
      <c r="Q806" s="154">
        <f t="shared" si="72"/>
        <v>0</v>
      </c>
      <c r="R806" s="153">
        <f t="shared" si="73"/>
        <v>0</v>
      </c>
      <c r="S806" s="154">
        <f t="shared" si="7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hidden="1" customHeight="1">
      <c r="A807" s="1170"/>
      <c r="B807" s="1184"/>
      <c r="C807" s="1185"/>
      <c r="D807" s="1170"/>
      <c r="E807" s="1170"/>
      <c r="F807" s="1170"/>
      <c r="G807" s="1170"/>
      <c r="H807" s="1170"/>
      <c r="I807" s="1170"/>
      <c r="J807" s="1170"/>
      <c r="K807" s="1170"/>
      <c r="L807" s="153">
        <f t="shared" si="70"/>
        <v>0</v>
      </c>
      <c r="M807" s="154">
        <f t="shared" si="71"/>
        <v>0</v>
      </c>
      <c r="N807" s="155">
        <f>+IF(OR($Q807=Parametres!$G$2,$Q807=Parametres!$G$3),I807,C807)</f>
        <v>0</v>
      </c>
      <c r="O807" s="1108">
        <f>+IF(OR($Q807=Parametres!$G$2,$Q807=Parametres!$G$3),J807,D807)</f>
        <v>0</v>
      </c>
      <c r="P807" s="155">
        <f>+IF(OR($Q807=Parametres!$G$2,$Q807=Parametres!$G$3),K807,E807)</f>
        <v>0</v>
      </c>
      <c r="Q807" s="154">
        <f t="shared" si="72"/>
        <v>0</v>
      </c>
      <c r="R807" s="153">
        <f t="shared" si="73"/>
        <v>0</v>
      </c>
      <c r="S807" s="154">
        <f t="shared" si="7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hidden="1" customHeight="1">
      <c r="A808" s="1170"/>
      <c r="B808" s="1184"/>
      <c r="C808" s="1185"/>
      <c r="D808" s="1170"/>
      <c r="E808" s="1170"/>
      <c r="F808" s="1170"/>
      <c r="G808" s="1170"/>
      <c r="H808" s="1170"/>
      <c r="I808" s="1170"/>
      <c r="J808" s="1170"/>
      <c r="K808" s="1170"/>
      <c r="L808" s="153">
        <f t="shared" si="70"/>
        <v>0</v>
      </c>
      <c r="M808" s="154">
        <f t="shared" si="71"/>
        <v>0</v>
      </c>
      <c r="N808" s="155">
        <f>+IF(OR($Q808=Parametres!$G$2,$Q808=Parametres!$G$3),I808,C808)</f>
        <v>0</v>
      </c>
      <c r="O808" s="1108">
        <f>+IF(OR($Q808=Parametres!$G$2,$Q808=Parametres!$G$3),J808,D808)</f>
        <v>0</v>
      </c>
      <c r="P808" s="155">
        <f>+IF(OR($Q808=Parametres!$G$2,$Q808=Parametres!$G$3),K808,E808)</f>
        <v>0</v>
      </c>
      <c r="Q808" s="154">
        <f t="shared" si="72"/>
        <v>0</v>
      </c>
      <c r="R808" s="153">
        <f t="shared" si="73"/>
        <v>0</v>
      </c>
      <c r="S808" s="154">
        <f t="shared" si="7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hidden="1" customHeight="1">
      <c r="A809" s="1170"/>
      <c r="B809" s="1184"/>
      <c r="C809" s="1185"/>
      <c r="D809" s="1170"/>
      <c r="E809" s="1170"/>
      <c r="F809" s="1170"/>
      <c r="G809" s="1170"/>
      <c r="H809" s="1170"/>
      <c r="I809" s="1170"/>
      <c r="J809" s="1170"/>
      <c r="K809" s="1170"/>
      <c r="L809" s="153">
        <f t="shared" si="70"/>
        <v>0</v>
      </c>
      <c r="M809" s="154">
        <f t="shared" si="71"/>
        <v>0</v>
      </c>
      <c r="N809" s="155">
        <f>+IF(OR($Q809=Parametres!$G$2,$Q809=Parametres!$G$3),I809,C809)</f>
        <v>0</v>
      </c>
      <c r="O809" s="1108">
        <f>+IF(OR($Q809=Parametres!$G$2,$Q809=Parametres!$G$3),J809,D809)</f>
        <v>0</v>
      </c>
      <c r="P809" s="155">
        <f>+IF(OR($Q809=Parametres!$G$2,$Q809=Parametres!$G$3),K809,E809)</f>
        <v>0</v>
      </c>
      <c r="Q809" s="154">
        <f t="shared" si="72"/>
        <v>0</v>
      </c>
      <c r="R809" s="153">
        <f t="shared" si="73"/>
        <v>0</v>
      </c>
      <c r="S809" s="154">
        <f t="shared" si="7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hidden="1" customHeight="1">
      <c r="A810" s="1170"/>
      <c r="B810" s="1184"/>
      <c r="C810" s="1185"/>
      <c r="D810" s="1170"/>
      <c r="E810" s="1170"/>
      <c r="F810" s="1170"/>
      <c r="G810" s="1170"/>
      <c r="H810" s="1170"/>
      <c r="I810" s="1170"/>
      <c r="J810" s="1170"/>
      <c r="K810" s="1170"/>
      <c r="L810" s="153">
        <f t="shared" si="70"/>
        <v>0</v>
      </c>
      <c r="M810" s="154">
        <f t="shared" si="71"/>
        <v>0</v>
      </c>
      <c r="N810" s="155">
        <f>+IF(OR($Q810=Parametres!$G$2,$Q810=Parametres!$G$3),I810,C810)</f>
        <v>0</v>
      </c>
      <c r="O810" s="1108">
        <f>+IF(OR($Q810=Parametres!$G$2,$Q810=Parametres!$G$3),J810,D810)</f>
        <v>0</v>
      </c>
      <c r="P810" s="155">
        <f>+IF(OR($Q810=Parametres!$G$2,$Q810=Parametres!$G$3),K810,E810)</f>
        <v>0</v>
      </c>
      <c r="Q810" s="154">
        <f t="shared" si="72"/>
        <v>0</v>
      </c>
      <c r="R810" s="153">
        <f t="shared" si="73"/>
        <v>0</v>
      </c>
      <c r="S810" s="154">
        <f t="shared" si="7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hidden="1" customHeight="1">
      <c r="A811" s="1170"/>
      <c r="B811" s="1184"/>
      <c r="C811" s="1185"/>
      <c r="D811" s="1170"/>
      <c r="E811" s="1170"/>
      <c r="F811" s="1170"/>
      <c r="G811" s="1170"/>
      <c r="H811" s="1170"/>
      <c r="I811" s="1170"/>
      <c r="J811" s="1170"/>
      <c r="K811" s="1170"/>
      <c r="L811" s="153">
        <f t="shared" si="70"/>
        <v>0</v>
      </c>
      <c r="M811" s="154">
        <f t="shared" si="71"/>
        <v>0</v>
      </c>
      <c r="N811" s="155">
        <f>+IF(OR($Q811=Parametres!$G$2,$Q811=Parametres!$G$3),I811,C811)</f>
        <v>0</v>
      </c>
      <c r="O811" s="1108">
        <f>+IF(OR($Q811=Parametres!$G$2,$Q811=Parametres!$G$3),J811,D811)</f>
        <v>0</v>
      </c>
      <c r="P811" s="155">
        <f>+IF(OR($Q811=Parametres!$G$2,$Q811=Parametres!$G$3),K811,E811)</f>
        <v>0</v>
      </c>
      <c r="Q811" s="154">
        <f t="shared" si="72"/>
        <v>0</v>
      </c>
      <c r="R811" s="153">
        <f t="shared" si="73"/>
        <v>0</v>
      </c>
      <c r="S811" s="154">
        <f t="shared" si="7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hidden="1" customHeight="1">
      <c r="A812" s="1170"/>
      <c r="B812" s="1184"/>
      <c r="C812" s="1185"/>
      <c r="D812" s="1170"/>
      <c r="E812" s="1170"/>
      <c r="F812" s="1170"/>
      <c r="G812" s="1170"/>
      <c r="H812" s="1170"/>
      <c r="I812" s="1170"/>
      <c r="J812" s="1170"/>
      <c r="K812" s="1170"/>
      <c r="L812" s="153">
        <f t="shared" si="70"/>
        <v>0</v>
      </c>
      <c r="M812" s="154">
        <f t="shared" si="71"/>
        <v>0</v>
      </c>
      <c r="N812" s="155">
        <f>+IF(OR($Q812=Parametres!$G$2,$Q812=Parametres!$G$3),I812,C812)</f>
        <v>0</v>
      </c>
      <c r="O812" s="1108">
        <f>+IF(OR($Q812=Parametres!$G$2,$Q812=Parametres!$G$3),J812,D812)</f>
        <v>0</v>
      </c>
      <c r="P812" s="155">
        <f>+IF(OR($Q812=Parametres!$G$2,$Q812=Parametres!$G$3),K812,E812)</f>
        <v>0</v>
      </c>
      <c r="Q812" s="154">
        <f t="shared" si="72"/>
        <v>0</v>
      </c>
      <c r="R812" s="153">
        <f t="shared" si="73"/>
        <v>0</v>
      </c>
      <c r="S812" s="154">
        <f t="shared" si="7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hidden="1" customHeight="1">
      <c r="A813" s="1170"/>
      <c r="B813" s="1184"/>
      <c r="C813" s="1185"/>
      <c r="D813" s="1170"/>
      <c r="E813" s="1170"/>
      <c r="F813" s="1170"/>
      <c r="G813" s="1170"/>
      <c r="H813" s="1170"/>
      <c r="I813" s="1170"/>
      <c r="J813" s="1170"/>
      <c r="K813" s="1170"/>
      <c r="L813" s="153">
        <f t="shared" si="70"/>
        <v>0</v>
      </c>
      <c r="M813" s="154">
        <f t="shared" si="71"/>
        <v>0</v>
      </c>
      <c r="N813" s="155">
        <f>+IF(OR($Q813=Parametres!$G$2,$Q813=Parametres!$G$3),I813,C813)</f>
        <v>0</v>
      </c>
      <c r="O813" s="1108">
        <f>+IF(OR($Q813=Parametres!$G$2,$Q813=Parametres!$G$3),J813,D813)</f>
        <v>0</v>
      </c>
      <c r="P813" s="155">
        <f>+IF(OR($Q813=Parametres!$G$2,$Q813=Parametres!$G$3),K813,E813)</f>
        <v>0</v>
      </c>
      <c r="Q813" s="154">
        <f t="shared" si="72"/>
        <v>0</v>
      </c>
      <c r="R813" s="153">
        <f t="shared" si="73"/>
        <v>0</v>
      </c>
      <c r="S813" s="154">
        <f t="shared" si="7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hidden="1" customHeight="1">
      <c r="A814" s="1170"/>
      <c r="B814" s="1184"/>
      <c r="C814" s="1185"/>
      <c r="D814" s="1170"/>
      <c r="E814" s="1170"/>
      <c r="F814" s="1170"/>
      <c r="G814" s="1170"/>
      <c r="H814" s="1170"/>
      <c r="I814" s="1170"/>
      <c r="J814" s="1170"/>
      <c r="K814" s="1170"/>
      <c r="L814" s="153">
        <f t="shared" si="70"/>
        <v>0</v>
      </c>
      <c r="M814" s="154">
        <f t="shared" si="71"/>
        <v>0</v>
      </c>
      <c r="N814" s="155">
        <f>+IF(OR($Q814=Parametres!$G$2,$Q814=Parametres!$G$3),I814,C814)</f>
        <v>0</v>
      </c>
      <c r="O814" s="1108">
        <f>+IF(OR($Q814=Parametres!$G$2,$Q814=Parametres!$G$3),J814,D814)</f>
        <v>0</v>
      </c>
      <c r="P814" s="155">
        <f>+IF(OR($Q814=Parametres!$G$2,$Q814=Parametres!$G$3),K814,E814)</f>
        <v>0</v>
      </c>
      <c r="Q814" s="154">
        <f t="shared" si="72"/>
        <v>0</v>
      </c>
      <c r="R814" s="153">
        <f t="shared" si="73"/>
        <v>0</v>
      </c>
      <c r="S814" s="154">
        <f t="shared" si="7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hidden="1" customHeight="1">
      <c r="A815" s="1170"/>
      <c r="B815" s="1184"/>
      <c r="C815" s="1185"/>
      <c r="D815" s="1170"/>
      <c r="E815" s="1170"/>
      <c r="F815" s="1170"/>
      <c r="G815" s="1170"/>
      <c r="H815" s="1170"/>
      <c r="I815" s="1170"/>
      <c r="J815" s="1170"/>
      <c r="K815" s="1170"/>
      <c r="L815" s="153">
        <f t="shared" si="70"/>
        <v>0</v>
      </c>
      <c r="M815" s="154">
        <f t="shared" si="71"/>
        <v>0</v>
      </c>
      <c r="N815" s="155">
        <f>+IF(OR($Q815=Parametres!$G$2,$Q815=Parametres!$G$3),I815,C815)</f>
        <v>0</v>
      </c>
      <c r="O815" s="1108">
        <f>+IF(OR($Q815=Parametres!$G$2,$Q815=Parametres!$G$3),J815,D815)</f>
        <v>0</v>
      </c>
      <c r="P815" s="155">
        <f>+IF(OR($Q815=Parametres!$G$2,$Q815=Parametres!$G$3),K815,E815)</f>
        <v>0</v>
      </c>
      <c r="Q815" s="154">
        <f t="shared" si="72"/>
        <v>0</v>
      </c>
      <c r="R815" s="153">
        <f t="shared" si="73"/>
        <v>0</v>
      </c>
      <c r="S815" s="154">
        <f t="shared" si="7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hidden="1" customHeight="1">
      <c r="A816" s="1170"/>
      <c r="B816" s="1184"/>
      <c r="C816" s="1185"/>
      <c r="D816" s="1170"/>
      <c r="E816" s="1170"/>
      <c r="F816" s="1170"/>
      <c r="G816" s="1170"/>
      <c r="H816" s="1170"/>
      <c r="I816" s="1170"/>
      <c r="J816" s="1170"/>
      <c r="K816" s="1170"/>
      <c r="L816" s="153">
        <f t="shared" si="70"/>
        <v>0</v>
      </c>
      <c r="M816" s="154">
        <f t="shared" si="71"/>
        <v>0</v>
      </c>
      <c r="N816" s="155">
        <f>+IF(OR($Q816=Parametres!$G$2,$Q816=Parametres!$G$3),I816,C816)</f>
        <v>0</v>
      </c>
      <c r="O816" s="1108">
        <f>+IF(OR($Q816=Parametres!$G$2,$Q816=Parametres!$G$3),J816,D816)</f>
        <v>0</v>
      </c>
      <c r="P816" s="155">
        <f>+IF(OR($Q816=Parametres!$G$2,$Q816=Parametres!$G$3),K816,E816)</f>
        <v>0</v>
      </c>
      <c r="Q816" s="154">
        <f t="shared" si="72"/>
        <v>0</v>
      </c>
      <c r="R816" s="153">
        <f t="shared" si="73"/>
        <v>0</v>
      </c>
      <c r="S816" s="154">
        <f t="shared" si="7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hidden="1" customHeight="1">
      <c r="A817" s="1170"/>
      <c r="B817" s="1184"/>
      <c r="C817" s="1185"/>
      <c r="D817" s="1170"/>
      <c r="E817" s="1170"/>
      <c r="F817" s="1170"/>
      <c r="G817" s="1170"/>
      <c r="H817" s="1170"/>
      <c r="I817" s="1170"/>
      <c r="J817" s="1170"/>
      <c r="K817" s="1170"/>
      <c r="L817" s="153">
        <f t="shared" si="70"/>
        <v>0</v>
      </c>
      <c r="M817" s="154">
        <f t="shared" si="71"/>
        <v>0</v>
      </c>
      <c r="N817" s="155">
        <f>+IF(OR($Q817=Parametres!$G$2,$Q817=Parametres!$G$3),I817,C817)</f>
        <v>0</v>
      </c>
      <c r="O817" s="1108">
        <f>+IF(OR($Q817=Parametres!$G$2,$Q817=Parametres!$G$3),J817,D817)</f>
        <v>0</v>
      </c>
      <c r="P817" s="155">
        <f>+IF(OR($Q817=Parametres!$G$2,$Q817=Parametres!$G$3),K817,E817)</f>
        <v>0</v>
      </c>
      <c r="Q817" s="154">
        <f t="shared" si="72"/>
        <v>0</v>
      </c>
      <c r="R817" s="153">
        <f t="shared" si="73"/>
        <v>0</v>
      </c>
      <c r="S817" s="154">
        <f t="shared" si="7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hidden="1" customHeight="1">
      <c r="A818" s="1170"/>
      <c r="B818" s="1184"/>
      <c r="C818" s="1185"/>
      <c r="D818" s="1170"/>
      <c r="E818" s="1170"/>
      <c r="F818" s="1170"/>
      <c r="G818" s="1170"/>
      <c r="H818" s="1170"/>
      <c r="I818" s="1170"/>
      <c r="J818" s="1170"/>
      <c r="K818" s="1170"/>
      <c r="L818" s="153">
        <f t="shared" si="70"/>
        <v>0</v>
      </c>
      <c r="M818" s="154">
        <f t="shared" si="71"/>
        <v>0</v>
      </c>
      <c r="N818" s="155">
        <f>+IF(OR($Q818=Parametres!$G$2,$Q818=Parametres!$G$3),I818,C818)</f>
        <v>0</v>
      </c>
      <c r="O818" s="1108">
        <f>+IF(OR($Q818=Parametres!$G$2,$Q818=Parametres!$G$3),J818,D818)</f>
        <v>0</v>
      </c>
      <c r="P818" s="155">
        <f>+IF(OR($Q818=Parametres!$G$2,$Q818=Parametres!$G$3),K818,E818)</f>
        <v>0</v>
      </c>
      <c r="Q818" s="154">
        <f t="shared" si="72"/>
        <v>0</v>
      </c>
      <c r="R818" s="153">
        <f t="shared" si="73"/>
        <v>0</v>
      </c>
      <c r="S818" s="154">
        <f t="shared" si="7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hidden="1" customHeight="1">
      <c r="A819" s="1170"/>
      <c r="B819" s="1184"/>
      <c r="C819" s="1185"/>
      <c r="D819" s="1170"/>
      <c r="E819" s="1170"/>
      <c r="F819" s="1170"/>
      <c r="G819" s="1170"/>
      <c r="H819" s="1170"/>
      <c r="I819" s="1170"/>
      <c r="J819" s="1170"/>
      <c r="K819" s="1170"/>
      <c r="L819" s="153">
        <f t="shared" si="70"/>
        <v>0</v>
      </c>
      <c r="M819" s="154">
        <f t="shared" si="71"/>
        <v>0</v>
      </c>
      <c r="N819" s="155">
        <f>+IF(OR($Q819=Parametres!$G$2,$Q819=Parametres!$G$3),I819,C819)</f>
        <v>0</v>
      </c>
      <c r="O819" s="1108">
        <f>+IF(OR($Q819=Parametres!$G$2,$Q819=Parametres!$G$3),J819,D819)</f>
        <v>0</v>
      </c>
      <c r="P819" s="155">
        <f>+IF(OR($Q819=Parametres!$G$2,$Q819=Parametres!$G$3),K819,E819)</f>
        <v>0</v>
      </c>
      <c r="Q819" s="154">
        <f t="shared" si="72"/>
        <v>0</v>
      </c>
      <c r="R819" s="153">
        <f t="shared" si="73"/>
        <v>0</v>
      </c>
      <c r="S819" s="154">
        <f t="shared" si="7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hidden="1" customHeight="1">
      <c r="A820" s="1170"/>
      <c r="B820" s="1184"/>
      <c r="C820" s="1185"/>
      <c r="D820" s="1170"/>
      <c r="E820" s="1170"/>
      <c r="F820" s="1170"/>
      <c r="G820" s="1170"/>
      <c r="H820" s="1170"/>
      <c r="I820" s="1170"/>
      <c r="J820" s="1170"/>
      <c r="K820" s="1170"/>
      <c r="L820" s="153">
        <f t="shared" si="70"/>
        <v>0</v>
      </c>
      <c r="M820" s="154">
        <f t="shared" si="71"/>
        <v>0</v>
      </c>
      <c r="N820" s="155">
        <f>+IF(OR($Q820=Parametres!$G$2,$Q820=Parametres!$G$3),I820,C820)</f>
        <v>0</v>
      </c>
      <c r="O820" s="1108">
        <f>+IF(OR($Q820=Parametres!$G$2,$Q820=Parametres!$G$3),J820,D820)</f>
        <v>0</v>
      </c>
      <c r="P820" s="155">
        <f>+IF(OR($Q820=Parametres!$G$2,$Q820=Parametres!$G$3),K820,E820)</f>
        <v>0</v>
      </c>
      <c r="Q820" s="154">
        <f t="shared" si="72"/>
        <v>0</v>
      </c>
      <c r="R820" s="153">
        <f t="shared" si="73"/>
        <v>0</v>
      </c>
      <c r="S820" s="154">
        <f t="shared" si="7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hidden="1" customHeight="1">
      <c r="A821" s="1170"/>
      <c r="B821" s="1184"/>
      <c r="C821" s="1185"/>
      <c r="D821" s="1170"/>
      <c r="E821" s="1170"/>
      <c r="F821" s="1170"/>
      <c r="G821" s="1170"/>
      <c r="H821" s="1170"/>
      <c r="I821" s="1170"/>
      <c r="J821" s="1170"/>
      <c r="K821" s="1170"/>
      <c r="L821" s="153">
        <f t="shared" si="70"/>
        <v>0</v>
      </c>
      <c r="M821" s="154">
        <f t="shared" si="71"/>
        <v>0</v>
      </c>
      <c r="N821" s="155">
        <f>+IF(OR($Q821=Parametres!$G$2,$Q821=Parametres!$G$3),I821,C821)</f>
        <v>0</v>
      </c>
      <c r="O821" s="1108">
        <f>+IF(OR($Q821=Parametres!$G$2,$Q821=Parametres!$G$3),J821,D821)</f>
        <v>0</v>
      </c>
      <c r="P821" s="155">
        <f>+IF(OR($Q821=Parametres!$G$2,$Q821=Parametres!$G$3),K821,E821)</f>
        <v>0</v>
      </c>
      <c r="Q821" s="154">
        <f t="shared" si="72"/>
        <v>0</v>
      </c>
      <c r="R821" s="153">
        <f t="shared" si="73"/>
        <v>0</v>
      </c>
      <c r="S821" s="154">
        <f t="shared" si="7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hidden="1" customHeight="1">
      <c r="A822" s="1170"/>
      <c r="B822" s="1184"/>
      <c r="C822" s="1185"/>
      <c r="D822" s="1170"/>
      <c r="E822" s="1170"/>
      <c r="F822" s="1170"/>
      <c r="G822" s="1170"/>
      <c r="H822" s="1170"/>
      <c r="I822" s="1170"/>
      <c r="J822" s="1170"/>
      <c r="K822" s="1170"/>
      <c r="L822" s="153">
        <f t="shared" si="70"/>
        <v>0</v>
      </c>
      <c r="M822" s="154">
        <f t="shared" si="71"/>
        <v>0</v>
      </c>
      <c r="N822" s="155">
        <f>+IF(OR($Q822=Parametres!$G$2,$Q822=Parametres!$G$3),I822,C822)</f>
        <v>0</v>
      </c>
      <c r="O822" s="1108">
        <f>+IF(OR($Q822=Parametres!$G$2,$Q822=Parametres!$G$3),J822,D822)</f>
        <v>0</v>
      </c>
      <c r="P822" s="155">
        <f>+IF(OR($Q822=Parametres!$G$2,$Q822=Parametres!$G$3),K822,E822)</f>
        <v>0</v>
      </c>
      <c r="Q822" s="154">
        <f t="shared" si="72"/>
        <v>0</v>
      </c>
      <c r="R822" s="153">
        <f t="shared" si="73"/>
        <v>0</v>
      </c>
      <c r="S822" s="154">
        <f t="shared" si="7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hidden="1" customHeight="1">
      <c r="A823" s="1170"/>
      <c r="B823" s="1184"/>
      <c r="C823" s="1185"/>
      <c r="D823" s="1170"/>
      <c r="E823" s="1170"/>
      <c r="F823" s="1170"/>
      <c r="G823" s="1170"/>
      <c r="H823" s="1170"/>
      <c r="I823" s="1170"/>
      <c r="J823" s="1170"/>
      <c r="K823" s="1170"/>
      <c r="L823" s="153">
        <f t="shared" si="70"/>
        <v>0</v>
      </c>
      <c r="M823" s="154">
        <f t="shared" si="71"/>
        <v>0</v>
      </c>
      <c r="N823" s="155">
        <f>+IF(OR($Q823=Parametres!$G$2,$Q823=Parametres!$G$3),I823,C823)</f>
        <v>0</v>
      </c>
      <c r="O823" s="1108">
        <f>+IF(OR($Q823=Parametres!$G$2,$Q823=Parametres!$G$3),J823,D823)</f>
        <v>0</v>
      </c>
      <c r="P823" s="155">
        <f>+IF(OR($Q823=Parametres!$G$2,$Q823=Parametres!$G$3),K823,E823)</f>
        <v>0</v>
      </c>
      <c r="Q823" s="154">
        <f t="shared" si="72"/>
        <v>0</v>
      </c>
      <c r="R823" s="153">
        <f t="shared" si="73"/>
        <v>0</v>
      </c>
      <c r="S823" s="154">
        <f t="shared" si="7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hidden="1" customHeight="1">
      <c r="A824" s="1170"/>
      <c r="B824" s="1184"/>
      <c r="C824" s="1185"/>
      <c r="D824" s="1170"/>
      <c r="E824" s="1170"/>
      <c r="F824" s="1170"/>
      <c r="G824" s="1170"/>
      <c r="H824" s="1170"/>
      <c r="I824" s="1170"/>
      <c r="J824" s="1170"/>
      <c r="K824" s="1170"/>
      <c r="L824" s="153">
        <f t="shared" si="70"/>
        <v>0</v>
      </c>
      <c r="M824" s="154">
        <f t="shared" si="71"/>
        <v>0</v>
      </c>
      <c r="N824" s="155">
        <f>+IF(OR($Q824=Parametres!$G$2,$Q824=Parametres!$G$3),I824,C824)</f>
        <v>0</v>
      </c>
      <c r="O824" s="1108">
        <f>+IF(OR($Q824=Parametres!$G$2,$Q824=Parametres!$G$3),J824,D824)</f>
        <v>0</v>
      </c>
      <c r="P824" s="155">
        <f>+IF(OR($Q824=Parametres!$G$2,$Q824=Parametres!$G$3),K824,E824)</f>
        <v>0</v>
      </c>
      <c r="Q824" s="154">
        <f t="shared" si="72"/>
        <v>0</v>
      </c>
      <c r="R824" s="153">
        <f t="shared" si="73"/>
        <v>0</v>
      </c>
      <c r="S824" s="154">
        <f t="shared" si="7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hidden="1" customHeight="1">
      <c r="A825" s="1170"/>
      <c r="B825" s="1184"/>
      <c r="C825" s="1185"/>
      <c r="D825" s="1170"/>
      <c r="E825" s="1170"/>
      <c r="F825" s="1170"/>
      <c r="G825" s="1170"/>
      <c r="H825" s="1170"/>
      <c r="I825" s="1170"/>
      <c r="J825" s="1170"/>
      <c r="K825" s="1170"/>
      <c r="L825" s="153">
        <f t="shared" si="70"/>
        <v>0</v>
      </c>
      <c r="M825" s="154">
        <f t="shared" si="71"/>
        <v>0</v>
      </c>
      <c r="N825" s="155">
        <f>+IF(OR($Q825=Parametres!$G$2,$Q825=Parametres!$G$3),I825,C825)</f>
        <v>0</v>
      </c>
      <c r="O825" s="1108">
        <f>+IF(OR($Q825=Parametres!$G$2,$Q825=Parametres!$G$3),J825,D825)</f>
        <v>0</v>
      </c>
      <c r="P825" s="155">
        <f>+IF(OR($Q825=Parametres!$G$2,$Q825=Parametres!$G$3),K825,E825)</f>
        <v>0</v>
      </c>
      <c r="Q825" s="154">
        <f t="shared" si="72"/>
        <v>0</v>
      </c>
      <c r="R825" s="153">
        <f t="shared" si="73"/>
        <v>0</v>
      </c>
      <c r="S825" s="154">
        <f t="shared" si="7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hidden="1" customHeight="1">
      <c r="A826" s="1170"/>
      <c r="B826" s="1184"/>
      <c r="C826" s="1185"/>
      <c r="D826" s="1170"/>
      <c r="E826" s="1170"/>
      <c r="F826" s="1170"/>
      <c r="G826" s="1170"/>
      <c r="H826" s="1170"/>
      <c r="I826" s="1170"/>
      <c r="J826" s="1170"/>
      <c r="K826" s="1170"/>
      <c r="L826" s="153">
        <f t="shared" si="70"/>
        <v>0</v>
      </c>
      <c r="M826" s="154">
        <f t="shared" si="71"/>
        <v>0</v>
      </c>
      <c r="N826" s="155">
        <f>+IF(OR($Q826=Parametres!$G$2,$Q826=Parametres!$G$3),I826,C826)</f>
        <v>0</v>
      </c>
      <c r="O826" s="1108">
        <f>+IF(OR($Q826=Parametres!$G$2,$Q826=Parametres!$G$3),J826,D826)</f>
        <v>0</v>
      </c>
      <c r="P826" s="155">
        <f>+IF(OR($Q826=Parametres!$G$2,$Q826=Parametres!$G$3),K826,E826)</f>
        <v>0</v>
      </c>
      <c r="Q826" s="154">
        <f t="shared" si="72"/>
        <v>0</v>
      </c>
      <c r="R826" s="153">
        <f t="shared" si="73"/>
        <v>0</v>
      </c>
      <c r="S826" s="154">
        <f t="shared" si="7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hidden="1" customHeight="1">
      <c r="A827" s="1170"/>
      <c r="B827" s="1184"/>
      <c r="C827" s="1185"/>
      <c r="D827" s="1170"/>
      <c r="E827" s="1170"/>
      <c r="F827" s="1170"/>
      <c r="G827" s="1170"/>
      <c r="H827" s="1170"/>
      <c r="I827" s="1170"/>
      <c r="J827" s="1170"/>
      <c r="K827" s="1170"/>
      <c r="L827" s="153">
        <f t="shared" si="70"/>
        <v>0</v>
      </c>
      <c r="M827" s="154">
        <f t="shared" si="71"/>
        <v>0</v>
      </c>
      <c r="N827" s="155">
        <f>+IF(OR($Q827=Parametres!$G$2,$Q827=Parametres!$G$3),I827,C827)</f>
        <v>0</v>
      </c>
      <c r="O827" s="1108">
        <f>+IF(OR($Q827=Parametres!$G$2,$Q827=Parametres!$G$3),J827,D827)</f>
        <v>0</v>
      </c>
      <c r="P827" s="155">
        <f>+IF(OR($Q827=Parametres!$G$2,$Q827=Parametres!$G$3),K827,E827)</f>
        <v>0</v>
      </c>
      <c r="Q827" s="154">
        <f t="shared" si="72"/>
        <v>0</v>
      </c>
      <c r="R827" s="153">
        <f t="shared" si="73"/>
        <v>0</v>
      </c>
      <c r="S827" s="154">
        <f t="shared" si="7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hidden="1" customHeight="1">
      <c r="A828" s="1170"/>
      <c r="B828" s="1184"/>
      <c r="C828" s="1185"/>
      <c r="D828" s="1170"/>
      <c r="E828" s="1170"/>
      <c r="F828" s="1170"/>
      <c r="G828" s="1170"/>
      <c r="H828" s="1170"/>
      <c r="I828" s="1170"/>
      <c r="J828" s="1170"/>
      <c r="K828" s="1170"/>
      <c r="L828" s="153">
        <f t="shared" si="70"/>
        <v>0</v>
      </c>
      <c r="M828" s="154">
        <f t="shared" si="71"/>
        <v>0</v>
      </c>
      <c r="N828" s="155">
        <f>+IF(OR($Q828=Parametres!$G$2,$Q828=Parametres!$G$3),I828,C828)</f>
        <v>0</v>
      </c>
      <c r="O828" s="1108">
        <f>+IF(OR($Q828=Parametres!$G$2,$Q828=Parametres!$G$3),J828,D828)</f>
        <v>0</v>
      </c>
      <c r="P828" s="155">
        <f>+IF(OR($Q828=Parametres!$G$2,$Q828=Parametres!$G$3),K828,E828)</f>
        <v>0</v>
      </c>
      <c r="Q828" s="154">
        <f t="shared" si="72"/>
        <v>0</v>
      </c>
      <c r="R828" s="153">
        <f t="shared" si="73"/>
        <v>0</v>
      </c>
      <c r="S828" s="154">
        <f t="shared" si="7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hidden="1" customHeight="1">
      <c r="A829" s="1170"/>
      <c r="B829" s="1184"/>
      <c r="C829" s="1185"/>
      <c r="D829" s="1170"/>
      <c r="E829" s="1170"/>
      <c r="F829" s="1170"/>
      <c r="G829" s="1170"/>
      <c r="H829" s="1170"/>
      <c r="I829" s="1170"/>
      <c r="J829" s="1170"/>
      <c r="K829" s="1170"/>
      <c r="L829" s="153">
        <f t="shared" si="70"/>
        <v>0</v>
      </c>
      <c r="M829" s="154">
        <f t="shared" si="71"/>
        <v>0</v>
      </c>
      <c r="N829" s="155">
        <f>+IF(OR($Q829=Parametres!$G$2,$Q829=Parametres!$G$3),I829,C829)</f>
        <v>0</v>
      </c>
      <c r="O829" s="1108">
        <f>+IF(OR($Q829=Parametres!$G$2,$Q829=Parametres!$G$3),J829,D829)</f>
        <v>0</v>
      </c>
      <c r="P829" s="155">
        <f>+IF(OR($Q829=Parametres!$G$2,$Q829=Parametres!$G$3),K829,E829)</f>
        <v>0</v>
      </c>
      <c r="Q829" s="154">
        <f t="shared" si="72"/>
        <v>0</v>
      </c>
      <c r="R829" s="153">
        <f t="shared" si="73"/>
        <v>0</v>
      </c>
      <c r="S829" s="154">
        <f t="shared" si="7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hidden="1" customHeight="1">
      <c r="A830" s="1170"/>
      <c r="B830" s="1184"/>
      <c r="C830" s="1185"/>
      <c r="D830" s="1170"/>
      <c r="E830" s="1170"/>
      <c r="F830" s="1170"/>
      <c r="G830" s="1170"/>
      <c r="H830" s="1170"/>
      <c r="I830" s="1170"/>
      <c r="J830" s="1170"/>
      <c r="K830" s="1170"/>
      <c r="L830" s="153">
        <f t="shared" si="70"/>
        <v>0</v>
      </c>
      <c r="M830" s="154">
        <f t="shared" si="71"/>
        <v>0</v>
      </c>
      <c r="N830" s="155">
        <f>+IF(OR($Q830=Parametres!$G$2,$Q830=Parametres!$G$3),I830,C830)</f>
        <v>0</v>
      </c>
      <c r="O830" s="1108">
        <f>+IF(OR($Q830=Parametres!$G$2,$Q830=Parametres!$G$3),J830,D830)</f>
        <v>0</v>
      </c>
      <c r="P830" s="155">
        <f>+IF(OR($Q830=Parametres!$G$2,$Q830=Parametres!$G$3),K830,E830)</f>
        <v>0</v>
      </c>
      <c r="Q830" s="154">
        <f t="shared" si="72"/>
        <v>0</v>
      </c>
      <c r="R830" s="153">
        <f t="shared" si="73"/>
        <v>0</v>
      </c>
      <c r="S830" s="154">
        <f t="shared" si="7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hidden="1" customHeight="1">
      <c r="A831" s="1170"/>
      <c r="B831" s="1184"/>
      <c r="C831" s="1185"/>
      <c r="D831" s="1170"/>
      <c r="E831" s="1170"/>
      <c r="F831" s="1170"/>
      <c r="G831" s="1170"/>
      <c r="H831" s="1170"/>
      <c r="I831" s="1170"/>
      <c r="J831" s="1170"/>
      <c r="K831" s="1170"/>
      <c r="L831" s="153">
        <f t="shared" si="70"/>
        <v>0</v>
      </c>
      <c r="M831" s="154">
        <f t="shared" si="71"/>
        <v>0</v>
      </c>
      <c r="N831" s="155">
        <f>+IF(OR($Q831=Parametres!$G$2,$Q831=Parametres!$G$3),I831,C831)</f>
        <v>0</v>
      </c>
      <c r="O831" s="1108">
        <f>+IF(OR($Q831=Parametres!$G$2,$Q831=Parametres!$G$3),J831,D831)</f>
        <v>0</v>
      </c>
      <c r="P831" s="155">
        <f>+IF(OR($Q831=Parametres!$G$2,$Q831=Parametres!$G$3),K831,E831)</f>
        <v>0</v>
      </c>
      <c r="Q831" s="154">
        <f t="shared" si="72"/>
        <v>0</v>
      </c>
      <c r="R831" s="153">
        <f t="shared" si="73"/>
        <v>0</v>
      </c>
      <c r="S831" s="154">
        <f t="shared" si="7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hidden="1" customHeight="1">
      <c r="A832" s="1170"/>
      <c r="B832" s="1184"/>
      <c r="C832" s="1185"/>
      <c r="D832" s="1170"/>
      <c r="E832" s="1170"/>
      <c r="F832" s="1170"/>
      <c r="G832" s="1170"/>
      <c r="H832" s="1170"/>
      <c r="I832" s="1170"/>
      <c r="J832" s="1170"/>
      <c r="K832" s="1170"/>
      <c r="L832" s="153">
        <f t="shared" si="70"/>
        <v>0</v>
      </c>
      <c r="M832" s="154">
        <f t="shared" si="71"/>
        <v>0</v>
      </c>
      <c r="N832" s="155">
        <f>+IF(OR($Q832=Parametres!$G$2,$Q832=Parametres!$G$3),I832,C832)</f>
        <v>0</v>
      </c>
      <c r="O832" s="1108">
        <f>+IF(OR($Q832=Parametres!$G$2,$Q832=Parametres!$G$3),J832,D832)</f>
        <v>0</v>
      </c>
      <c r="P832" s="155">
        <f>+IF(OR($Q832=Parametres!$G$2,$Q832=Parametres!$G$3),K832,E832)</f>
        <v>0</v>
      </c>
      <c r="Q832" s="154">
        <f t="shared" si="72"/>
        <v>0</v>
      </c>
      <c r="R832" s="153">
        <f t="shared" si="73"/>
        <v>0</v>
      </c>
      <c r="S832" s="154">
        <f t="shared" si="7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hidden="1" customHeight="1">
      <c r="A833" s="1170"/>
      <c r="B833" s="1184"/>
      <c r="C833" s="1185"/>
      <c r="D833" s="1170"/>
      <c r="E833" s="1170"/>
      <c r="F833" s="1170"/>
      <c r="G833" s="1170"/>
      <c r="H833" s="1170"/>
      <c r="I833" s="1170"/>
      <c r="J833" s="1170"/>
      <c r="K833" s="1170"/>
      <c r="L833" s="153">
        <f t="shared" si="70"/>
        <v>0</v>
      </c>
      <c r="M833" s="154">
        <f t="shared" si="71"/>
        <v>0</v>
      </c>
      <c r="N833" s="155">
        <f>+IF(OR($Q833=Parametres!$G$2,$Q833=Parametres!$G$3),I833,C833)</f>
        <v>0</v>
      </c>
      <c r="O833" s="1108">
        <f>+IF(OR($Q833=Parametres!$G$2,$Q833=Parametres!$G$3),J833,D833)</f>
        <v>0</v>
      </c>
      <c r="P833" s="155">
        <f>+IF(OR($Q833=Parametres!$G$2,$Q833=Parametres!$G$3),K833,E833)</f>
        <v>0</v>
      </c>
      <c r="Q833" s="154">
        <f t="shared" si="72"/>
        <v>0</v>
      </c>
      <c r="R833" s="153">
        <f t="shared" si="73"/>
        <v>0</v>
      </c>
      <c r="S833" s="154">
        <f t="shared" si="7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hidden="1" customHeight="1">
      <c r="A834" s="1170"/>
      <c r="B834" s="1184"/>
      <c r="C834" s="1185"/>
      <c r="D834" s="1170"/>
      <c r="E834" s="1170"/>
      <c r="F834" s="1170"/>
      <c r="G834" s="1170"/>
      <c r="H834" s="1170"/>
      <c r="I834" s="1170"/>
      <c r="J834" s="1170"/>
      <c r="K834" s="1170"/>
      <c r="L834" s="153">
        <f t="shared" ref="L834:L897" si="75">+B834</f>
        <v>0</v>
      </c>
      <c r="M834" s="154">
        <f t="shared" ref="M834:M897" si="76">+A834</f>
        <v>0</v>
      </c>
      <c r="N834" s="155">
        <f>+IF(OR($Q834=Parametres!$G$2,$Q834=Parametres!$G$3),I834,C834)</f>
        <v>0</v>
      </c>
      <c r="O834" s="1108">
        <f>+IF(OR($Q834=Parametres!$G$2,$Q834=Parametres!$G$3),J834,D834)</f>
        <v>0</v>
      </c>
      <c r="P834" s="155">
        <f>+IF(OR($Q834=Parametres!$G$2,$Q834=Parametres!$G$3),K834,E834)</f>
        <v>0</v>
      </c>
      <c r="Q834" s="154">
        <f t="shared" ref="Q834:Q897" si="77">+F834</f>
        <v>0</v>
      </c>
      <c r="R834" s="153">
        <f t="shared" ref="R834:R897" si="78">+G834</f>
        <v>0</v>
      </c>
      <c r="S834" s="154">
        <f t="shared" ref="S834:S897" si="7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hidden="1" customHeight="1">
      <c r="A835" s="1170"/>
      <c r="B835" s="1184"/>
      <c r="C835" s="1185"/>
      <c r="D835" s="1170"/>
      <c r="E835" s="1170"/>
      <c r="F835" s="1170"/>
      <c r="G835" s="1170"/>
      <c r="H835" s="1170"/>
      <c r="I835" s="1170"/>
      <c r="J835" s="1170"/>
      <c r="K835" s="1170"/>
      <c r="L835" s="153">
        <f t="shared" si="75"/>
        <v>0</v>
      </c>
      <c r="M835" s="154">
        <f t="shared" si="76"/>
        <v>0</v>
      </c>
      <c r="N835" s="155">
        <f>+IF(OR($Q835=Parametres!$G$2,$Q835=Parametres!$G$3),I835,C835)</f>
        <v>0</v>
      </c>
      <c r="O835" s="1108">
        <f>+IF(OR($Q835=Parametres!$G$2,$Q835=Parametres!$G$3),J835,D835)</f>
        <v>0</v>
      </c>
      <c r="P835" s="155">
        <f>+IF(OR($Q835=Parametres!$G$2,$Q835=Parametres!$G$3),K835,E835)</f>
        <v>0</v>
      </c>
      <c r="Q835" s="154">
        <f t="shared" si="77"/>
        <v>0</v>
      </c>
      <c r="R835" s="153">
        <f t="shared" si="78"/>
        <v>0</v>
      </c>
      <c r="S835" s="154">
        <f t="shared" si="7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hidden="1" customHeight="1">
      <c r="A836" s="1170"/>
      <c r="B836" s="1184"/>
      <c r="C836" s="1185"/>
      <c r="D836" s="1170"/>
      <c r="E836" s="1170"/>
      <c r="F836" s="1170"/>
      <c r="G836" s="1170"/>
      <c r="H836" s="1170"/>
      <c r="I836" s="1170"/>
      <c r="J836" s="1170"/>
      <c r="K836" s="1170"/>
      <c r="L836" s="153">
        <f t="shared" si="75"/>
        <v>0</v>
      </c>
      <c r="M836" s="154">
        <f t="shared" si="76"/>
        <v>0</v>
      </c>
      <c r="N836" s="155">
        <f>+IF(OR($Q836=Parametres!$G$2,$Q836=Parametres!$G$3),I836,C836)</f>
        <v>0</v>
      </c>
      <c r="O836" s="1108">
        <f>+IF(OR($Q836=Parametres!$G$2,$Q836=Parametres!$G$3),J836,D836)</f>
        <v>0</v>
      </c>
      <c r="P836" s="155">
        <f>+IF(OR($Q836=Parametres!$G$2,$Q836=Parametres!$G$3),K836,E836)</f>
        <v>0</v>
      </c>
      <c r="Q836" s="154">
        <f t="shared" si="77"/>
        <v>0</v>
      </c>
      <c r="R836" s="153">
        <f t="shared" si="78"/>
        <v>0</v>
      </c>
      <c r="S836" s="154">
        <f t="shared" si="7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hidden="1" customHeight="1">
      <c r="A837" s="1170"/>
      <c r="B837" s="1184"/>
      <c r="C837" s="1185"/>
      <c r="D837" s="1170"/>
      <c r="E837" s="1170"/>
      <c r="F837" s="1170"/>
      <c r="G837" s="1170"/>
      <c r="H837" s="1170"/>
      <c r="I837" s="1170"/>
      <c r="J837" s="1170"/>
      <c r="K837" s="1170"/>
      <c r="L837" s="153">
        <f t="shared" si="75"/>
        <v>0</v>
      </c>
      <c r="M837" s="154">
        <f t="shared" si="76"/>
        <v>0</v>
      </c>
      <c r="N837" s="155">
        <f>+IF(OR($Q837=Parametres!$G$2,$Q837=Parametres!$G$3),I837,C837)</f>
        <v>0</v>
      </c>
      <c r="O837" s="1108">
        <f>+IF(OR($Q837=Parametres!$G$2,$Q837=Parametres!$G$3),J837,D837)</f>
        <v>0</v>
      </c>
      <c r="P837" s="155">
        <f>+IF(OR($Q837=Parametres!$G$2,$Q837=Parametres!$G$3),K837,E837)</f>
        <v>0</v>
      </c>
      <c r="Q837" s="154">
        <f t="shared" si="77"/>
        <v>0</v>
      </c>
      <c r="R837" s="153">
        <f t="shared" si="78"/>
        <v>0</v>
      </c>
      <c r="S837" s="154">
        <f t="shared" si="7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hidden="1" customHeight="1">
      <c r="A838" s="1170"/>
      <c r="B838" s="1184"/>
      <c r="C838" s="1185"/>
      <c r="D838" s="1170"/>
      <c r="E838" s="1170"/>
      <c r="F838" s="1170"/>
      <c r="G838" s="1170"/>
      <c r="H838" s="1170"/>
      <c r="I838" s="1170"/>
      <c r="J838" s="1170"/>
      <c r="K838" s="1170"/>
      <c r="L838" s="153">
        <f t="shared" si="75"/>
        <v>0</v>
      </c>
      <c r="M838" s="154">
        <f t="shared" si="76"/>
        <v>0</v>
      </c>
      <c r="N838" s="155">
        <f>+IF(OR($Q838=Parametres!$G$2,$Q838=Parametres!$G$3),I838,C838)</f>
        <v>0</v>
      </c>
      <c r="O838" s="1108">
        <f>+IF(OR($Q838=Parametres!$G$2,$Q838=Parametres!$G$3),J838,D838)</f>
        <v>0</v>
      </c>
      <c r="P838" s="155">
        <f>+IF(OR($Q838=Parametres!$G$2,$Q838=Parametres!$G$3),K838,E838)</f>
        <v>0</v>
      </c>
      <c r="Q838" s="154">
        <f t="shared" si="77"/>
        <v>0</v>
      </c>
      <c r="R838" s="153">
        <f t="shared" si="78"/>
        <v>0</v>
      </c>
      <c r="S838" s="154">
        <f t="shared" si="7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hidden="1" customHeight="1">
      <c r="A839" s="1170"/>
      <c r="B839" s="1184"/>
      <c r="C839" s="1185"/>
      <c r="D839" s="1170"/>
      <c r="E839" s="1170"/>
      <c r="F839" s="1170"/>
      <c r="G839" s="1170"/>
      <c r="H839" s="1170"/>
      <c r="I839" s="1170"/>
      <c r="J839" s="1170"/>
      <c r="K839" s="1170"/>
      <c r="L839" s="153">
        <f t="shared" si="75"/>
        <v>0</v>
      </c>
      <c r="M839" s="154">
        <f t="shared" si="76"/>
        <v>0</v>
      </c>
      <c r="N839" s="155">
        <f>+IF(OR($Q839=Parametres!$G$2,$Q839=Parametres!$G$3),I839,C839)</f>
        <v>0</v>
      </c>
      <c r="O839" s="1108">
        <f>+IF(OR($Q839=Parametres!$G$2,$Q839=Parametres!$G$3),J839,D839)</f>
        <v>0</v>
      </c>
      <c r="P839" s="155">
        <f>+IF(OR($Q839=Parametres!$G$2,$Q839=Parametres!$G$3),K839,E839)</f>
        <v>0</v>
      </c>
      <c r="Q839" s="154">
        <f t="shared" si="77"/>
        <v>0</v>
      </c>
      <c r="R839" s="153">
        <f t="shared" si="78"/>
        <v>0</v>
      </c>
      <c r="S839" s="154">
        <f t="shared" si="7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hidden="1" customHeight="1">
      <c r="A840" s="1170"/>
      <c r="B840" s="1184"/>
      <c r="C840" s="1185"/>
      <c r="D840" s="1170"/>
      <c r="E840" s="1170"/>
      <c r="F840" s="1170"/>
      <c r="G840" s="1170"/>
      <c r="H840" s="1170"/>
      <c r="I840" s="1170"/>
      <c r="J840" s="1170"/>
      <c r="K840" s="1170"/>
      <c r="L840" s="153">
        <f t="shared" si="75"/>
        <v>0</v>
      </c>
      <c r="M840" s="154">
        <f t="shared" si="76"/>
        <v>0</v>
      </c>
      <c r="N840" s="155">
        <f>+IF(OR($Q840=Parametres!$G$2,$Q840=Parametres!$G$3),I840,C840)</f>
        <v>0</v>
      </c>
      <c r="O840" s="1108">
        <f>+IF(OR($Q840=Parametres!$G$2,$Q840=Parametres!$G$3),J840,D840)</f>
        <v>0</v>
      </c>
      <c r="P840" s="155">
        <f>+IF(OR($Q840=Parametres!$G$2,$Q840=Parametres!$G$3),K840,E840)</f>
        <v>0</v>
      </c>
      <c r="Q840" s="154">
        <f t="shared" si="77"/>
        <v>0</v>
      </c>
      <c r="R840" s="153">
        <f t="shared" si="78"/>
        <v>0</v>
      </c>
      <c r="S840" s="154">
        <f t="shared" si="7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hidden="1" customHeight="1">
      <c r="A841" s="1170"/>
      <c r="B841" s="1184"/>
      <c r="C841" s="1185"/>
      <c r="D841" s="1170"/>
      <c r="E841" s="1170"/>
      <c r="F841" s="1170"/>
      <c r="G841" s="1170"/>
      <c r="H841" s="1170"/>
      <c r="I841" s="1170"/>
      <c r="J841" s="1170"/>
      <c r="K841" s="1170"/>
      <c r="L841" s="153">
        <f t="shared" si="75"/>
        <v>0</v>
      </c>
      <c r="M841" s="154">
        <f t="shared" si="76"/>
        <v>0</v>
      </c>
      <c r="N841" s="155">
        <f>+IF(OR($Q841=Parametres!$G$2,$Q841=Parametres!$G$3),I841,C841)</f>
        <v>0</v>
      </c>
      <c r="O841" s="1108">
        <f>+IF(OR($Q841=Parametres!$G$2,$Q841=Parametres!$G$3),J841,D841)</f>
        <v>0</v>
      </c>
      <c r="P841" s="155">
        <f>+IF(OR($Q841=Parametres!$G$2,$Q841=Parametres!$G$3),K841,E841)</f>
        <v>0</v>
      </c>
      <c r="Q841" s="154">
        <f t="shared" si="77"/>
        <v>0</v>
      </c>
      <c r="R841" s="153">
        <f t="shared" si="78"/>
        <v>0</v>
      </c>
      <c r="S841" s="154">
        <f t="shared" si="7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hidden="1" customHeight="1">
      <c r="A842" s="1170"/>
      <c r="B842" s="1184"/>
      <c r="C842" s="1185"/>
      <c r="D842" s="1170"/>
      <c r="E842" s="1170"/>
      <c r="F842" s="1170"/>
      <c r="G842" s="1170"/>
      <c r="H842" s="1170"/>
      <c r="I842" s="1170"/>
      <c r="J842" s="1170"/>
      <c r="K842" s="1170"/>
      <c r="L842" s="153">
        <f t="shared" si="75"/>
        <v>0</v>
      </c>
      <c r="M842" s="154">
        <f t="shared" si="76"/>
        <v>0</v>
      </c>
      <c r="N842" s="155">
        <f>+IF(OR($Q842=Parametres!$G$2,$Q842=Parametres!$G$3),I842,C842)</f>
        <v>0</v>
      </c>
      <c r="O842" s="1108">
        <f>+IF(OR($Q842=Parametres!$G$2,$Q842=Parametres!$G$3),J842,D842)</f>
        <v>0</v>
      </c>
      <c r="P842" s="155">
        <f>+IF(OR($Q842=Parametres!$G$2,$Q842=Parametres!$G$3),K842,E842)</f>
        <v>0</v>
      </c>
      <c r="Q842" s="154">
        <f t="shared" si="77"/>
        <v>0</v>
      </c>
      <c r="R842" s="153">
        <f t="shared" si="78"/>
        <v>0</v>
      </c>
      <c r="S842" s="154">
        <f t="shared" si="7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hidden="1" customHeight="1">
      <c r="A843" s="1170"/>
      <c r="B843" s="1184"/>
      <c r="C843" s="1185"/>
      <c r="D843" s="1170"/>
      <c r="E843" s="1170"/>
      <c r="F843" s="1170"/>
      <c r="G843" s="1170"/>
      <c r="H843" s="1170"/>
      <c r="I843" s="1170"/>
      <c r="J843" s="1170"/>
      <c r="K843" s="1170"/>
      <c r="L843" s="153">
        <f t="shared" si="75"/>
        <v>0</v>
      </c>
      <c r="M843" s="154">
        <f t="shared" si="76"/>
        <v>0</v>
      </c>
      <c r="N843" s="155">
        <f>+IF(OR($Q843=Parametres!$G$2,$Q843=Parametres!$G$3),I843,C843)</f>
        <v>0</v>
      </c>
      <c r="O843" s="1108">
        <f>+IF(OR($Q843=Parametres!$G$2,$Q843=Parametres!$G$3),J843,D843)</f>
        <v>0</v>
      </c>
      <c r="P843" s="155">
        <f>+IF(OR($Q843=Parametres!$G$2,$Q843=Parametres!$G$3),K843,E843)</f>
        <v>0</v>
      </c>
      <c r="Q843" s="154">
        <f t="shared" si="77"/>
        <v>0</v>
      </c>
      <c r="R843" s="153">
        <f t="shared" si="78"/>
        <v>0</v>
      </c>
      <c r="S843" s="154">
        <f t="shared" si="7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hidden="1" customHeight="1">
      <c r="A844" s="1170"/>
      <c r="B844" s="1184"/>
      <c r="C844" s="1185"/>
      <c r="D844" s="1170"/>
      <c r="E844" s="1170"/>
      <c r="F844" s="1170"/>
      <c r="G844" s="1170"/>
      <c r="H844" s="1170"/>
      <c r="I844" s="1170"/>
      <c r="J844" s="1170"/>
      <c r="K844" s="1170"/>
      <c r="L844" s="153">
        <f t="shared" si="75"/>
        <v>0</v>
      </c>
      <c r="M844" s="154">
        <f t="shared" si="76"/>
        <v>0</v>
      </c>
      <c r="N844" s="155">
        <f>+IF(OR($Q844=Parametres!$G$2,$Q844=Parametres!$G$3),I844,C844)</f>
        <v>0</v>
      </c>
      <c r="O844" s="1108">
        <f>+IF(OR($Q844=Parametres!$G$2,$Q844=Parametres!$G$3),J844,D844)</f>
        <v>0</v>
      </c>
      <c r="P844" s="155">
        <f>+IF(OR($Q844=Parametres!$G$2,$Q844=Parametres!$G$3),K844,E844)</f>
        <v>0</v>
      </c>
      <c r="Q844" s="154">
        <f t="shared" si="77"/>
        <v>0</v>
      </c>
      <c r="R844" s="153">
        <f t="shared" si="78"/>
        <v>0</v>
      </c>
      <c r="S844" s="154">
        <f t="shared" si="7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hidden="1" customHeight="1">
      <c r="A845" s="1170"/>
      <c r="B845" s="1184"/>
      <c r="C845" s="1185"/>
      <c r="D845" s="1170"/>
      <c r="E845" s="1170"/>
      <c r="F845" s="1170"/>
      <c r="G845" s="1170"/>
      <c r="H845" s="1170"/>
      <c r="I845" s="1170"/>
      <c r="J845" s="1170"/>
      <c r="K845" s="1170"/>
      <c r="L845" s="153">
        <f t="shared" si="75"/>
        <v>0</v>
      </c>
      <c r="M845" s="154">
        <f t="shared" si="76"/>
        <v>0</v>
      </c>
      <c r="N845" s="155">
        <f>+IF(OR($Q845=Parametres!$G$2,$Q845=Parametres!$G$3),I845,C845)</f>
        <v>0</v>
      </c>
      <c r="O845" s="1108">
        <f>+IF(OR($Q845=Parametres!$G$2,$Q845=Parametres!$G$3),J845,D845)</f>
        <v>0</v>
      </c>
      <c r="P845" s="155">
        <f>+IF(OR($Q845=Parametres!$G$2,$Q845=Parametres!$G$3),K845,E845)</f>
        <v>0</v>
      </c>
      <c r="Q845" s="154">
        <f t="shared" si="77"/>
        <v>0</v>
      </c>
      <c r="R845" s="153">
        <f t="shared" si="78"/>
        <v>0</v>
      </c>
      <c r="S845" s="154">
        <f t="shared" si="7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hidden="1" customHeight="1">
      <c r="A846" s="1170"/>
      <c r="B846" s="1184"/>
      <c r="C846" s="1185"/>
      <c r="D846" s="1170"/>
      <c r="E846" s="1170"/>
      <c r="F846" s="1170"/>
      <c r="G846" s="1170"/>
      <c r="H846" s="1170"/>
      <c r="I846" s="1170"/>
      <c r="J846" s="1170"/>
      <c r="K846" s="1170"/>
      <c r="L846" s="153">
        <f t="shared" si="75"/>
        <v>0</v>
      </c>
      <c r="M846" s="154">
        <f t="shared" si="76"/>
        <v>0</v>
      </c>
      <c r="N846" s="155">
        <f>+IF(OR($Q846=Parametres!$G$2,$Q846=Parametres!$G$3),I846,C846)</f>
        <v>0</v>
      </c>
      <c r="O846" s="1108">
        <f>+IF(OR($Q846=Parametres!$G$2,$Q846=Parametres!$G$3),J846,D846)</f>
        <v>0</v>
      </c>
      <c r="P846" s="155">
        <f>+IF(OR($Q846=Parametres!$G$2,$Q846=Parametres!$G$3),K846,E846)</f>
        <v>0</v>
      </c>
      <c r="Q846" s="154">
        <f t="shared" si="77"/>
        <v>0</v>
      </c>
      <c r="R846" s="153">
        <f t="shared" si="78"/>
        <v>0</v>
      </c>
      <c r="S846" s="154">
        <f t="shared" si="7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hidden="1" customHeight="1">
      <c r="A847" s="1170"/>
      <c r="B847" s="1184"/>
      <c r="C847" s="1185"/>
      <c r="D847" s="1170"/>
      <c r="E847" s="1170"/>
      <c r="F847" s="1170"/>
      <c r="G847" s="1170"/>
      <c r="H847" s="1170"/>
      <c r="I847" s="1170"/>
      <c r="J847" s="1170"/>
      <c r="K847" s="1170"/>
      <c r="L847" s="153">
        <f t="shared" si="75"/>
        <v>0</v>
      </c>
      <c r="M847" s="154">
        <f t="shared" si="76"/>
        <v>0</v>
      </c>
      <c r="N847" s="155">
        <f>+IF(OR($Q847=Parametres!$G$2,$Q847=Parametres!$G$3),I847,C847)</f>
        <v>0</v>
      </c>
      <c r="O847" s="1108">
        <f>+IF(OR($Q847=Parametres!$G$2,$Q847=Parametres!$G$3),J847,D847)</f>
        <v>0</v>
      </c>
      <c r="P847" s="155">
        <f>+IF(OR($Q847=Parametres!$G$2,$Q847=Parametres!$G$3),K847,E847)</f>
        <v>0</v>
      </c>
      <c r="Q847" s="154">
        <f t="shared" si="77"/>
        <v>0</v>
      </c>
      <c r="R847" s="153">
        <f t="shared" si="78"/>
        <v>0</v>
      </c>
      <c r="S847" s="154">
        <f t="shared" si="7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hidden="1" customHeight="1">
      <c r="A848" s="1170"/>
      <c r="B848" s="1184"/>
      <c r="C848" s="1185"/>
      <c r="D848" s="1170"/>
      <c r="E848" s="1170"/>
      <c r="F848" s="1170"/>
      <c r="G848" s="1170"/>
      <c r="H848" s="1170"/>
      <c r="I848" s="1170"/>
      <c r="J848" s="1170"/>
      <c r="K848" s="1170"/>
      <c r="L848" s="153">
        <f t="shared" si="75"/>
        <v>0</v>
      </c>
      <c r="M848" s="154">
        <f t="shared" si="76"/>
        <v>0</v>
      </c>
      <c r="N848" s="155">
        <f>+IF(OR($Q848=Parametres!$G$2,$Q848=Parametres!$G$3),I848,C848)</f>
        <v>0</v>
      </c>
      <c r="O848" s="1108">
        <f>+IF(OR($Q848=Parametres!$G$2,$Q848=Parametres!$G$3),J848,D848)</f>
        <v>0</v>
      </c>
      <c r="P848" s="155">
        <f>+IF(OR($Q848=Parametres!$G$2,$Q848=Parametres!$G$3),K848,E848)</f>
        <v>0</v>
      </c>
      <c r="Q848" s="154">
        <f t="shared" si="77"/>
        <v>0</v>
      </c>
      <c r="R848" s="153">
        <f t="shared" si="78"/>
        <v>0</v>
      </c>
      <c r="S848" s="154">
        <f t="shared" si="7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hidden="1" customHeight="1">
      <c r="A849" s="1170"/>
      <c r="B849" s="1184"/>
      <c r="C849" s="1185"/>
      <c r="D849" s="1170"/>
      <c r="E849" s="1170"/>
      <c r="F849" s="1170"/>
      <c r="G849" s="1170"/>
      <c r="H849" s="1170"/>
      <c r="I849" s="1170"/>
      <c r="J849" s="1170"/>
      <c r="K849" s="1170"/>
      <c r="L849" s="153">
        <f t="shared" si="75"/>
        <v>0</v>
      </c>
      <c r="M849" s="154">
        <f t="shared" si="76"/>
        <v>0</v>
      </c>
      <c r="N849" s="155">
        <f>+IF(OR($Q849=Parametres!$G$2,$Q849=Parametres!$G$3),I849,C849)</f>
        <v>0</v>
      </c>
      <c r="O849" s="1108">
        <f>+IF(OR($Q849=Parametres!$G$2,$Q849=Parametres!$G$3),J849,D849)</f>
        <v>0</v>
      </c>
      <c r="P849" s="155">
        <f>+IF(OR($Q849=Parametres!$G$2,$Q849=Parametres!$G$3),K849,E849)</f>
        <v>0</v>
      </c>
      <c r="Q849" s="154">
        <f t="shared" si="77"/>
        <v>0</v>
      </c>
      <c r="R849" s="153">
        <f t="shared" si="78"/>
        <v>0</v>
      </c>
      <c r="S849" s="154">
        <f t="shared" si="7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hidden="1" customHeight="1">
      <c r="A850" s="1170"/>
      <c r="B850" s="1184"/>
      <c r="C850" s="1185"/>
      <c r="D850" s="1170"/>
      <c r="E850" s="1170"/>
      <c r="F850" s="1170"/>
      <c r="G850" s="1170"/>
      <c r="H850" s="1170"/>
      <c r="I850" s="1170"/>
      <c r="J850" s="1170"/>
      <c r="K850" s="1170"/>
      <c r="L850" s="153">
        <f t="shared" si="75"/>
        <v>0</v>
      </c>
      <c r="M850" s="154">
        <f t="shared" si="76"/>
        <v>0</v>
      </c>
      <c r="N850" s="155">
        <f>+IF(OR($Q850=Parametres!$G$2,$Q850=Parametres!$G$3),I850,C850)</f>
        <v>0</v>
      </c>
      <c r="O850" s="1108">
        <f>+IF(OR($Q850=Parametres!$G$2,$Q850=Parametres!$G$3),J850,D850)</f>
        <v>0</v>
      </c>
      <c r="P850" s="155">
        <f>+IF(OR($Q850=Parametres!$G$2,$Q850=Parametres!$G$3),K850,E850)</f>
        <v>0</v>
      </c>
      <c r="Q850" s="154">
        <f t="shared" si="77"/>
        <v>0</v>
      </c>
      <c r="R850" s="153">
        <f t="shared" si="78"/>
        <v>0</v>
      </c>
      <c r="S850" s="154">
        <f t="shared" si="7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hidden="1" customHeight="1">
      <c r="A851" s="1170"/>
      <c r="B851" s="1184"/>
      <c r="C851" s="1185"/>
      <c r="D851" s="1170"/>
      <c r="E851" s="1170"/>
      <c r="F851" s="1170"/>
      <c r="G851" s="1170"/>
      <c r="H851" s="1170"/>
      <c r="I851" s="1170"/>
      <c r="J851" s="1170"/>
      <c r="K851" s="1170"/>
      <c r="L851" s="153">
        <f t="shared" si="75"/>
        <v>0</v>
      </c>
      <c r="M851" s="154">
        <f t="shared" si="76"/>
        <v>0</v>
      </c>
      <c r="N851" s="155">
        <f>+IF(OR($Q851=Parametres!$G$2,$Q851=Parametres!$G$3),I851,C851)</f>
        <v>0</v>
      </c>
      <c r="O851" s="1108">
        <f>+IF(OR($Q851=Parametres!$G$2,$Q851=Parametres!$G$3),J851,D851)</f>
        <v>0</v>
      </c>
      <c r="P851" s="155">
        <f>+IF(OR($Q851=Parametres!$G$2,$Q851=Parametres!$G$3),K851,E851)</f>
        <v>0</v>
      </c>
      <c r="Q851" s="154">
        <f t="shared" si="77"/>
        <v>0</v>
      </c>
      <c r="R851" s="153">
        <f t="shared" si="78"/>
        <v>0</v>
      </c>
      <c r="S851" s="154">
        <f t="shared" si="7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hidden="1" customHeight="1">
      <c r="A852" s="1170"/>
      <c r="B852" s="1184"/>
      <c r="C852" s="1185"/>
      <c r="D852" s="1170"/>
      <c r="E852" s="1170"/>
      <c r="F852" s="1170"/>
      <c r="G852" s="1170"/>
      <c r="H852" s="1170"/>
      <c r="I852" s="1170"/>
      <c r="J852" s="1170"/>
      <c r="K852" s="1170"/>
      <c r="L852" s="153">
        <f t="shared" si="75"/>
        <v>0</v>
      </c>
      <c r="M852" s="154">
        <f t="shared" si="76"/>
        <v>0</v>
      </c>
      <c r="N852" s="155">
        <f>+IF(OR($Q852=Parametres!$G$2,$Q852=Parametres!$G$3),I852,C852)</f>
        <v>0</v>
      </c>
      <c r="O852" s="1108">
        <f>+IF(OR($Q852=Parametres!$G$2,$Q852=Parametres!$G$3),J852,D852)</f>
        <v>0</v>
      </c>
      <c r="P852" s="155">
        <f>+IF(OR($Q852=Parametres!$G$2,$Q852=Parametres!$G$3),K852,E852)</f>
        <v>0</v>
      </c>
      <c r="Q852" s="154">
        <f t="shared" si="77"/>
        <v>0</v>
      </c>
      <c r="R852" s="153">
        <f t="shared" si="78"/>
        <v>0</v>
      </c>
      <c r="S852" s="154">
        <f t="shared" si="7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hidden="1" customHeight="1">
      <c r="A853" s="1170"/>
      <c r="B853" s="1184"/>
      <c r="C853" s="1185"/>
      <c r="D853" s="1170"/>
      <c r="E853" s="1170"/>
      <c r="F853" s="1170"/>
      <c r="G853" s="1170"/>
      <c r="H853" s="1170"/>
      <c r="I853" s="1170"/>
      <c r="J853" s="1170"/>
      <c r="K853" s="1170"/>
      <c r="L853" s="153">
        <f t="shared" si="75"/>
        <v>0</v>
      </c>
      <c r="M853" s="154">
        <f t="shared" si="76"/>
        <v>0</v>
      </c>
      <c r="N853" s="155">
        <f>+IF(OR($Q853=Parametres!$G$2,$Q853=Parametres!$G$3),I853,C853)</f>
        <v>0</v>
      </c>
      <c r="O853" s="1108">
        <f>+IF(OR($Q853=Parametres!$G$2,$Q853=Parametres!$G$3),J853,D853)</f>
        <v>0</v>
      </c>
      <c r="P853" s="155">
        <f>+IF(OR($Q853=Parametres!$G$2,$Q853=Parametres!$G$3),K853,E853)</f>
        <v>0</v>
      </c>
      <c r="Q853" s="154">
        <f t="shared" si="77"/>
        <v>0</v>
      </c>
      <c r="R853" s="153">
        <f t="shared" si="78"/>
        <v>0</v>
      </c>
      <c r="S853" s="154">
        <f t="shared" si="7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hidden="1" customHeight="1">
      <c r="A854" s="1170"/>
      <c r="B854" s="1184"/>
      <c r="C854" s="1185"/>
      <c r="D854" s="1170"/>
      <c r="E854" s="1170"/>
      <c r="F854" s="1170"/>
      <c r="G854" s="1170"/>
      <c r="H854" s="1170"/>
      <c r="I854" s="1170"/>
      <c r="J854" s="1170"/>
      <c r="K854" s="1170"/>
      <c r="L854" s="153">
        <f t="shared" si="75"/>
        <v>0</v>
      </c>
      <c r="M854" s="154">
        <f t="shared" si="76"/>
        <v>0</v>
      </c>
      <c r="N854" s="155">
        <f>+IF(OR($Q854=Parametres!$G$2,$Q854=Parametres!$G$3),I854,C854)</f>
        <v>0</v>
      </c>
      <c r="O854" s="1108">
        <f>+IF(OR($Q854=Parametres!$G$2,$Q854=Parametres!$G$3),J854,D854)</f>
        <v>0</v>
      </c>
      <c r="P854" s="155">
        <f>+IF(OR($Q854=Parametres!$G$2,$Q854=Parametres!$G$3),K854,E854)</f>
        <v>0</v>
      </c>
      <c r="Q854" s="154">
        <f t="shared" si="77"/>
        <v>0</v>
      </c>
      <c r="R854" s="153">
        <f t="shared" si="78"/>
        <v>0</v>
      </c>
      <c r="S854" s="154">
        <f t="shared" si="7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hidden="1" customHeight="1">
      <c r="A855" s="1170"/>
      <c r="B855" s="1184"/>
      <c r="C855" s="1185"/>
      <c r="D855" s="1170"/>
      <c r="E855" s="1170"/>
      <c r="F855" s="1170"/>
      <c r="G855" s="1170"/>
      <c r="H855" s="1170"/>
      <c r="I855" s="1170"/>
      <c r="J855" s="1170"/>
      <c r="K855" s="1170"/>
      <c r="L855" s="153">
        <f t="shared" si="75"/>
        <v>0</v>
      </c>
      <c r="M855" s="154">
        <f t="shared" si="76"/>
        <v>0</v>
      </c>
      <c r="N855" s="155">
        <f>+IF(OR($Q855=Parametres!$G$2,$Q855=Parametres!$G$3),I855,C855)</f>
        <v>0</v>
      </c>
      <c r="O855" s="1108">
        <f>+IF(OR($Q855=Parametres!$G$2,$Q855=Parametres!$G$3),J855,D855)</f>
        <v>0</v>
      </c>
      <c r="P855" s="155">
        <f>+IF(OR($Q855=Parametres!$G$2,$Q855=Parametres!$G$3),K855,E855)</f>
        <v>0</v>
      </c>
      <c r="Q855" s="154">
        <f t="shared" si="77"/>
        <v>0</v>
      </c>
      <c r="R855" s="153">
        <f t="shared" si="78"/>
        <v>0</v>
      </c>
      <c r="S855" s="154">
        <f t="shared" si="7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hidden="1" customHeight="1">
      <c r="A856" s="1170"/>
      <c r="B856" s="1184"/>
      <c r="C856" s="1185"/>
      <c r="D856" s="1170"/>
      <c r="E856" s="1170"/>
      <c r="F856" s="1170"/>
      <c r="G856" s="1170"/>
      <c r="H856" s="1170"/>
      <c r="I856" s="1170"/>
      <c r="J856" s="1170"/>
      <c r="K856" s="1170"/>
      <c r="L856" s="153">
        <f t="shared" si="75"/>
        <v>0</v>
      </c>
      <c r="M856" s="154">
        <f t="shared" si="76"/>
        <v>0</v>
      </c>
      <c r="N856" s="155">
        <f>+IF(OR($Q856=Parametres!$G$2,$Q856=Parametres!$G$3),I856,C856)</f>
        <v>0</v>
      </c>
      <c r="O856" s="1108">
        <f>+IF(OR($Q856=Parametres!$G$2,$Q856=Parametres!$G$3),J856,D856)</f>
        <v>0</v>
      </c>
      <c r="P856" s="155">
        <f>+IF(OR($Q856=Parametres!$G$2,$Q856=Parametres!$G$3),K856,E856)</f>
        <v>0</v>
      </c>
      <c r="Q856" s="154">
        <f t="shared" si="77"/>
        <v>0</v>
      </c>
      <c r="R856" s="153">
        <f t="shared" si="78"/>
        <v>0</v>
      </c>
      <c r="S856" s="154">
        <f t="shared" si="7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hidden="1" customHeight="1">
      <c r="A857" s="1170"/>
      <c r="B857" s="1184"/>
      <c r="C857" s="1185"/>
      <c r="D857" s="1170"/>
      <c r="E857" s="1170"/>
      <c r="F857" s="1170"/>
      <c r="G857" s="1170"/>
      <c r="H857" s="1170"/>
      <c r="I857" s="1170"/>
      <c r="J857" s="1170"/>
      <c r="K857" s="1170"/>
      <c r="L857" s="153">
        <f t="shared" si="75"/>
        <v>0</v>
      </c>
      <c r="M857" s="154">
        <f t="shared" si="76"/>
        <v>0</v>
      </c>
      <c r="N857" s="155">
        <f>+IF(OR($Q857=Parametres!$G$2,$Q857=Parametres!$G$3),I857,C857)</f>
        <v>0</v>
      </c>
      <c r="O857" s="1108">
        <f>+IF(OR($Q857=Parametres!$G$2,$Q857=Parametres!$G$3),J857,D857)</f>
        <v>0</v>
      </c>
      <c r="P857" s="155">
        <f>+IF(OR($Q857=Parametres!$G$2,$Q857=Parametres!$G$3),K857,E857)</f>
        <v>0</v>
      </c>
      <c r="Q857" s="154">
        <f t="shared" si="77"/>
        <v>0</v>
      </c>
      <c r="R857" s="153">
        <f t="shared" si="78"/>
        <v>0</v>
      </c>
      <c r="S857" s="154">
        <f t="shared" si="7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hidden="1" customHeight="1">
      <c r="A858" s="1170"/>
      <c r="B858" s="1184"/>
      <c r="C858" s="1185"/>
      <c r="D858" s="1170"/>
      <c r="E858" s="1170"/>
      <c r="F858" s="1170"/>
      <c r="G858" s="1170"/>
      <c r="H858" s="1170"/>
      <c r="I858" s="1170"/>
      <c r="J858" s="1170"/>
      <c r="K858" s="1170"/>
      <c r="L858" s="153">
        <f t="shared" si="75"/>
        <v>0</v>
      </c>
      <c r="M858" s="154">
        <f t="shared" si="76"/>
        <v>0</v>
      </c>
      <c r="N858" s="155">
        <f>+IF(OR($Q858=Parametres!$G$2,$Q858=Parametres!$G$3),I858,C858)</f>
        <v>0</v>
      </c>
      <c r="O858" s="1108">
        <f>+IF(OR($Q858=Parametres!$G$2,$Q858=Parametres!$G$3),J858,D858)</f>
        <v>0</v>
      </c>
      <c r="P858" s="155">
        <f>+IF(OR($Q858=Parametres!$G$2,$Q858=Parametres!$G$3),K858,E858)</f>
        <v>0</v>
      </c>
      <c r="Q858" s="154">
        <f t="shared" si="77"/>
        <v>0</v>
      </c>
      <c r="R858" s="153">
        <f t="shared" si="78"/>
        <v>0</v>
      </c>
      <c r="S858" s="154">
        <f t="shared" si="7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hidden="1" customHeight="1">
      <c r="A859" s="1170"/>
      <c r="B859" s="1184"/>
      <c r="C859" s="1185"/>
      <c r="D859" s="1170"/>
      <c r="E859" s="1170"/>
      <c r="F859" s="1170"/>
      <c r="G859" s="1170"/>
      <c r="H859" s="1170"/>
      <c r="I859" s="1170"/>
      <c r="J859" s="1170"/>
      <c r="K859" s="1170"/>
      <c r="L859" s="153">
        <f t="shared" si="75"/>
        <v>0</v>
      </c>
      <c r="M859" s="154">
        <f t="shared" si="76"/>
        <v>0</v>
      </c>
      <c r="N859" s="155">
        <f>+IF(OR($Q859=Parametres!$G$2,$Q859=Parametres!$G$3),I859,C859)</f>
        <v>0</v>
      </c>
      <c r="O859" s="1108">
        <f>+IF(OR($Q859=Parametres!$G$2,$Q859=Parametres!$G$3),J859,D859)</f>
        <v>0</v>
      </c>
      <c r="P859" s="155">
        <f>+IF(OR($Q859=Parametres!$G$2,$Q859=Parametres!$G$3),K859,E859)</f>
        <v>0</v>
      </c>
      <c r="Q859" s="154">
        <f t="shared" si="77"/>
        <v>0</v>
      </c>
      <c r="R859" s="153">
        <f t="shared" si="78"/>
        <v>0</v>
      </c>
      <c r="S859" s="154">
        <f t="shared" si="7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hidden="1" customHeight="1">
      <c r="A860" s="1170"/>
      <c r="B860" s="1184"/>
      <c r="C860" s="1185"/>
      <c r="D860" s="1170"/>
      <c r="E860" s="1170"/>
      <c r="F860" s="1170"/>
      <c r="G860" s="1170"/>
      <c r="H860" s="1170"/>
      <c r="I860" s="1170"/>
      <c r="J860" s="1170"/>
      <c r="K860" s="1170"/>
      <c r="L860" s="153">
        <f t="shared" si="75"/>
        <v>0</v>
      </c>
      <c r="M860" s="154">
        <f t="shared" si="76"/>
        <v>0</v>
      </c>
      <c r="N860" s="155">
        <f>+IF(OR($Q860=Parametres!$G$2,$Q860=Parametres!$G$3),I860,C860)</f>
        <v>0</v>
      </c>
      <c r="O860" s="1108">
        <f>+IF(OR($Q860=Parametres!$G$2,$Q860=Parametres!$G$3),J860,D860)</f>
        <v>0</v>
      </c>
      <c r="P860" s="155">
        <f>+IF(OR($Q860=Parametres!$G$2,$Q860=Parametres!$G$3),K860,E860)</f>
        <v>0</v>
      </c>
      <c r="Q860" s="154">
        <f t="shared" si="77"/>
        <v>0</v>
      </c>
      <c r="R860" s="153">
        <f t="shared" si="78"/>
        <v>0</v>
      </c>
      <c r="S860" s="154">
        <f t="shared" si="7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hidden="1" customHeight="1">
      <c r="A861" s="1170"/>
      <c r="B861" s="1184"/>
      <c r="C861" s="1185"/>
      <c r="D861" s="1170"/>
      <c r="E861" s="1170"/>
      <c r="F861" s="1170"/>
      <c r="G861" s="1170"/>
      <c r="H861" s="1170"/>
      <c r="I861" s="1170"/>
      <c r="J861" s="1170"/>
      <c r="K861" s="1170"/>
      <c r="L861" s="153">
        <f t="shared" si="75"/>
        <v>0</v>
      </c>
      <c r="M861" s="154">
        <f t="shared" si="76"/>
        <v>0</v>
      </c>
      <c r="N861" s="155">
        <f>+IF(OR($Q861=Parametres!$G$2,$Q861=Parametres!$G$3),I861,C861)</f>
        <v>0</v>
      </c>
      <c r="O861" s="1108">
        <f>+IF(OR($Q861=Parametres!$G$2,$Q861=Parametres!$G$3),J861,D861)</f>
        <v>0</v>
      </c>
      <c r="P861" s="155">
        <f>+IF(OR($Q861=Parametres!$G$2,$Q861=Parametres!$G$3),K861,E861)</f>
        <v>0</v>
      </c>
      <c r="Q861" s="154">
        <f t="shared" si="77"/>
        <v>0</v>
      </c>
      <c r="R861" s="153">
        <f t="shared" si="78"/>
        <v>0</v>
      </c>
      <c r="S861" s="154">
        <f t="shared" si="7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hidden="1" customHeight="1">
      <c r="A862" s="1170"/>
      <c r="B862" s="1184"/>
      <c r="C862" s="1185"/>
      <c r="D862" s="1170"/>
      <c r="E862" s="1170"/>
      <c r="F862" s="1170"/>
      <c r="G862" s="1170"/>
      <c r="H862" s="1170"/>
      <c r="I862" s="1170"/>
      <c r="J862" s="1170"/>
      <c r="K862" s="1170"/>
      <c r="L862" s="153">
        <f t="shared" si="75"/>
        <v>0</v>
      </c>
      <c r="M862" s="154">
        <f t="shared" si="76"/>
        <v>0</v>
      </c>
      <c r="N862" s="155">
        <f>+IF(OR($Q862=Parametres!$G$2,$Q862=Parametres!$G$3),I862,C862)</f>
        <v>0</v>
      </c>
      <c r="O862" s="1108">
        <f>+IF(OR($Q862=Parametres!$G$2,$Q862=Parametres!$G$3),J862,D862)</f>
        <v>0</v>
      </c>
      <c r="P862" s="155">
        <f>+IF(OR($Q862=Parametres!$G$2,$Q862=Parametres!$G$3),K862,E862)</f>
        <v>0</v>
      </c>
      <c r="Q862" s="154">
        <f t="shared" si="77"/>
        <v>0</v>
      </c>
      <c r="R862" s="153">
        <f t="shared" si="78"/>
        <v>0</v>
      </c>
      <c r="S862" s="154">
        <f t="shared" si="7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hidden="1" customHeight="1">
      <c r="A863" s="1170"/>
      <c r="B863" s="1184"/>
      <c r="C863" s="1185"/>
      <c r="D863" s="1170"/>
      <c r="E863" s="1170"/>
      <c r="F863" s="1170"/>
      <c r="G863" s="1170"/>
      <c r="H863" s="1170"/>
      <c r="I863" s="1170"/>
      <c r="J863" s="1170"/>
      <c r="K863" s="1170"/>
      <c r="L863" s="153">
        <f t="shared" si="75"/>
        <v>0</v>
      </c>
      <c r="M863" s="154">
        <f t="shared" si="76"/>
        <v>0</v>
      </c>
      <c r="N863" s="155">
        <f>+IF(OR($Q863=Parametres!$G$2,$Q863=Parametres!$G$3),I863,C863)</f>
        <v>0</v>
      </c>
      <c r="O863" s="1108">
        <f>+IF(OR($Q863=Parametres!$G$2,$Q863=Parametres!$G$3),J863,D863)</f>
        <v>0</v>
      </c>
      <c r="P863" s="155">
        <f>+IF(OR($Q863=Parametres!$G$2,$Q863=Parametres!$G$3),K863,E863)</f>
        <v>0</v>
      </c>
      <c r="Q863" s="154">
        <f t="shared" si="77"/>
        <v>0</v>
      </c>
      <c r="R863" s="153">
        <f t="shared" si="78"/>
        <v>0</v>
      </c>
      <c r="S863" s="154">
        <f t="shared" si="7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hidden="1" customHeight="1">
      <c r="A864" s="1170"/>
      <c r="B864" s="1184"/>
      <c r="C864" s="1185"/>
      <c r="D864" s="1170"/>
      <c r="E864" s="1170"/>
      <c r="F864" s="1170"/>
      <c r="G864" s="1170"/>
      <c r="H864" s="1170"/>
      <c r="I864" s="1170"/>
      <c r="J864" s="1170"/>
      <c r="K864" s="1170"/>
      <c r="L864" s="153">
        <f t="shared" si="75"/>
        <v>0</v>
      </c>
      <c r="M864" s="154">
        <f t="shared" si="76"/>
        <v>0</v>
      </c>
      <c r="N864" s="155">
        <f>+IF(OR($Q864=Parametres!$G$2,$Q864=Parametres!$G$3),I864,C864)</f>
        <v>0</v>
      </c>
      <c r="O864" s="1108">
        <f>+IF(OR($Q864=Parametres!$G$2,$Q864=Parametres!$G$3),J864,D864)</f>
        <v>0</v>
      </c>
      <c r="P864" s="155">
        <f>+IF(OR($Q864=Parametres!$G$2,$Q864=Parametres!$G$3),K864,E864)</f>
        <v>0</v>
      </c>
      <c r="Q864" s="154">
        <f t="shared" si="77"/>
        <v>0</v>
      </c>
      <c r="R864" s="153">
        <f t="shared" si="78"/>
        <v>0</v>
      </c>
      <c r="S864" s="154">
        <f t="shared" si="7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hidden="1" customHeight="1">
      <c r="A865" s="1170"/>
      <c r="B865" s="1184"/>
      <c r="C865" s="1185"/>
      <c r="D865" s="1170"/>
      <c r="E865" s="1170"/>
      <c r="F865" s="1170"/>
      <c r="G865" s="1170"/>
      <c r="H865" s="1170"/>
      <c r="I865" s="1170"/>
      <c r="J865" s="1170"/>
      <c r="K865" s="1170"/>
      <c r="L865" s="153">
        <f t="shared" si="75"/>
        <v>0</v>
      </c>
      <c r="M865" s="154">
        <f t="shared" si="76"/>
        <v>0</v>
      </c>
      <c r="N865" s="155">
        <f>+IF(OR($Q865=Parametres!$G$2,$Q865=Parametres!$G$3),I865,C865)</f>
        <v>0</v>
      </c>
      <c r="O865" s="1108">
        <f>+IF(OR($Q865=Parametres!$G$2,$Q865=Parametres!$G$3),J865,D865)</f>
        <v>0</v>
      </c>
      <c r="P865" s="155">
        <f>+IF(OR($Q865=Parametres!$G$2,$Q865=Parametres!$G$3),K865,E865)</f>
        <v>0</v>
      </c>
      <c r="Q865" s="154">
        <f t="shared" si="77"/>
        <v>0</v>
      </c>
      <c r="R865" s="153">
        <f t="shared" si="78"/>
        <v>0</v>
      </c>
      <c r="S865" s="154">
        <f t="shared" si="7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hidden="1" customHeight="1">
      <c r="A866" s="1170"/>
      <c r="B866" s="1184"/>
      <c r="C866" s="1185"/>
      <c r="D866" s="1170"/>
      <c r="E866" s="1170"/>
      <c r="F866" s="1170"/>
      <c r="G866" s="1170"/>
      <c r="H866" s="1170"/>
      <c r="I866" s="1170"/>
      <c r="J866" s="1170"/>
      <c r="K866" s="1170"/>
      <c r="L866" s="153">
        <f t="shared" si="75"/>
        <v>0</v>
      </c>
      <c r="M866" s="154">
        <f t="shared" si="76"/>
        <v>0</v>
      </c>
      <c r="N866" s="155">
        <f>+IF(OR($Q866=Parametres!$G$2,$Q866=Parametres!$G$3),I866,C866)</f>
        <v>0</v>
      </c>
      <c r="O866" s="1108">
        <f>+IF(OR($Q866=Parametres!$G$2,$Q866=Parametres!$G$3),J866,D866)</f>
        <v>0</v>
      </c>
      <c r="P866" s="155">
        <f>+IF(OR($Q866=Parametres!$G$2,$Q866=Parametres!$G$3),K866,E866)</f>
        <v>0</v>
      </c>
      <c r="Q866" s="154">
        <f t="shared" si="77"/>
        <v>0</v>
      </c>
      <c r="R866" s="153">
        <f t="shared" si="78"/>
        <v>0</v>
      </c>
      <c r="S866" s="154">
        <f t="shared" si="7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hidden="1" customHeight="1">
      <c r="A867" s="1170"/>
      <c r="B867" s="1184"/>
      <c r="C867" s="1185"/>
      <c r="D867" s="1170"/>
      <c r="E867" s="1170"/>
      <c r="F867" s="1170"/>
      <c r="G867" s="1170"/>
      <c r="H867" s="1170"/>
      <c r="I867" s="1170"/>
      <c r="J867" s="1170"/>
      <c r="K867" s="1170"/>
      <c r="L867" s="153">
        <f t="shared" si="75"/>
        <v>0</v>
      </c>
      <c r="M867" s="154">
        <f t="shared" si="76"/>
        <v>0</v>
      </c>
      <c r="N867" s="155">
        <f>+IF(OR($Q867=Parametres!$G$2,$Q867=Parametres!$G$3),I867,C867)</f>
        <v>0</v>
      </c>
      <c r="O867" s="1108">
        <f>+IF(OR($Q867=Parametres!$G$2,$Q867=Parametres!$G$3),J867,D867)</f>
        <v>0</v>
      </c>
      <c r="P867" s="155">
        <f>+IF(OR($Q867=Parametres!$G$2,$Q867=Parametres!$G$3),K867,E867)</f>
        <v>0</v>
      </c>
      <c r="Q867" s="154">
        <f t="shared" si="77"/>
        <v>0</v>
      </c>
      <c r="R867" s="153">
        <f t="shared" si="78"/>
        <v>0</v>
      </c>
      <c r="S867" s="154">
        <f t="shared" si="7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hidden="1" customHeight="1">
      <c r="A868" s="1170"/>
      <c r="B868" s="1184"/>
      <c r="C868" s="1185"/>
      <c r="D868" s="1170"/>
      <c r="E868" s="1170"/>
      <c r="F868" s="1170"/>
      <c r="G868" s="1170"/>
      <c r="H868" s="1170"/>
      <c r="I868" s="1170"/>
      <c r="J868" s="1170"/>
      <c r="K868" s="1170"/>
      <c r="L868" s="153">
        <f t="shared" si="75"/>
        <v>0</v>
      </c>
      <c r="M868" s="154">
        <f t="shared" si="76"/>
        <v>0</v>
      </c>
      <c r="N868" s="155">
        <f>+IF(OR($Q868=Parametres!$G$2,$Q868=Parametres!$G$3),I868,C868)</f>
        <v>0</v>
      </c>
      <c r="O868" s="1108">
        <f>+IF(OR($Q868=Parametres!$G$2,$Q868=Parametres!$G$3),J868,D868)</f>
        <v>0</v>
      </c>
      <c r="P868" s="155">
        <f>+IF(OR($Q868=Parametres!$G$2,$Q868=Parametres!$G$3),K868,E868)</f>
        <v>0</v>
      </c>
      <c r="Q868" s="154">
        <f t="shared" si="77"/>
        <v>0</v>
      </c>
      <c r="R868" s="153">
        <f t="shared" si="78"/>
        <v>0</v>
      </c>
      <c r="S868" s="154">
        <f t="shared" si="7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hidden="1" customHeight="1">
      <c r="A869" s="1170"/>
      <c r="B869" s="1184"/>
      <c r="C869" s="1185"/>
      <c r="D869" s="1170"/>
      <c r="E869" s="1170"/>
      <c r="F869" s="1170"/>
      <c r="G869" s="1170"/>
      <c r="H869" s="1170"/>
      <c r="I869" s="1170"/>
      <c r="J869" s="1170"/>
      <c r="K869" s="1170"/>
      <c r="L869" s="153">
        <f t="shared" si="75"/>
        <v>0</v>
      </c>
      <c r="M869" s="154">
        <f t="shared" si="76"/>
        <v>0</v>
      </c>
      <c r="N869" s="155">
        <f>+IF(OR($Q869=Parametres!$G$2,$Q869=Parametres!$G$3),I869,C869)</f>
        <v>0</v>
      </c>
      <c r="O869" s="1108">
        <f>+IF(OR($Q869=Parametres!$G$2,$Q869=Parametres!$G$3),J869,D869)</f>
        <v>0</v>
      </c>
      <c r="P869" s="155">
        <f>+IF(OR($Q869=Parametres!$G$2,$Q869=Parametres!$G$3),K869,E869)</f>
        <v>0</v>
      </c>
      <c r="Q869" s="154">
        <f t="shared" si="77"/>
        <v>0</v>
      </c>
      <c r="R869" s="153">
        <f t="shared" si="78"/>
        <v>0</v>
      </c>
      <c r="S869" s="154">
        <f t="shared" si="7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hidden="1" customHeight="1">
      <c r="A870" s="1170"/>
      <c r="B870" s="1184"/>
      <c r="C870" s="1185"/>
      <c r="D870" s="1170"/>
      <c r="E870" s="1170"/>
      <c r="F870" s="1170"/>
      <c r="G870" s="1170"/>
      <c r="H870" s="1170"/>
      <c r="I870" s="1170"/>
      <c r="J870" s="1170"/>
      <c r="K870" s="1170"/>
      <c r="L870" s="153">
        <f t="shared" si="75"/>
        <v>0</v>
      </c>
      <c r="M870" s="154">
        <f t="shared" si="76"/>
        <v>0</v>
      </c>
      <c r="N870" s="155">
        <f>+IF(OR($Q870=Parametres!$G$2,$Q870=Parametres!$G$3),I870,C870)</f>
        <v>0</v>
      </c>
      <c r="O870" s="1108">
        <f>+IF(OR($Q870=Parametres!$G$2,$Q870=Parametres!$G$3),J870,D870)</f>
        <v>0</v>
      </c>
      <c r="P870" s="155">
        <f>+IF(OR($Q870=Parametres!$G$2,$Q870=Parametres!$G$3),K870,E870)</f>
        <v>0</v>
      </c>
      <c r="Q870" s="154">
        <f t="shared" si="77"/>
        <v>0</v>
      </c>
      <c r="R870" s="153">
        <f t="shared" si="78"/>
        <v>0</v>
      </c>
      <c r="S870" s="154">
        <f t="shared" si="7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hidden="1" customHeight="1">
      <c r="A871" s="1170"/>
      <c r="B871" s="1184"/>
      <c r="C871" s="1185"/>
      <c r="D871" s="1170"/>
      <c r="E871" s="1170"/>
      <c r="F871" s="1170"/>
      <c r="G871" s="1170"/>
      <c r="H871" s="1170"/>
      <c r="I871" s="1170"/>
      <c r="J871" s="1170"/>
      <c r="K871" s="1170"/>
      <c r="L871" s="153">
        <f t="shared" si="75"/>
        <v>0</v>
      </c>
      <c r="M871" s="154">
        <f t="shared" si="76"/>
        <v>0</v>
      </c>
      <c r="N871" s="155">
        <f>+IF(OR($Q871=Parametres!$G$2,$Q871=Parametres!$G$3),I871,C871)</f>
        <v>0</v>
      </c>
      <c r="O871" s="1108">
        <f>+IF(OR($Q871=Parametres!$G$2,$Q871=Parametres!$G$3),J871,D871)</f>
        <v>0</v>
      </c>
      <c r="P871" s="155">
        <f>+IF(OR($Q871=Parametres!$G$2,$Q871=Parametres!$G$3),K871,E871)</f>
        <v>0</v>
      </c>
      <c r="Q871" s="154">
        <f t="shared" si="77"/>
        <v>0</v>
      </c>
      <c r="R871" s="153">
        <f t="shared" si="78"/>
        <v>0</v>
      </c>
      <c r="S871" s="154">
        <f t="shared" si="7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hidden="1" customHeight="1">
      <c r="A872" s="1170"/>
      <c r="B872" s="1184"/>
      <c r="C872" s="1185"/>
      <c r="D872" s="1170"/>
      <c r="E872" s="1170"/>
      <c r="F872" s="1170"/>
      <c r="G872" s="1170"/>
      <c r="H872" s="1170"/>
      <c r="I872" s="1170"/>
      <c r="J872" s="1170"/>
      <c r="K872" s="1170"/>
      <c r="L872" s="153">
        <f t="shared" si="75"/>
        <v>0</v>
      </c>
      <c r="M872" s="154">
        <f t="shared" si="76"/>
        <v>0</v>
      </c>
      <c r="N872" s="155">
        <f>+IF(OR($Q872=Parametres!$G$2,$Q872=Parametres!$G$3),I872,C872)</f>
        <v>0</v>
      </c>
      <c r="O872" s="1108">
        <f>+IF(OR($Q872=Parametres!$G$2,$Q872=Parametres!$G$3),J872,D872)</f>
        <v>0</v>
      </c>
      <c r="P872" s="155">
        <f>+IF(OR($Q872=Parametres!$G$2,$Q872=Parametres!$G$3),K872,E872)</f>
        <v>0</v>
      </c>
      <c r="Q872" s="154">
        <f t="shared" si="77"/>
        <v>0</v>
      </c>
      <c r="R872" s="153">
        <f t="shared" si="78"/>
        <v>0</v>
      </c>
      <c r="S872" s="154">
        <f t="shared" si="7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hidden="1" customHeight="1">
      <c r="A873" s="1170"/>
      <c r="B873" s="1184"/>
      <c r="C873" s="1185"/>
      <c r="D873" s="1170"/>
      <c r="E873" s="1170"/>
      <c r="F873" s="1170"/>
      <c r="G873" s="1170"/>
      <c r="H873" s="1170"/>
      <c r="I873" s="1170"/>
      <c r="J873" s="1170"/>
      <c r="K873" s="1170"/>
      <c r="L873" s="153">
        <f t="shared" si="75"/>
        <v>0</v>
      </c>
      <c r="M873" s="154">
        <f t="shared" si="76"/>
        <v>0</v>
      </c>
      <c r="N873" s="155">
        <f>+IF(OR($Q873=Parametres!$G$2,$Q873=Parametres!$G$3),I873,C873)</f>
        <v>0</v>
      </c>
      <c r="O873" s="1108">
        <f>+IF(OR($Q873=Parametres!$G$2,$Q873=Parametres!$G$3),J873,D873)</f>
        <v>0</v>
      </c>
      <c r="P873" s="155">
        <f>+IF(OR($Q873=Parametres!$G$2,$Q873=Parametres!$G$3),K873,E873)</f>
        <v>0</v>
      </c>
      <c r="Q873" s="154">
        <f t="shared" si="77"/>
        <v>0</v>
      </c>
      <c r="R873" s="153">
        <f t="shared" si="78"/>
        <v>0</v>
      </c>
      <c r="S873" s="154">
        <f t="shared" si="7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hidden="1" customHeight="1">
      <c r="A874" s="1170"/>
      <c r="B874" s="1184"/>
      <c r="C874" s="1185"/>
      <c r="D874" s="1170"/>
      <c r="E874" s="1170"/>
      <c r="F874" s="1170"/>
      <c r="G874" s="1170"/>
      <c r="H874" s="1170"/>
      <c r="I874" s="1170"/>
      <c r="J874" s="1170"/>
      <c r="K874" s="1170"/>
      <c r="L874" s="153">
        <f t="shared" si="75"/>
        <v>0</v>
      </c>
      <c r="M874" s="154">
        <f t="shared" si="76"/>
        <v>0</v>
      </c>
      <c r="N874" s="155">
        <f>+IF(OR($Q874=Parametres!$G$2,$Q874=Parametres!$G$3),I874,C874)</f>
        <v>0</v>
      </c>
      <c r="O874" s="1108">
        <f>+IF(OR($Q874=Parametres!$G$2,$Q874=Parametres!$G$3),J874,D874)</f>
        <v>0</v>
      </c>
      <c r="P874" s="155">
        <f>+IF(OR($Q874=Parametres!$G$2,$Q874=Parametres!$G$3),K874,E874)</f>
        <v>0</v>
      </c>
      <c r="Q874" s="154">
        <f t="shared" si="77"/>
        <v>0</v>
      </c>
      <c r="R874" s="153">
        <f t="shared" si="78"/>
        <v>0</v>
      </c>
      <c r="S874" s="154">
        <f t="shared" si="7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hidden="1" customHeight="1">
      <c r="A875" s="1170"/>
      <c r="B875" s="1184"/>
      <c r="C875" s="1185"/>
      <c r="D875" s="1170"/>
      <c r="E875" s="1170"/>
      <c r="F875" s="1170"/>
      <c r="G875" s="1170"/>
      <c r="H875" s="1170"/>
      <c r="I875" s="1170"/>
      <c r="J875" s="1170"/>
      <c r="K875" s="1170"/>
      <c r="L875" s="153">
        <f t="shared" si="75"/>
        <v>0</v>
      </c>
      <c r="M875" s="154">
        <f t="shared" si="76"/>
        <v>0</v>
      </c>
      <c r="N875" s="155">
        <f>+IF(OR($Q875=Parametres!$G$2,$Q875=Parametres!$G$3),I875,C875)</f>
        <v>0</v>
      </c>
      <c r="O875" s="1108">
        <f>+IF(OR($Q875=Parametres!$G$2,$Q875=Parametres!$G$3),J875,D875)</f>
        <v>0</v>
      </c>
      <c r="P875" s="155">
        <f>+IF(OR($Q875=Parametres!$G$2,$Q875=Parametres!$G$3),K875,E875)</f>
        <v>0</v>
      </c>
      <c r="Q875" s="154">
        <f t="shared" si="77"/>
        <v>0</v>
      </c>
      <c r="R875" s="153">
        <f t="shared" si="78"/>
        <v>0</v>
      </c>
      <c r="S875" s="154">
        <f t="shared" si="7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hidden="1" customHeight="1">
      <c r="A876" s="1170"/>
      <c r="B876" s="1184"/>
      <c r="C876" s="1185"/>
      <c r="D876" s="1170"/>
      <c r="E876" s="1170"/>
      <c r="F876" s="1170"/>
      <c r="G876" s="1170"/>
      <c r="H876" s="1170"/>
      <c r="I876" s="1170"/>
      <c r="J876" s="1170"/>
      <c r="K876" s="1170"/>
      <c r="L876" s="153">
        <f t="shared" si="75"/>
        <v>0</v>
      </c>
      <c r="M876" s="154">
        <f t="shared" si="76"/>
        <v>0</v>
      </c>
      <c r="N876" s="155">
        <f>+IF(OR($Q876=Parametres!$G$2,$Q876=Parametres!$G$3),I876,C876)</f>
        <v>0</v>
      </c>
      <c r="O876" s="1108">
        <f>+IF(OR($Q876=Parametres!$G$2,$Q876=Parametres!$G$3),J876,D876)</f>
        <v>0</v>
      </c>
      <c r="P876" s="155">
        <f>+IF(OR($Q876=Parametres!$G$2,$Q876=Parametres!$G$3),K876,E876)</f>
        <v>0</v>
      </c>
      <c r="Q876" s="154">
        <f t="shared" si="77"/>
        <v>0</v>
      </c>
      <c r="R876" s="153">
        <f t="shared" si="78"/>
        <v>0</v>
      </c>
      <c r="S876" s="154">
        <f t="shared" si="7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hidden="1" customHeight="1">
      <c r="A877" s="1170"/>
      <c r="B877" s="1184"/>
      <c r="C877" s="1185"/>
      <c r="D877" s="1170"/>
      <c r="E877" s="1170"/>
      <c r="F877" s="1170"/>
      <c r="G877" s="1170"/>
      <c r="H877" s="1170"/>
      <c r="I877" s="1170"/>
      <c r="J877" s="1170"/>
      <c r="K877" s="1170"/>
      <c r="L877" s="153">
        <f t="shared" si="75"/>
        <v>0</v>
      </c>
      <c r="M877" s="154">
        <f t="shared" si="76"/>
        <v>0</v>
      </c>
      <c r="N877" s="155">
        <f>+IF(OR($Q877=Parametres!$G$2,$Q877=Parametres!$G$3),I877,C877)</f>
        <v>0</v>
      </c>
      <c r="O877" s="1108">
        <f>+IF(OR($Q877=Parametres!$G$2,$Q877=Parametres!$G$3),J877,D877)</f>
        <v>0</v>
      </c>
      <c r="P877" s="155">
        <f>+IF(OR($Q877=Parametres!$G$2,$Q877=Parametres!$G$3),K877,E877)</f>
        <v>0</v>
      </c>
      <c r="Q877" s="154">
        <f t="shared" si="77"/>
        <v>0</v>
      </c>
      <c r="R877" s="153">
        <f t="shared" si="78"/>
        <v>0</v>
      </c>
      <c r="S877" s="154">
        <f t="shared" si="7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hidden="1" customHeight="1">
      <c r="A878" s="1170"/>
      <c r="B878" s="1184"/>
      <c r="C878" s="1185"/>
      <c r="D878" s="1170"/>
      <c r="E878" s="1170"/>
      <c r="F878" s="1170"/>
      <c r="G878" s="1170"/>
      <c r="H878" s="1170"/>
      <c r="I878" s="1170"/>
      <c r="J878" s="1170"/>
      <c r="K878" s="1170"/>
      <c r="L878" s="153">
        <f t="shared" si="75"/>
        <v>0</v>
      </c>
      <c r="M878" s="154">
        <f t="shared" si="76"/>
        <v>0</v>
      </c>
      <c r="N878" s="155">
        <f>+IF(OR($Q878=Parametres!$G$2,$Q878=Parametres!$G$3),I878,C878)</f>
        <v>0</v>
      </c>
      <c r="O878" s="1108">
        <f>+IF(OR($Q878=Parametres!$G$2,$Q878=Parametres!$G$3),J878,D878)</f>
        <v>0</v>
      </c>
      <c r="P878" s="155">
        <f>+IF(OR($Q878=Parametres!$G$2,$Q878=Parametres!$G$3),K878,E878)</f>
        <v>0</v>
      </c>
      <c r="Q878" s="154">
        <f t="shared" si="77"/>
        <v>0</v>
      </c>
      <c r="R878" s="153">
        <f t="shared" si="78"/>
        <v>0</v>
      </c>
      <c r="S878" s="154">
        <f t="shared" si="7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hidden="1" customHeight="1">
      <c r="A879" s="1170"/>
      <c r="B879" s="1184"/>
      <c r="C879" s="1185"/>
      <c r="D879" s="1170"/>
      <c r="E879" s="1170"/>
      <c r="F879" s="1170"/>
      <c r="G879" s="1170"/>
      <c r="H879" s="1170"/>
      <c r="I879" s="1170"/>
      <c r="J879" s="1170"/>
      <c r="K879" s="1170"/>
      <c r="L879" s="153">
        <f t="shared" si="75"/>
        <v>0</v>
      </c>
      <c r="M879" s="154">
        <f t="shared" si="76"/>
        <v>0</v>
      </c>
      <c r="N879" s="155">
        <f>+IF(OR($Q879=Parametres!$G$2,$Q879=Parametres!$G$3),I879,C879)</f>
        <v>0</v>
      </c>
      <c r="O879" s="1108">
        <f>+IF(OR($Q879=Parametres!$G$2,$Q879=Parametres!$G$3),J879,D879)</f>
        <v>0</v>
      </c>
      <c r="P879" s="155">
        <f>+IF(OR($Q879=Parametres!$G$2,$Q879=Parametres!$G$3),K879,E879)</f>
        <v>0</v>
      </c>
      <c r="Q879" s="154">
        <f t="shared" si="77"/>
        <v>0</v>
      </c>
      <c r="R879" s="153">
        <f t="shared" si="78"/>
        <v>0</v>
      </c>
      <c r="S879" s="154">
        <f t="shared" si="7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hidden="1" customHeight="1">
      <c r="A880" s="1170"/>
      <c r="B880" s="1184"/>
      <c r="C880" s="1185"/>
      <c r="D880" s="1170"/>
      <c r="E880" s="1170"/>
      <c r="F880" s="1170"/>
      <c r="G880" s="1170"/>
      <c r="H880" s="1170"/>
      <c r="I880" s="1170"/>
      <c r="J880" s="1170"/>
      <c r="K880" s="1170"/>
      <c r="L880" s="153">
        <f t="shared" si="75"/>
        <v>0</v>
      </c>
      <c r="M880" s="154">
        <f t="shared" si="76"/>
        <v>0</v>
      </c>
      <c r="N880" s="155">
        <f>+IF(OR($Q880=Parametres!$G$2,$Q880=Parametres!$G$3),I880,C880)</f>
        <v>0</v>
      </c>
      <c r="O880" s="1108">
        <f>+IF(OR($Q880=Parametres!$G$2,$Q880=Parametres!$G$3),J880,D880)</f>
        <v>0</v>
      </c>
      <c r="P880" s="155">
        <f>+IF(OR($Q880=Parametres!$G$2,$Q880=Parametres!$G$3),K880,E880)</f>
        <v>0</v>
      </c>
      <c r="Q880" s="154">
        <f t="shared" si="77"/>
        <v>0</v>
      </c>
      <c r="R880" s="153">
        <f t="shared" si="78"/>
        <v>0</v>
      </c>
      <c r="S880" s="154">
        <f t="shared" si="7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hidden="1" customHeight="1">
      <c r="A881" s="1170"/>
      <c r="B881" s="1184"/>
      <c r="C881" s="1185"/>
      <c r="D881" s="1170"/>
      <c r="E881" s="1170"/>
      <c r="F881" s="1170"/>
      <c r="G881" s="1170"/>
      <c r="H881" s="1170"/>
      <c r="I881" s="1170"/>
      <c r="J881" s="1170"/>
      <c r="K881" s="1170"/>
      <c r="L881" s="153">
        <f t="shared" si="75"/>
        <v>0</v>
      </c>
      <c r="M881" s="154">
        <f t="shared" si="76"/>
        <v>0</v>
      </c>
      <c r="N881" s="155">
        <f>+IF(OR($Q881=Parametres!$G$2,$Q881=Parametres!$G$3),I881,C881)</f>
        <v>0</v>
      </c>
      <c r="O881" s="1108">
        <f>+IF(OR($Q881=Parametres!$G$2,$Q881=Parametres!$G$3),J881,D881)</f>
        <v>0</v>
      </c>
      <c r="P881" s="155">
        <f>+IF(OR($Q881=Parametres!$G$2,$Q881=Parametres!$G$3),K881,E881)</f>
        <v>0</v>
      </c>
      <c r="Q881" s="154">
        <f t="shared" si="77"/>
        <v>0</v>
      </c>
      <c r="R881" s="153">
        <f t="shared" si="78"/>
        <v>0</v>
      </c>
      <c r="S881" s="154">
        <f t="shared" si="7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hidden="1" customHeight="1">
      <c r="A882" s="1170"/>
      <c r="B882" s="1184"/>
      <c r="C882" s="1185"/>
      <c r="D882" s="1170"/>
      <c r="E882" s="1170"/>
      <c r="F882" s="1170"/>
      <c r="G882" s="1170"/>
      <c r="H882" s="1170"/>
      <c r="I882" s="1170"/>
      <c r="J882" s="1170"/>
      <c r="K882" s="1170"/>
      <c r="L882" s="153">
        <f t="shared" si="75"/>
        <v>0</v>
      </c>
      <c r="M882" s="154">
        <f t="shared" si="76"/>
        <v>0</v>
      </c>
      <c r="N882" s="155">
        <f>+IF(OR($Q882=Parametres!$G$2,$Q882=Parametres!$G$3),I882,C882)</f>
        <v>0</v>
      </c>
      <c r="O882" s="1108">
        <f>+IF(OR($Q882=Parametres!$G$2,$Q882=Parametres!$G$3),J882,D882)</f>
        <v>0</v>
      </c>
      <c r="P882" s="155">
        <f>+IF(OR($Q882=Parametres!$G$2,$Q882=Parametres!$G$3),K882,E882)</f>
        <v>0</v>
      </c>
      <c r="Q882" s="154">
        <f t="shared" si="77"/>
        <v>0</v>
      </c>
      <c r="R882" s="153">
        <f t="shared" si="78"/>
        <v>0</v>
      </c>
      <c r="S882" s="154">
        <f t="shared" si="7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hidden="1" customHeight="1">
      <c r="A883" s="1170"/>
      <c r="B883" s="1184"/>
      <c r="C883" s="1185"/>
      <c r="D883" s="1170"/>
      <c r="E883" s="1170"/>
      <c r="F883" s="1170"/>
      <c r="G883" s="1170"/>
      <c r="H883" s="1170"/>
      <c r="I883" s="1170"/>
      <c r="J883" s="1170"/>
      <c r="K883" s="1170"/>
      <c r="L883" s="153">
        <f t="shared" si="75"/>
        <v>0</v>
      </c>
      <c r="M883" s="154">
        <f t="shared" si="76"/>
        <v>0</v>
      </c>
      <c r="N883" s="155">
        <f>+IF(OR($Q883=Parametres!$G$2,$Q883=Parametres!$G$3),I883,C883)</f>
        <v>0</v>
      </c>
      <c r="O883" s="1108">
        <f>+IF(OR($Q883=Parametres!$G$2,$Q883=Parametres!$G$3),J883,D883)</f>
        <v>0</v>
      </c>
      <c r="P883" s="155">
        <f>+IF(OR($Q883=Parametres!$G$2,$Q883=Parametres!$G$3),K883,E883)</f>
        <v>0</v>
      </c>
      <c r="Q883" s="154">
        <f t="shared" si="77"/>
        <v>0</v>
      </c>
      <c r="R883" s="153">
        <f t="shared" si="78"/>
        <v>0</v>
      </c>
      <c r="S883" s="154">
        <f t="shared" si="7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hidden="1" customHeight="1">
      <c r="A884" s="1170"/>
      <c r="B884" s="1184"/>
      <c r="C884" s="1185"/>
      <c r="D884" s="1170"/>
      <c r="E884" s="1170"/>
      <c r="F884" s="1170"/>
      <c r="G884" s="1170"/>
      <c r="H884" s="1170"/>
      <c r="I884" s="1170"/>
      <c r="J884" s="1170"/>
      <c r="K884" s="1170"/>
      <c r="L884" s="153">
        <f t="shared" si="75"/>
        <v>0</v>
      </c>
      <c r="M884" s="154">
        <f t="shared" si="76"/>
        <v>0</v>
      </c>
      <c r="N884" s="155">
        <f>+IF(OR($Q884=Parametres!$G$2,$Q884=Parametres!$G$3),I884,C884)</f>
        <v>0</v>
      </c>
      <c r="O884" s="1108">
        <f>+IF(OR($Q884=Parametres!$G$2,$Q884=Parametres!$G$3),J884,D884)</f>
        <v>0</v>
      </c>
      <c r="P884" s="155">
        <f>+IF(OR($Q884=Parametres!$G$2,$Q884=Parametres!$G$3),K884,E884)</f>
        <v>0</v>
      </c>
      <c r="Q884" s="154">
        <f t="shared" si="77"/>
        <v>0</v>
      </c>
      <c r="R884" s="153">
        <f t="shared" si="78"/>
        <v>0</v>
      </c>
      <c r="S884" s="154">
        <f t="shared" si="7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hidden="1" customHeight="1">
      <c r="A885" s="1170"/>
      <c r="B885" s="1184"/>
      <c r="C885" s="1185"/>
      <c r="D885" s="1170"/>
      <c r="E885" s="1170"/>
      <c r="F885" s="1170"/>
      <c r="G885" s="1170"/>
      <c r="H885" s="1170"/>
      <c r="I885" s="1170"/>
      <c r="J885" s="1170"/>
      <c r="K885" s="1170"/>
      <c r="L885" s="153">
        <f t="shared" si="75"/>
        <v>0</v>
      </c>
      <c r="M885" s="154">
        <f t="shared" si="76"/>
        <v>0</v>
      </c>
      <c r="N885" s="155">
        <f>+IF(OR($Q885=Parametres!$G$2,$Q885=Parametres!$G$3),I885,C885)</f>
        <v>0</v>
      </c>
      <c r="O885" s="1108">
        <f>+IF(OR($Q885=Parametres!$G$2,$Q885=Parametres!$G$3),J885,D885)</f>
        <v>0</v>
      </c>
      <c r="P885" s="155">
        <f>+IF(OR($Q885=Parametres!$G$2,$Q885=Parametres!$G$3),K885,E885)</f>
        <v>0</v>
      </c>
      <c r="Q885" s="154">
        <f t="shared" si="77"/>
        <v>0</v>
      </c>
      <c r="R885" s="153">
        <f t="shared" si="78"/>
        <v>0</v>
      </c>
      <c r="S885" s="154">
        <f t="shared" si="7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hidden="1" customHeight="1">
      <c r="A886" s="1170"/>
      <c r="B886" s="1184"/>
      <c r="C886" s="1185"/>
      <c r="D886" s="1170"/>
      <c r="E886" s="1170"/>
      <c r="F886" s="1170"/>
      <c r="G886" s="1170"/>
      <c r="H886" s="1170"/>
      <c r="I886" s="1170"/>
      <c r="J886" s="1170"/>
      <c r="K886" s="1170"/>
      <c r="L886" s="153">
        <f t="shared" si="75"/>
        <v>0</v>
      </c>
      <c r="M886" s="154">
        <f t="shared" si="76"/>
        <v>0</v>
      </c>
      <c r="N886" s="155">
        <f>+IF(OR($Q886=Parametres!$G$2,$Q886=Parametres!$G$3),I886,C886)</f>
        <v>0</v>
      </c>
      <c r="O886" s="1108">
        <f>+IF(OR($Q886=Parametres!$G$2,$Q886=Parametres!$G$3),J886,D886)</f>
        <v>0</v>
      </c>
      <c r="P886" s="155">
        <f>+IF(OR($Q886=Parametres!$G$2,$Q886=Parametres!$G$3),K886,E886)</f>
        <v>0</v>
      </c>
      <c r="Q886" s="154">
        <f t="shared" si="77"/>
        <v>0</v>
      </c>
      <c r="R886" s="153">
        <f t="shared" si="78"/>
        <v>0</v>
      </c>
      <c r="S886" s="154">
        <f t="shared" si="7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hidden="1" customHeight="1">
      <c r="A887" s="1170"/>
      <c r="B887" s="1184"/>
      <c r="C887" s="1185"/>
      <c r="D887" s="1170"/>
      <c r="E887" s="1170"/>
      <c r="F887" s="1170"/>
      <c r="G887" s="1170"/>
      <c r="H887" s="1170"/>
      <c r="I887" s="1170"/>
      <c r="J887" s="1170"/>
      <c r="K887" s="1170"/>
      <c r="L887" s="153">
        <f t="shared" si="75"/>
        <v>0</v>
      </c>
      <c r="M887" s="154">
        <f t="shared" si="76"/>
        <v>0</v>
      </c>
      <c r="N887" s="155">
        <f>+IF(OR($Q887=Parametres!$G$2,$Q887=Parametres!$G$3),I887,C887)</f>
        <v>0</v>
      </c>
      <c r="O887" s="1108">
        <f>+IF(OR($Q887=Parametres!$G$2,$Q887=Parametres!$G$3),J887,D887)</f>
        <v>0</v>
      </c>
      <c r="P887" s="155">
        <f>+IF(OR($Q887=Parametres!$G$2,$Q887=Parametres!$G$3),K887,E887)</f>
        <v>0</v>
      </c>
      <c r="Q887" s="154">
        <f t="shared" si="77"/>
        <v>0</v>
      </c>
      <c r="R887" s="153">
        <f t="shared" si="78"/>
        <v>0</v>
      </c>
      <c r="S887" s="154">
        <f t="shared" si="7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hidden="1" customHeight="1">
      <c r="A888" s="1170"/>
      <c r="B888" s="1184"/>
      <c r="C888" s="1185"/>
      <c r="D888" s="1170"/>
      <c r="E888" s="1170"/>
      <c r="F888" s="1170"/>
      <c r="G888" s="1170"/>
      <c r="H888" s="1170"/>
      <c r="I888" s="1170"/>
      <c r="J888" s="1170"/>
      <c r="K888" s="1170"/>
      <c r="L888" s="153">
        <f t="shared" si="75"/>
        <v>0</v>
      </c>
      <c r="M888" s="154">
        <f t="shared" si="76"/>
        <v>0</v>
      </c>
      <c r="N888" s="155">
        <f>+IF(OR($Q888=Parametres!$G$2,$Q888=Parametres!$G$3),I888,C888)</f>
        <v>0</v>
      </c>
      <c r="O888" s="1108">
        <f>+IF(OR($Q888=Parametres!$G$2,$Q888=Parametres!$G$3),J888,D888)</f>
        <v>0</v>
      </c>
      <c r="P888" s="155">
        <f>+IF(OR($Q888=Parametres!$G$2,$Q888=Parametres!$G$3),K888,E888)</f>
        <v>0</v>
      </c>
      <c r="Q888" s="154">
        <f t="shared" si="77"/>
        <v>0</v>
      </c>
      <c r="R888" s="153">
        <f t="shared" si="78"/>
        <v>0</v>
      </c>
      <c r="S888" s="154">
        <f t="shared" si="7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hidden="1" customHeight="1">
      <c r="A889" s="1170"/>
      <c r="B889" s="1184"/>
      <c r="C889" s="1185"/>
      <c r="D889" s="1170"/>
      <c r="E889" s="1170"/>
      <c r="F889" s="1170"/>
      <c r="G889" s="1170"/>
      <c r="H889" s="1170"/>
      <c r="I889" s="1170"/>
      <c r="J889" s="1170"/>
      <c r="K889" s="1170"/>
      <c r="L889" s="153">
        <f t="shared" si="75"/>
        <v>0</v>
      </c>
      <c r="M889" s="154">
        <f t="shared" si="76"/>
        <v>0</v>
      </c>
      <c r="N889" s="155">
        <f>+IF(OR($Q889=Parametres!$G$2,$Q889=Parametres!$G$3),I889,C889)</f>
        <v>0</v>
      </c>
      <c r="O889" s="1108">
        <f>+IF(OR($Q889=Parametres!$G$2,$Q889=Parametres!$G$3),J889,D889)</f>
        <v>0</v>
      </c>
      <c r="P889" s="155">
        <f>+IF(OR($Q889=Parametres!$G$2,$Q889=Parametres!$G$3),K889,E889)</f>
        <v>0</v>
      </c>
      <c r="Q889" s="154">
        <f t="shared" si="77"/>
        <v>0</v>
      </c>
      <c r="R889" s="153">
        <f t="shared" si="78"/>
        <v>0</v>
      </c>
      <c r="S889" s="154">
        <f t="shared" si="7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hidden="1" customHeight="1">
      <c r="A890" s="1170"/>
      <c r="B890" s="1184"/>
      <c r="C890" s="1185"/>
      <c r="D890" s="1170"/>
      <c r="E890" s="1170"/>
      <c r="F890" s="1170"/>
      <c r="G890" s="1170"/>
      <c r="H890" s="1170"/>
      <c r="I890" s="1170"/>
      <c r="J890" s="1170"/>
      <c r="K890" s="1170"/>
      <c r="L890" s="153">
        <f t="shared" si="75"/>
        <v>0</v>
      </c>
      <c r="M890" s="154">
        <f t="shared" si="76"/>
        <v>0</v>
      </c>
      <c r="N890" s="155">
        <f>+IF(OR($Q890=Parametres!$G$2,$Q890=Parametres!$G$3),I890,C890)</f>
        <v>0</v>
      </c>
      <c r="O890" s="1108">
        <f>+IF(OR($Q890=Parametres!$G$2,$Q890=Parametres!$G$3),J890,D890)</f>
        <v>0</v>
      </c>
      <c r="P890" s="155">
        <f>+IF(OR($Q890=Parametres!$G$2,$Q890=Parametres!$G$3),K890,E890)</f>
        <v>0</v>
      </c>
      <c r="Q890" s="154">
        <f t="shared" si="77"/>
        <v>0</v>
      </c>
      <c r="R890" s="153">
        <f t="shared" si="78"/>
        <v>0</v>
      </c>
      <c r="S890" s="154">
        <f t="shared" si="7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hidden="1" customHeight="1">
      <c r="A891" s="1170"/>
      <c r="B891" s="1184"/>
      <c r="C891" s="1185"/>
      <c r="D891" s="1170"/>
      <c r="E891" s="1170"/>
      <c r="F891" s="1170"/>
      <c r="G891" s="1170"/>
      <c r="H891" s="1170"/>
      <c r="I891" s="1170"/>
      <c r="J891" s="1170"/>
      <c r="K891" s="1170"/>
      <c r="L891" s="153">
        <f t="shared" si="75"/>
        <v>0</v>
      </c>
      <c r="M891" s="154">
        <f t="shared" si="76"/>
        <v>0</v>
      </c>
      <c r="N891" s="155">
        <f>+IF(OR($Q891=Parametres!$G$2,$Q891=Parametres!$G$3),I891,C891)</f>
        <v>0</v>
      </c>
      <c r="O891" s="1108">
        <f>+IF(OR($Q891=Parametres!$G$2,$Q891=Parametres!$G$3),J891,D891)</f>
        <v>0</v>
      </c>
      <c r="P891" s="155">
        <f>+IF(OR($Q891=Parametres!$G$2,$Q891=Parametres!$G$3),K891,E891)</f>
        <v>0</v>
      </c>
      <c r="Q891" s="154">
        <f t="shared" si="77"/>
        <v>0</v>
      </c>
      <c r="R891" s="153">
        <f t="shared" si="78"/>
        <v>0</v>
      </c>
      <c r="S891" s="154">
        <f t="shared" si="7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hidden="1" customHeight="1">
      <c r="A892" s="1170"/>
      <c r="B892" s="1184"/>
      <c r="C892" s="1185"/>
      <c r="D892" s="1170"/>
      <c r="E892" s="1170"/>
      <c r="F892" s="1170"/>
      <c r="G892" s="1170"/>
      <c r="H892" s="1170"/>
      <c r="I892" s="1170"/>
      <c r="J892" s="1170"/>
      <c r="K892" s="1170"/>
      <c r="L892" s="153">
        <f t="shared" si="75"/>
        <v>0</v>
      </c>
      <c r="M892" s="154">
        <f t="shared" si="76"/>
        <v>0</v>
      </c>
      <c r="N892" s="155">
        <f>+IF(OR($Q892=Parametres!$G$2,$Q892=Parametres!$G$3),I892,C892)</f>
        <v>0</v>
      </c>
      <c r="O892" s="1108">
        <f>+IF(OR($Q892=Parametres!$G$2,$Q892=Parametres!$G$3),J892,D892)</f>
        <v>0</v>
      </c>
      <c r="P892" s="155">
        <f>+IF(OR($Q892=Parametres!$G$2,$Q892=Parametres!$G$3),K892,E892)</f>
        <v>0</v>
      </c>
      <c r="Q892" s="154">
        <f t="shared" si="77"/>
        <v>0</v>
      </c>
      <c r="R892" s="153">
        <f t="shared" si="78"/>
        <v>0</v>
      </c>
      <c r="S892" s="154">
        <f t="shared" si="7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hidden="1" customHeight="1">
      <c r="A893" s="1170"/>
      <c r="B893" s="1184"/>
      <c r="C893" s="1185"/>
      <c r="D893" s="1170"/>
      <c r="E893" s="1170"/>
      <c r="F893" s="1170"/>
      <c r="G893" s="1170"/>
      <c r="H893" s="1170"/>
      <c r="I893" s="1170"/>
      <c r="J893" s="1170"/>
      <c r="K893" s="1170"/>
      <c r="L893" s="153">
        <f t="shared" si="75"/>
        <v>0</v>
      </c>
      <c r="M893" s="154">
        <f t="shared" si="76"/>
        <v>0</v>
      </c>
      <c r="N893" s="155">
        <f>+IF(OR($Q893=Parametres!$G$2,$Q893=Parametres!$G$3),I893,C893)</f>
        <v>0</v>
      </c>
      <c r="O893" s="1108">
        <f>+IF(OR($Q893=Parametres!$G$2,$Q893=Parametres!$G$3),J893,D893)</f>
        <v>0</v>
      </c>
      <c r="P893" s="155">
        <f>+IF(OR($Q893=Parametres!$G$2,$Q893=Parametres!$G$3),K893,E893)</f>
        <v>0</v>
      </c>
      <c r="Q893" s="154">
        <f t="shared" si="77"/>
        <v>0</v>
      </c>
      <c r="R893" s="153">
        <f t="shared" si="78"/>
        <v>0</v>
      </c>
      <c r="S893" s="154">
        <f t="shared" si="7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hidden="1" customHeight="1">
      <c r="A894" s="1170"/>
      <c r="B894" s="1184"/>
      <c r="C894" s="1185"/>
      <c r="D894" s="1170"/>
      <c r="E894" s="1170"/>
      <c r="F894" s="1170"/>
      <c r="G894" s="1170"/>
      <c r="H894" s="1170"/>
      <c r="I894" s="1170"/>
      <c r="J894" s="1170"/>
      <c r="K894" s="1170"/>
      <c r="L894" s="153">
        <f t="shared" si="75"/>
        <v>0</v>
      </c>
      <c r="M894" s="154">
        <f t="shared" si="76"/>
        <v>0</v>
      </c>
      <c r="N894" s="155">
        <f>+IF(OR($Q894=Parametres!$G$2,$Q894=Parametres!$G$3),I894,C894)</f>
        <v>0</v>
      </c>
      <c r="O894" s="1108">
        <f>+IF(OR($Q894=Parametres!$G$2,$Q894=Parametres!$G$3),J894,D894)</f>
        <v>0</v>
      </c>
      <c r="P894" s="155">
        <f>+IF(OR($Q894=Parametres!$G$2,$Q894=Parametres!$G$3),K894,E894)</f>
        <v>0</v>
      </c>
      <c r="Q894" s="154">
        <f t="shared" si="77"/>
        <v>0</v>
      </c>
      <c r="R894" s="153">
        <f t="shared" si="78"/>
        <v>0</v>
      </c>
      <c r="S894" s="154">
        <f t="shared" si="7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hidden="1" customHeight="1">
      <c r="A895" s="1170"/>
      <c r="B895" s="1184"/>
      <c r="C895" s="1185"/>
      <c r="D895" s="1170"/>
      <c r="E895" s="1170"/>
      <c r="F895" s="1170"/>
      <c r="G895" s="1170"/>
      <c r="H895" s="1170"/>
      <c r="I895" s="1170"/>
      <c r="J895" s="1170"/>
      <c r="K895" s="1170"/>
      <c r="L895" s="153">
        <f t="shared" si="75"/>
        <v>0</v>
      </c>
      <c r="M895" s="154">
        <f t="shared" si="76"/>
        <v>0</v>
      </c>
      <c r="N895" s="155">
        <f>+IF(OR($Q895=Parametres!$G$2,$Q895=Parametres!$G$3),I895,C895)</f>
        <v>0</v>
      </c>
      <c r="O895" s="1108">
        <f>+IF(OR($Q895=Parametres!$G$2,$Q895=Parametres!$G$3),J895,D895)</f>
        <v>0</v>
      </c>
      <c r="P895" s="155">
        <f>+IF(OR($Q895=Parametres!$G$2,$Q895=Parametres!$G$3),K895,E895)</f>
        <v>0</v>
      </c>
      <c r="Q895" s="154">
        <f t="shared" si="77"/>
        <v>0</v>
      </c>
      <c r="R895" s="153">
        <f t="shared" si="78"/>
        <v>0</v>
      </c>
      <c r="S895" s="154">
        <f t="shared" si="7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hidden="1" customHeight="1">
      <c r="A896" s="1170"/>
      <c r="B896" s="1184"/>
      <c r="C896" s="1185"/>
      <c r="D896" s="1170"/>
      <c r="E896" s="1170"/>
      <c r="F896" s="1170"/>
      <c r="G896" s="1170"/>
      <c r="H896" s="1170"/>
      <c r="I896" s="1170"/>
      <c r="J896" s="1170"/>
      <c r="K896" s="1170"/>
      <c r="L896" s="153">
        <f t="shared" si="75"/>
        <v>0</v>
      </c>
      <c r="M896" s="154">
        <f t="shared" si="76"/>
        <v>0</v>
      </c>
      <c r="N896" s="155">
        <f>+IF(OR($Q896=Parametres!$G$2,$Q896=Parametres!$G$3),I896,C896)</f>
        <v>0</v>
      </c>
      <c r="O896" s="1108">
        <f>+IF(OR($Q896=Parametres!$G$2,$Q896=Parametres!$G$3),J896,D896)</f>
        <v>0</v>
      </c>
      <c r="P896" s="155">
        <f>+IF(OR($Q896=Parametres!$G$2,$Q896=Parametres!$G$3),K896,E896)</f>
        <v>0</v>
      </c>
      <c r="Q896" s="154">
        <f t="shared" si="77"/>
        <v>0</v>
      </c>
      <c r="R896" s="153">
        <f t="shared" si="78"/>
        <v>0</v>
      </c>
      <c r="S896" s="154">
        <f t="shared" si="7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hidden="1" customHeight="1">
      <c r="A897" s="1170"/>
      <c r="B897" s="1184"/>
      <c r="C897" s="1185"/>
      <c r="D897" s="1170"/>
      <c r="E897" s="1170"/>
      <c r="F897" s="1170"/>
      <c r="G897" s="1170"/>
      <c r="H897" s="1170"/>
      <c r="I897" s="1170"/>
      <c r="J897" s="1170"/>
      <c r="K897" s="1170"/>
      <c r="L897" s="153">
        <f t="shared" si="75"/>
        <v>0</v>
      </c>
      <c r="M897" s="154">
        <f t="shared" si="76"/>
        <v>0</v>
      </c>
      <c r="N897" s="155">
        <f>+IF(OR($Q897=Parametres!$G$2,$Q897=Parametres!$G$3),I897,C897)</f>
        <v>0</v>
      </c>
      <c r="O897" s="1108">
        <f>+IF(OR($Q897=Parametres!$G$2,$Q897=Parametres!$G$3),J897,D897)</f>
        <v>0</v>
      </c>
      <c r="P897" s="155">
        <f>+IF(OR($Q897=Parametres!$G$2,$Q897=Parametres!$G$3),K897,E897)</f>
        <v>0</v>
      </c>
      <c r="Q897" s="154">
        <f t="shared" si="77"/>
        <v>0</v>
      </c>
      <c r="R897" s="153">
        <f t="shared" si="78"/>
        <v>0</v>
      </c>
      <c r="S897" s="154">
        <f t="shared" si="7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hidden="1" customHeight="1">
      <c r="A898" s="1170"/>
      <c r="B898" s="1184"/>
      <c r="C898" s="1185"/>
      <c r="D898" s="1170"/>
      <c r="E898" s="1170"/>
      <c r="F898" s="1170"/>
      <c r="G898" s="1170"/>
      <c r="H898" s="1170"/>
      <c r="I898" s="1170"/>
      <c r="J898" s="1170"/>
      <c r="K898" s="1170"/>
      <c r="L898" s="153">
        <f t="shared" ref="L898:L961" si="80">+B898</f>
        <v>0</v>
      </c>
      <c r="M898" s="154">
        <f t="shared" ref="M898:M961" si="81">+A898</f>
        <v>0</v>
      </c>
      <c r="N898" s="155">
        <f>+IF(OR($Q898=Parametres!$G$2,$Q898=Parametres!$G$3),I898,C898)</f>
        <v>0</v>
      </c>
      <c r="O898" s="1108">
        <f>+IF(OR($Q898=Parametres!$G$2,$Q898=Parametres!$G$3),J898,D898)</f>
        <v>0</v>
      </c>
      <c r="P898" s="155">
        <f>+IF(OR($Q898=Parametres!$G$2,$Q898=Parametres!$G$3),K898,E898)</f>
        <v>0</v>
      </c>
      <c r="Q898" s="154">
        <f t="shared" ref="Q898:Q961" si="82">+F898</f>
        <v>0</v>
      </c>
      <c r="R898" s="153">
        <f t="shared" ref="R898:R961" si="83">+G898</f>
        <v>0</v>
      </c>
      <c r="S898" s="154">
        <f t="shared" ref="S898:S961" si="8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hidden="1" customHeight="1">
      <c r="A899" s="1170"/>
      <c r="B899" s="1184"/>
      <c r="C899" s="1185"/>
      <c r="D899" s="1170"/>
      <c r="E899" s="1170"/>
      <c r="F899" s="1170"/>
      <c r="G899" s="1170"/>
      <c r="H899" s="1170"/>
      <c r="I899" s="1170"/>
      <c r="J899" s="1170"/>
      <c r="K899" s="1170"/>
      <c r="L899" s="153">
        <f t="shared" si="80"/>
        <v>0</v>
      </c>
      <c r="M899" s="154">
        <f t="shared" si="81"/>
        <v>0</v>
      </c>
      <c r="N899" s="155">
        <f>+IF(OR($Q899=Parametres!$G$2,$Q899=Parametres!$G$3),I899,C899)</f>
        <v>0</v>
      </c>
      <c r="O899" s="1108">
        <f>+IF(OR($Q899=Parametres!$G$2,$Q899=Parametres!$G$3),J899,D899)</f>
        <v>0</v>
      </c>
      <c r="P899" s="155">
        <f>+IF(OR($Q899=Parametres!$G$2,$Q899=Parametres!$G$3),K899,E899)</f>
        <v>0</v>
      </c>
      <c r="Q899" s="154">
        <f t="shared" si="82"/>
        <v>0</v>
      </c>
      <c r="R899" s="153">
        <f t="shared" si="83"/>
        <v>0</v>
      </c>
      <c r="S899" s="154">
        <f t="shared" si="8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hidden="1" customHeight="1">
      <c r="A900" s="1170"/>
      <c r="B900" s="1184"/>
      <c r="C900" s="1185"/>
      <c r="D900" s="1170"/>
      <c r="E900" s="1170"/>
      <c r="F900" s="1170"/>
      <c r="G900" s="1170"/>
      <c r="H900" s="1170"/>
      <c r="I900" s="1170"/>
      <c r="J900" s="1170"/>
      <c r="K900" s="1170"/>
      <c r="L900" s="153">
        <f t="shared" si="80"/>
        <v>0</v>
      </c>
      <c r="M900" s="154">
        <f t="shared" si="81"/>
        <v>0</v>
      </c>
      <c r="N900" s="155">
        <f>+IF(OR($Q900=Parametres!$G$2,$Q900=Parametres!$G$3),I900,C900)</f>
        <v>0</v>
      </c>
      <c r="O900" s="1108">
        <f>+IF(OR($Q900=Parametres!$G$2,$Q900=Parametres!$G$3),J900,D900)</f>
        <v>0</v>
      </c>
      <c r="P900" s="155">
        <f>+IF(OR($Q900=Parametres!$G$2,$Q900=Parametres!$G$3),K900,E900)</f>
        <v>0</v>
      </c>
      <c r="Q900" s="154">
        <f t="shared" si="82"/>
        <v>0</v>
      </c>
      <c r="R900" s="153">
        <f t="shared" si="83"/>
        <v>0</v>
      </c>
      <c r="S900" s="154">
        <f t="shared" si="8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hidden="1" customHeight="1">
      <c r="A901" s="1170"/>
      <c r="B901" s="1184"/>
      <c r="C901" s="1185"/>
      <c r="D901" s="1170"/>
      <c r="E901" s="1170"/>
      <c r="F901" s="1170"/>
      <c r="G901" s="1170"/>
      <c r="H901" s="1170"/>
      <c r="I901" s="1170"/>
      <c r="J901" s="1170"/>
      <c r="K901" s="1170"/>
      <c r="L901" s="153">
        <f t="shared" si="80"/>
        <v>0</v>
      </c>
      <c r="M901" s="154">
        <f t="shared" si="81"/>
        <v>0</v>
      </c>
      <c r="N901" s="155">
        <f>+IF(OR($Q901=Parametres!$G$2,$Q901=Parametres!$G$3),I901,C901)</f>
        <v>0</v>
      </c>
      <c r="O901" s="1108">
        <f>+IF(OR($Q901=Parametres!$G$2,$Q901=Parametres!$G$3),J901,D901)</f>
        <v>0</v>
      </c>
      <c r="P901" s="155">
        <f>+IF(OR($Q901=Parametres!$G$2,$Q901=Parametres!$G$3),K901,E901)</f>
        <v>0</v>
      </c>
      <c r="Q901" s="154">
        <f t="shared" si="82"/>
        <v>0</v>
      </c>
      <c r="R901" s="153">
        <f t="shared" si="83"/>
        <v>0</v>
      </c>
      <c r="S901" s="154">
        <f t="shared" si="8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hidden="1" customHeight="1">
      <c r="A902" s="1170"/>
      <c r="B902" s="1184"/>
      <c r="C902" s="1185"/>
      <c r="D902" s="1170"/>
      <c r="E902" s="1170"/>
      <c r="F902" s="1170"/>
      <c r="G902" s="1170"/>
      <c r="H902" s="1170"/>
      <c r="I902" s="1170"/>
      <c r="J902" s="1170"/>
      <c r="K902" s="1170"/>
      <c r="L902" s="153">
        <f t="shared" si="80"/>
        <v>0</v>
      </c>
      <c r="M902" s="154">
        <f t="shared" si="81"/>
        <v>0</v>
      </c>
      <c r="N902" s="155">
        <f>+IF(OR($Q902=Parametres!$G$2,$Q902=Parametres!$G$3),I902,C902)</f>
        <v>0</v>
      </c>
      <c r="O902" s="1108">
        <f>+IF(OR($Q902=Parametres!$G$2,$Q902=Parametres!$G$3),J902,D902)</f>
        <v>0</v>
      </c>
      <c r="P902" s="155">
        <f>+IF(OR($Q902=Parametres!$G$2,$Q902=Parametres!$G$3),K902,E902)</f>
        <v>0</v>
      </c>
      <c r="Q902" s="154">
        <f t="shared" si="82"/>
        <v>0</v>
      </c>
      <c r="R902" s="153">
        <f t="shared" si="83"/>
        <v>0</v>
      </c>
      <c r="S902" s="154">
        <f t="shared" si="8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hidden="1" customHeight="1">
      <c r="A903" s="1170"/>
      <c r="B903" s="1184"/>
      <c r="C903" s="1185"/>
      <c r="D903" s="1170"/>
      <c r="E903" s="1170"/>
      <c r="F903" s="1170"/>
      <c r="G903" s="1170"/>
      <c r="H903" s="1170"/>
      <c r="I903" s="1170"/>
      <c r="J903" s="1170"/>
      <c r="K903" s="1170"/>
      <c r="L903" s="153">
        <f t="shared" si="80"/>
        <v>0</v>
      </c>
      <c r="M903" s="154">
        <f t="shared" si="81"/>
        <v>0</v>
      </c>
      <c r="N903" s="155">
        <f>+IF(OR($Q903=Parametres!$G$2,$Q903=Parametres!$G$3),I903,C903)</f>
        <v>0</v>
      </c>
      <c r="O903" s="1108">
        <f>+IF(OR($Q903=Parametres!$G$2,$Q903=Parametres!$G$3),J903,D903)</f>
        <v>0</v>
      </c>
      <c r="P903" s="155">
        <f>+IF(OR($Q903=Parametres!$G$2,$Q903=Parametres!$G$3),K903,E903)</f>
        <v>0</v>
      </c>
      <c r="Q903" s="154">
        <f t="shared" si="82"/>
        <v>0</v>
      </c>
      <c r="R903" s="153">
        <f t="shared" si="83"/>
        <v>0</v>
      </c>
      <c r="S903" s="154">
        <f t="shared" si="8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hidden="1" customHeight="1">
      <c r="A904" s="1170"/>
      <c r="B904" s="1184"/>
      <c r="C904" s="1185"/>
      <c r="D904" s="1170"/>
      <c r="E904" s="1170"/>
      <c r="F904" s="1170"/>
      <c r="G904" s="1170"/>
      <c r="H904" s="1170"/>
      <c r="I904" s="1170"/>
      <c r="J904" s="1170"/>
      <c r="K904" s="1170"/>
      <c r="L904" s="153">
        <f t="shared" si="80"/>
        <v>0</v>
      </c>
      <c r="M904" s="154">
        <f t="shared" si="81"/>
        <v>0</v>
      </c>
      <c r="N904" s="155">
        <f>+IF(OR($Q904=Parametres!$G$2,$Q904=Parametres!$G$3),I904,C904)</f>
        <v>0</v>
      </c>
      <c r="O904" s="1108">
        <f>+IF(OR($Q904=Parametres!$G$2,$Q904=Parametres!$G$3),J904,D904)</f>
        <v>0</v>
      </c>
      <c r="P904" s="155">
        <f>+IF(OR($Q904=Parametres!$G$2,$Q904=Parametres!$G$3),K904,E904)</f>
        <v>0</v>
      </c>
      <c r="Q904" s="154">
        <f t="shared" si="82"/>
        <v>0</v>
      </c>
      <c r="R904" s="153">
        <f t="shared" si="83"/>
        <v>0</v>
      </c>
      <c r="S904" s="154">
        <f t="shared" si="8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hidden="1" customHeight="1">
      <c r="A905" s="1170"/>
      <c r="B905" s="1184"/>
      <c r="C905" s="1185"/>
      <c r="D905" s="1170"/>
      <c r="E905" s="1170"/>
      <c r="F905" s="1170"/>
      <c r="G905" s="1170"/>
      <c r="H905" s="1170"/>
      <c r="I905" s="1170"/>
      <c r="J905" s="1170"/>
      <c r="K905" s="1170"/>
      <c r="L905" s="153">
        <f t="shared" si="80"/>
        <v>0</v>
      </c>
      <c r="M905" s="154">
        <f t="shared" si="81"/>
        <v>0</v>
      </c>
      <c r="N905" s="155">
        <f>+IF(OR($Q905=Parametres!$G$2,$Q905=Parametres!$G$3),I905,C905)</f>
        <v>0</v>
      </c>
      <c r="O905" s="1108">
        <f>+IF(OR($Q905=Parametres!$G$2,$Q905=Parametres!$G$3),J905,D905)</f>
        <v>0</v>
      </c>
      <c r="P905" s="155">
        <f>+IF(OR($Q905=Parametres!$G$2,$Q905=Parametres!$G$3),K905,E905)</f>
        <v>0</v>
      </c>
      <c r="Q905" s="154">
        <f t="shared" si="82"/>
        <v>0</v>
      </c>
      <c r="R905" s="153">
        <f t="shared" si="83"/>
        <v>0</v>
      </c>
      <c r="S905" s="154">
        <f t="shared" si="8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hidden="1" customHeight="1">
      <c r="A906" s="1170"/>
      <c r="B906" s="1184"/>
      <c r="C906" s="1185"/>
      <c r="D906" s="1170"/>
      <c r="E906" s="1170"/>
      <c r="F906" s="1170"/>
      <c r="G906" s="1170"/>
      <c r="H906" s="1170"/>
      <c r="I906" s="1170"/>
      <c r="J906" s="1170"/>
      <c r="K906" s="1170"/>
      <c r="L906" s="153">
        <f t="shared" si="80"/>
        <v>0</v>
      </c>
      <c r="M906" s="154">
        <f t="shared" si="81"/>
        <v>0</v>
      </c>
      <c r="N906" s="155">
        <f>+IF(OR($Q906=Parametres!$G$2,$Q906=Parametres!$G$3),I906,C906)</f>
        <v>0</v>
      </c>
      <c r="O906" s="1108">
        <f>+IF(OR($Q906=Parametres!$G$2,$Q906=Parametres!$G$3),J906,D906)</f>
        <v>0</v>
      </c>
      <c r="P906" s="155">
        <f>+IF(OR($Q906=Parametres!$G$2,$Q906=Parametres!$G$3),K906,E906)</f>
        <v>0</v>
      </c>
      <c r="Q906" s="154">
        <f t="shared" si="82"/>
        <v>0</v>
      </c>
      <c r="R906" s="153">
        <f t="shared" si="83"/>
        <v>0</v>
      </c>
      <c r="S906" s="154">
        <f t="shared" si="8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hidden="1" customHeight="1">
      <c r="A907" s="1170"/>
      <c r="B907" s="1184"/>
      <c r="C907" s="1185"/>
      <c r="D907" s="1170"/>
      <c r="E907" s="1170"/>
      <c r="F907" s="1170"/>
      <c r="G907" s="1170"/>
      <c r="H907" s="1170"/>
      <c r="I907" s="1170"/>
      <c r="J907" s="1170"/>
      <c r="K907" s="1170"/>
      <c r="L907" s="153">
        <f t="shared" si="80"/>
        <v>0</v>
      </c>
      <c r="M907" s="154">
        <f t="shared" si="81"/>
        <v>0</v>
      </c>
      <c r="N907" s="155">
        <f>+IF(OR($Q907=Parametres!$G$2,$Q907=Parametres!$G$3),I907,C907)</f>
        <v>0</v>
      </c>
      <c r="O907" s="1108">
        <f>+IF(OR($Q907=Parametres!$G$2,$Q907=Parametres!$G$3),J907,D907)</f>
        <v>0</v>
      </c>
      <c r="P907" s="155">
        <f>+IF(OR($Q907=Parametres!$G$2,$Q907=Parametres!$G$3),K907,E907)</f>
        <v>0</v>
      </c>
      <c r="Q907" s="154">
        <f t="shared" si="82"/>
        <v>0</v>
      </c>
      <c r="R907" s="153">
        <f t="shared" si="83"/>
        <v>0</v>
      </c>
      <c r="S907" s="154">
        <f t="shared" si="8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hidden="1" customHeight="1">
      <c r="A908" s="1170"/>
      <c r="B908" s="1184"/>
      <c r="C908" s="1185"/>
      <c r="D908" s="1170"/>
      <c r="E908" s="1170"/>
      <c r="F908" s="1170"/>
      <c r="G908" s="1170"/>
      <c r="H908" s="1170"/>
      <c r="I908" s="1170"/>
      <c r="J908" s="1170"/>
      <c r="K908" s="1170"/>
      <c r="L908" s="153">
        <f t="shared" si="80"/>
        <v>0</v>
      </c>
      <c r="M908" s="154">
        <f t="shared" si="81"/>
        <v>0</v>
      </c>
      <c r="N908" s="155">
        <f>+IF(OR($Q908=Parametres!$G$2,$Q908=Parametres!$G$3),I908,C908)</f>
        <v>0</v>
      </c>
      <c r="O908" s="1108">
        <f>+IF(OR($Q908=Parametres!$G$2,$Q908=Parametres!$G$3),J908,D908)</f>
        <v>0</v>
      </c>
      <c r="P908" s="155">
        <f>+IF(OR($Q908=Parametres!$G$2,$Q908=Parametres!$G$3),K908,E908)</f>
        <v>0</v>
      </c>
      <c r="Q908" s="154">
        <f t="shared" si="82"/>
        <v>0</v>
      </c>
      <c r="R908" s="153">
        <f t="shared" si="83"/>
        <v>0</v>
      </c>
      <c r="S908" s="154">
        <f t="shared" si="8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hidden="1" customHeight="1">
      <c r="A909" s="1170"/>
      <c r="B909" s="1184"/>
      <c r="C909" s="1185"/>
      <c r="D909" s="1170"/>
      <c r="E909" s="1170"/>
      <c r="F909" s="1170"/>
      <c r="G909" s="1170"/>
      <c r="H909" s="1170"/>
      <c r="I909" s="1170"/>
      <c r="J909" s="1170"/>
      <c r="K909" s="1170"/>
      <c r="L909" s="153">
        <f t="shared" si="80"/>
        <v>0</v>
      </c>
      <c r="M909" s="154">
        <f t="shared" si="81"/>
        <v>0</v>
      </c>
      <c r="N909" s="155">
        <f>+IF(OR($Q909=Parametres!$G$2,$Q909=Parametres!$G$3),I909,C909)</f>
        <v>0</v>
      </c>
      <c r="O909" s="1108">
        <f>+IF(OR($Q909=Parametres!$G$2,$Q909=Parametres!$G$3),J909,D909)</f>
        <v>0</v>
      </c>
      <c r="P909" s="155">
        <f>+IF(OR($Q909=Parametres!$G$2,$Q909=Parametres!$G$3),K909,E909)</f>
        <v>0</v>
      </c>
      <c r="Q909" s="154">
        <f t="shared" si="82"/>
        <v>0</v>
      </c>
      <c r="R909" s="153">
        <f t="shared" si="83"/>
        <v>0</v>
      </c>
      <c r="S909" s="154">
        <f t="shared" si="8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hidden="1" customHeight="1">
      <c r="A910" s="1170"/>
      <c r="B910" s="1184"/>
      <c r="C910" s="1185"/>
      <c r="D910" s="1170"/>
      <c r="E910" s="1170"/>
      <c r="F910" s="1170"/>
      <c r="G910" s="1170"/>
      <c r="H910" s="1170"/>
      <c r="I910" s="1170"/>
      <c r="J910" s="1170"/>
      <c r="K910" s="1170"/>
      <c r="L910" s="153">
        <f t="shared" si="80"/>
        <v>0</v>
      </c>
      <c r="M910" s="154">
        <f t="shared" si="81"/>
        <v>0</v>
      </c>
      <c r="N910" s="155">
        <f>+IF(OR($Q910=Parametres!$G$2,$Q910=Parametres!$G$3),I910,C910)</f>
        <v>0</v>
      </c>
      <c r="O910" s="1108">
        <f>+IF(OR($Q910=Parametres!$G$2,$Q910=Parametres!$G$3),J910,D910)</f>
        <v>0</v>
      </c>
      <c r="P910" s="155">
        <f>+IF(OR($Q910=Parametres!$G$2,$Q910=Parametres!$G$3),K910,E910)</f>
        <v>0</v>
      </c>
      <c r="Q910" s="154">
        <f t="shared" si="82"/>
        <v>0</v>
      </c>
      <c r="R910" s="153">
        <f t="shared" si="83"/>
        <v>0</v>
      </c>
      <c r="S910" s="154">
        <f t="shared" si="8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hidden="1" customHeight="1">
      <c r="A911" s="1170"/>
      <c r="B911" s="1184"/>
      <c r="C911" s="1185"/>
      <c r="D911" s="1170"/>
      <c r="E911" s="1170"/>
      <c r="F911" s="1170"/>
      <c r="G911" s="1170"/>
      <c r="H911" s="1170"/>
      <c r="I911" s="1170"/>
      <c r="J911" s="1170"/>
      <c r="K911" s="1170"/>
      <c r="L911" s="153">
        <f t="shared" si="80"/>
        <v>0</v>
      </c>
      <c r="M911" s="154">
        <f t="shared" si="81"/>
        <v>0</v>
      </c>
      <c r="N911" s="155">
        <f>+IF(OR($Q911=Parametres!$G$2,$Q911=Parametres!$G$3),I911,C911)</f>
        <v>0</v>
      </c>
      <c r="O911" s="1108">
        <f>+IF(OR($Q911=Parametres!$G$2,$Q911=Parametres!$G$3),J911,D911)</f>
        <v>0</v>
      </c>
      <c r="P911" s="155">
        <f>+IF(OR($Q911=Parametres!$G$2,$Q911=Parametres!$G$3),K911,E911)</f>
        <v>0</v>
      </c>
      <c r="Q911" s="154">
        <f t="shared" si="82"/>
        <v>0</v>
      </c>
      <c r="R911" s="153">
        <f t="shared" si="83"/>
        <v>0</v>
      </c>
      <c r="S911" s="154">
        <f t="shared" si="8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hidden="1" customHeight="1">
      <c r="A912" s="1170"/>
      <c r="B912" s="1184"/>
      <c r="C912" s="1185"/>
      <c r="D912" s="1170"/>
      <c r="E912" s="1170"/>
      <c r="F912" s="1170"/>
      <c r="G912" s="1170"/>
      <c r="H912" s="1170"/>
      <c r="I912" s="1170"/>
      <c r="J912" s="1170"/>
      <c r="K912" s="1170"/>
      <c r="L912" s="153">
        <f t="shared" si="80"/>
        <v>0</v>
      </c>
      <c r="M912" s="154">
        <f t="shared" si="81"/>
        <v>0</v>
      </c>
      <c r="N912" s="155">
        <f>+IF(OR($Q912=Parametres!$G$2,$Q912=Parametres!$G$3),I912,C912)</f>
        <v>0</v>
      </c>
      <c r="O912" s="1108">
        <f>+IF(OR($Q912=Parametres!$G$2,$Q912=Parametres!$G$3),J912,D912)</f>
        <v>0</v>
      </c>
      <c r="P912" s="155">
        <f>+IF(OR($Q912=Parametres!$G$2,$Q912=Parametres!$G$3),K912,E912)</f>
        <v>0</v>
      </c>
      <c r="Q912" s="154">
        <f t="shared" si="82"/>
        <v>0</v>
      </c>
      <c r="R912" s="153">
        <f t="shared" si="83"/>
        <v>0</v>
      </c>
      <c r="S912" s="154">
        <f t="shared" si="8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hidden="1" customHeight="1">
      <c r="A913" s="1170"/>
      <c r="B913" s="1184"/>
      <c r="C913" s="1185"/>
      <c r="D913" s="1170"/>
      <c r="E913" s="1170"/>
      <c r="F913" s="1170"/>
      <c r="G913" s="1170"/>
      <c r="H913" s="1170"/>
      <c r="I913" s="1170"/>
      <c r="J913" s="1170"/>
      <c r="K913" s="1170"/>
      <c r="L913" s="153">
        <f t="shared" si="80"/>
        <v>0</v>
      </c>
      <c r="M913" s="154">
        <f t="shared" si="81"/>
        <v>0</v>
      </c>
      <c r="N913" s="155">
        <f>+IF(OR($Q913=Parametres!$G$2,$Q913=Parametres!$G$3),I913,C913)</f>
        <v>0</v>
      </c>
      <c r="O913" s="1108">
        <f>+IF(OR($Q913=Parametres!$G$2,$Q913=Parametres!$G$3),J913,D913)</f>
        <v>0</v>
      </c>
      <c r="P913" s="155">
        <f>+IF(OR($Q913=Parametres!$G$2,$Q913=Parametres!$G$3),K913,E913)</f>
        <v>0</v>
      </c>
      <c r="Q913" s="154">
        <f t="shared" si="82"/>
        <v>0</v>
      </c>
      <c r="R913" s="153">
        <f t="shared" si="83"/>
        <v>0</v>
      </c>
      <c r="S913" s="154">
        <f t="shared" si="8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hidden="1" customHeight="1">
      <c r="A914" s="1170"/>
      <c r="B914" s="1184"/>
      <c r="C914" s="1185"/>
      <c r="D914" s="1170"/>
      <c r="E914" s="1170"/>
      <c r="F914" s="1170"/>
      <c r="G914" s="1170"/>
      <c r="H914" s="1170"/>
      <c r="I914" s="1170"/>
      <c r="J914" s="1170"/>
      <c r="K914" s="1170"/>
      <c r="L914" s="153">
        <f t="shared" si="80"/>
        <v>0</v>
      </c>
      <c r="M914" s="154">
        <f t="shared" si="81"/>
        <v>0</v>
      </c>
      <c r="N914" s="155">
        <f>+IF(OR($Q914=Parametres!$G$2,$Q914=Parametres!$G$3),I914,C914)</f>
        <v>0</v>
      </c>
      <c r="O914" s="1108">
        <f>+IF(OR($Q914=Parametres!$G$2,$Q914=Parametres!$G$3),J914,D914)</f>
        <v>0</v>
      </c>
      <c r="P914" s="155">
        <f>+IF(OR($Q914=Parametres!$G$2,$Q914=Parametres!$G$3),K914,E914)</f>
        <v>0</v>
      </c>
      <c r="Q914" s="154">
        <f t="shared" si="82"/>
        <v>0</v>
      </c>
      <c r="R914" s="153">
        <f t="shared" si="83"/>
        <v>0</v>
      </c>
      <c r="S914" s="154">
        <f t="shared" si="8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hidden="1" customHeight="1">
      <c r="A915" s="1170"/>
      <c r="B915" s="1184"/>
      <c r="C915" s="1185"/>
      <c r="D915" s="1170"/>
      <c r="E915" s="1170"/>
      <c r="F915" s="1170"/>
      <c r="G915" s="1170"/>
      <c r="H915" s="1170"/>
      <c r="I915" s="1170"/>
      <c r="J915" s="1170"/>
      <c r="K915" s="1170"/>
      <c r="L915" s="153">
        <f t="shared" si="80"/>
        <v>0</v>
      </c>
      <c r="M915" s="154">
        <f t="shared" si="81"/>
        <v>0</v>
      </c>
      <c r="N915" s="155">
        <f>+IF(OR($Q915=Parametres!$G$2,$Q915=Parametres!$G$3),I915,C915)</f>
        <v>0</v>
      </c>
      <c r="O915" s="1108">
        <f>+IF(OR($Q915=Parametres!$G$2,$Q915=Parametres!$G$3),J915,D915)</f>
        <v>0</v>
      </c>
      <c r="P915" s="155">
        <f>+IF(OR($Q915=Parametres!$G$2,$Q915=Parametres!$G$3),K915,E915)</f>
        <v>0</v>
      </c>
      <c r="Q915" s="154">
        <f t="shared" si="82"/>
        <v>0</v>
      </c>
      <c r="R915" s="153">
        <f t="shared" si="83"/>
        <v>0</v>
      </c>
      <c r="S915" s="154">
        <f t="shared" si="8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hidden="1" customHeight="1">
      <c r="A916" s="1170"/>
      <c r="B916" s="1184"/>
      <c r="C916" s="1185"/>
      <c r="D916" s="1170"/>
      <c r="E916" s="1170"/>
      <c r="F916" s="1170"/>
      <c r="G916" s="1170"/>
      <c r="H916" s="1170"/>
      <c r="I916" s="1170"/>
      <c r="J916" s="1170"/>
      <c r="K916" s="1170"/>
      <c r="L916" s="153">
        <f t="shared" si="80"/>
        <v>0</v>
      </c>
      <c r="M916" s="154">
        <f t="shared" si="81"/>
        <v>0</v>
      </c>
      <c r="N916" s="155">
        <f>+IF(OR($Q916=Parametres!$G$2,$Q916=Parametres!$G$3),I916,C916)</f>
        <v>0</v>
      </c>
      <c r="O916" s="1108">
        <f>+IF(OR($Q916=Parametres!$G$2,$Q916=Parametres!$G$3),J916,D916)</f>
        <v>0</v>
      </c>
      <c r="P916" s="155">
        <f>+IF(OR($Q916=Parametres!$G$2,$Q916=Parametres!$G$3),K916,E916)</f>
        <v>0</v>
      </c>
      <c r="Q916" s="154">
        <f t="shared" si="82"/>
        <v>0</v>
      </c>
      <c r="R916" s="153">
        <f t="shared" si="83"/>
        <v>0</v>
      </c>
      <c r="S916" s="154">
        <f t="shared" si="8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hidden="1" customHeight="1">
      <c r="A917" s="1170"/>
      <c r="B917" s="1184"/>
      <c r="C917" s="1185"/>
      <c r="D917" s="1170"/>
      <c r="E917" s="1170"/>
      <c r="F917" s="1170"/>
      <c r="G917" s="1170"/>
      <c r="H917" s="1170"/>
      <c r="I917" s="1170"/>
      <c r="J917" s="1170"/>
      <c r="K917" s="1170"/>
      <c r="L917" s="153">
        <f t="shared" si="80"/>
        <v>0</v>
      </c>
      <c r="M917" s="154">
        <f t="shared" si="81"/>
        <v>0</v>
      </c>
      <c r="N917" s="155">
        <f>+IF(OR($Q917=Parametres!$G$2,$Q917=Parametres!$G$3),I917,C917)</f>
        <v>0</v>
      </c>
      <c r="O917" s="1108">
        <f>+IF(OR($Q917=Parametres!$G$2,$Q917=Parametres!$G$3),J917,D917)</f>
        <v>0</v>
      </c>
      <c r="P917" s="155">
        <f>+IF(OR($Q917=Parametres!$G$2,$Q917=Parametres!$G$3),K917,E917)</f>
        <v>0</v>
      </c>
      <c r="Q917" s="154">
        <f t="shared" si="82"/>
        <v>0</v>
      </c>
      <c r="R917" s="153">
        <f t="shared" si="83"/>
        <v>0</v>
      </c>
      <c r="S917" s="154">
        <f t="shared" si="8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hidden="1" customHeight="1">
      <c r="A918" s="1170"/>
      <c r="B918" s="1184"/>
      <c r="C918" s="1185"/>
      <c r="D918" s="1170"/>
      <c r="E918" s="1170"/>
      <c r="F918" s="1170"/>
      <c r="G918" s="1170"/>
      <c r="H918" s="1170"/>
      <c r="I918" s="1170"/>
      <c r="J918" s="1170"/>
      <c r="K918" s="1170"/>
      <c r="L918" s="153">
        <f t="shared" si="80"/>
        <v>0</v>
      </c>
      <c r="M918" s="154">
        <f t="shared" si="81"/>
        <v>0</v>
      </c>
      <c r="N918" s="155">
        <f>+IF(OR($Q918=Parametres!$G$2,$Q918=Parametres!$G$3),I918,C918)</f>
        <v>0</v>
      </c>
      <c r="O918" s="1108">
        <f>+IF(OR($Q918=Parametres!$G$2,$Q918=Parametres!$G$3),J918,D918)</f>
        <v>0</v>
      </c>
      <c r="P918" s="155">
        <f>+IF(OR($Q918=Parametres!$G$2,$Q918=Parametres!$G$3),K918,E918)</f>
        <v>0</v>
      </c>
      <c r="Q918" s="154">
        <f t="shared" si="82"/>
        <v>0</v>
      </c>
      <c r="R918" s="153">
        <f t="shared" si="83"/>
        <v>0</v>
      </c>
      <c r="S918" s="154">
        <f t="shared" si="8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hidden="1" customHeight="1">
      <c r="A919" s="1170"/>
      <c r="B919" s="1184"/>
      <c r="C919" s="1185"/>
      <c r="D919" s="1170"/>
      <c r="E919" s="1170"/>
      <c r="F919" s="1170"/>
      <c r="G919" s="1170"/>
      <c r="H919" s="1170"/>
      <c r="I919" s="1170"/>
      <c r="J919" s="1170"/>
      <c r="K919" s="1170"/>
      <c r="L919" s="153">
        <f t="shared" si="80"/>
        <v>0</v>
      </c>
      <c r="M919" s="154">
        <f t="shared" si="81"/>
        <v>0</v>
      </c>
      <c r="N919" s="155">
        <f>+IF(OR($Q919=Parametres!$G$2,$Q919=Parametres!$G$3),I919,C919)</f>
        <v>0</v>
      </c>
      <c r="O919" s="1108">
        <f>+IF(OR($Q919=Parametres!$G$2,$Q919=Parametres!$G$3),J919,D919)</f>
        <v>0</v>
      </c>
      <c r="P919" s="155">
        <f>+IF(OR($Q919=Parametres!$G$2,$Q919=Parametres!$G$3),K919,E919)</f>
        <v>0</v>
      </c>
      <c r="Q919" s="154">
        <f t="shared" si="82"/>
        <v>0</v>
      </c>
      <c r="R919" s="153">
        <f t="shared" si="83"/>
        <v>0</v>
      </c>
      <c r="S919" s="154">
        <f t="shared" si="8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hidden="1" customHeight="1">
      <c r="A920" s="1170"/>
      <c r="B920" s="1184"/>
      <c r="C920" s="1185"/>
      <c r="D920" s="1170"/>
      <c r="E920" s="1170"/>
      <c r="F920" s="1170"/>
      <c r="G920" s="1170"/>
      <c r="H920" s="1170"/>
      <c r="I920" s="1170"/>
      <c r="J920" s="1170"/>
      <c r="K920" s="1170"/>
      <c r="L920" s="153">
        <f t="shared" si="80"/>
        <v>0</v>
      </c>
      <c r="M920" s="154">
        <f t="shared" si="81"/>
        <v>0</v>
      </c>
      <c r="N920" s="155">
        <f>+IF(OR($Q920=Parametres!$G$2,$Q920=Parametres!$G$3),I920,C920)</f>
        <v>0</v>
      </c>
      <c r="O920" s="1108">
        <f>+IF(OR($Q920=Parametres!$G$2,$Q920=Parametres!$G$3),J920,D920)</f>
        <v>0</v>
      </c>
      <c r="P920" s="155">
        <f>+IF(OR($Q920=Parametres!$G$2,$Q920=Parametres!$G$3),K920,E920)</f>
        <v>0</v>
      </c>
      <c r="Q920" s="154">
        <f t="shared" si="82"/>
        <v>0</v>
      </c>
      <c r="R920" s="153">
        <f t="shared" si="83"/>
        <v>0</v>
      </c>
      <c r="S920" s="154">
        <f t="shared" si="8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hidden="1" customHeight="1">
      <c r="A921" s="1170"/>
      <c r="B921" s="1184"/>
      <c r="C921" s="1185"/>
      <c r="D921" s="1170"/>
      <c r="E921" s="1170"/>
      <c r="F921" s="1170"/>
      <c r="G921" s="1170"/>
      <c r="H921" s="1170"/>
      <c r="I921" s="1170"/>
      <c r="J921" s="1170"/>
      <c r="K921" s="1170"/>
      <c r="L921" s="153">
        <f t="shared" si="80"/>
        <v>0</v>
      </c>
      <c r="M921" s="154">
        <f t="shared" si="81"/>
        <v>0</v>
      </c>
      <c r="N921" s="155">
        <f>+IF(OR($Q921=Parametres!$G$2,$Q921=Parametres!$G$3),I921,C921)</f>
        <v>0</v>
      </c>
      <c r="O921" s="1108">
        <f>+IF(OR($Q921=Parametres!$G$2,$Q921=Parametres!$G$3),J921,D921)</f>
        <v>0</v>
      </c>
      <c r="P921" s="155">
        <f>+IF(OR($Q921=Parametres!$G$2,$Q921=Parametres!$G$3),K921,E921)</f>
        <v>0</v>
      </c>
      <c r="Q921" s="154">
        <f t="shared" si="82"/>
        <v>0</v>
      </c>
      <c r="R921" s="153">
        <f t="shared" si="83"/>
        <v>0</v>
      </c>
      <c r="S921" s="154">
        <f t="shared" si="8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hidden="1" customHeight="1">
      <c r="A922" s="1170"/>
      <c r="B922" s="1184"/>
      <c r="C922" s="1185"/>
      <c r="D922" s="1170"/>
      <c r="E922" s="1170"/>
      <c r="F922" s="1170"/>
      <c r="G922" s="1170"/>
      <c r="H922" s="1170"/>
      <c r="I922" s="1170"/>
      <c r="J922" s="1170"/>
      <c r="K922" s="1170"/>
      <c r="L922" s="153">
        <f t="shared" si="80"/>
        <v>0</v>
      </c>
      <c r="M922" s="154">
        <f t="shared" si="81"/>
        <v>0</v>
      </c>
      <c r="N922" s="155">
        <f>+IF(OR($Q922=Parametres!$G$2,$Q922=Parametres!$G$3),I922,C922)</f>
        <v>0</v>
      </c>
      <c r="O922" s="1108">
        <f>+IF(OR($Q922=Parametres!$G$2,$Q922=Parametres!$G$3),J922,D922)</f>
        <v>0</v>
      </c>
      <c r="P922" s="155">
        <f>+IF(OR($Q922=Parametres!$G$2,$Q922=Parametres!$G$3),K922,E922)</f>
        <v>0</v>
      </c>
      <c r="Q922" s="154">
        <f t="shared" si="82"/>
        <v>0</v>
      </c>
      <c r="R922" s="153">
        <f t="shared" si="83"/>
        <v>0</v>
      </c>
      <c r="S922" s="154">
        <f t="shared" si="8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hidden="1" customHeight="1">
      <c r="A923" s="1170"/>
      <c r="B923" s="1184"/>
      <c r="C923" s="1185"/>
      <c r="D923" s="1170"/>
      <c r="E923" s="1170"/>
      <c r="F923" s="1170"/>
      <c r="G923" s="1170"/>
      <c r="H923" s="1170"/>
      <c r="I923" s="1170"/>
      <c r="J923" s="1170"/>
      <c r="K923" s="1170"/>
      <c r="L923" s="153">
        <f t="shared" si="80"/>
        <v>0</v>
      </c>
      <c r="M923" s="154">
        <f t="shared" si="81"/>
        <v>0</v>
      </c>
      <c r="N923" s="155">
        <f>+IF(OR($Q923=Parametres!$G$2,$Q923=Parametres!$G$3),I923,C923)</f>
        <v>0</v>
      </c>
      <c r="O923" s="1108">
        <f>+IF(OR($Q923=Parametres!$G$2,$Q923=Parametres!$G$3),J923,D923)</f>
        <v>0</v>
      </c>
      <c r="P923" s="155">
        <f>+IF(OR($Q923=Parametres!$G$2,$Q923=Parametres!$G$3),K923,E923)</f>
        <v>0</v>
      </c>
      <c r="Q923" s="154">
        <f t="shared" si="82"/>
        <v>0</v>
      </c>
      <c r="R923" s="153">
        <f t="shared" si="83"/>
        <v>0</v>
      </c>
      <c r="S923" s="154">
        <f t="shared" si="8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hidden="1" customHeight="1">
      <c r="A924" s="1170"/>
      <c r="B924" s="1184"/>
      <c r="C924" s="1185"/>
      <c r="D924" s="1170"/>
      <c r="E924" s="1170"/>
      <c r="F924" s="1170"/>
      <c r="G924" s="1170"/>
      <c r="H924" s="1170"/>
      <c r="I924" s="1170"/>
      <c r="J924" s="1170"/>
      <c r="K924" s="1170"/>
      <c r="L924" s="153">
        <f t="shared" si="80"/>
        <v>0</v>
      </c>
      <c r="M924" s="154">
        <f t="shared" si="81"/>
        <v>0</v>
      </c>
      <c r="N924" s="155">
        <f>+IF(OR($Q924=Parametres!$G$2,$Q924=Parametres!$G$3),I924,C924)</f>
        <v>0</v>
      </c>
      <c r="O924" s="1108">
        <f>+IF(OR($Q924=Parametres!$G$2,$Q924=Parametres!$G$3),J924,D924)</f>
        <v>0</v>
      </c>
      <c r="P924" s="155">
        <f>+IF(OR($Q924=Parametres!$G$2,$Q924=Parametres!$G$3),K924,E924)</f>
        <v>0</v>
      </c>
      <c r="Q924" s="154">
        <f t="shared" si="82"/>
        <v>0</v>
      </c>
      <c r="R924" s="153">
        <f t="shared" si="83"/>
        <v>0</v>
      </c>
      <c r="S924" s="154">
        <f t="shared" si="8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hidden="1" customHeight="1">
      <c r="A925" s="1170"/>
      <c r="B925" s="1184"/>
      <c r="C925" s="1185"/>
      <c r="D925" s="1170"/>
      <c r="E925" s="1170"/>
      <c r="F925" s="1170"/>
      <c r="G925" s="1170"/>
      <c r="H925" s="1170"/>
      <c r="I925" s="1170"/>
      <c r="J925" s="1170"/>
      <c r="K925" s="1170"/>
      <c r="L925" s="153">
        <f t="shared" si="80"/>
        <v>0</v>
      </c>
      <c r="M925" s="154">
        <f t="shared" si="81"/>
        <v>0</v>
      </c>
      <c r="N925" s="155">
        <f>+IF(OR($Q925=Parametres!$G$2,$Q925=Parametres!$G$3),I925,C925)</f>
        <v>0</v>
      </c>
      <c r="O925" s="1108">
        <f>+IF(OR($Q925=Parametres!$G$2,$Q925=Parametres!$G$3),J925,D925)</f>
        <v>0</v>
      </c>
      <c r="P925" s="155">
        <f>+IF(OR($Q925=Parametres!$G$2,$Q925=Parametres!$G$3),K925,E925)</f>
        <v>0</v>
      </c>
      <c r="Q925" s="154">
        <f t="shared" si="82"/>
        <v>0</v>
      </c>
      <c r="R925" s="153">
        <f t="shared" si="83"/>
        <v>0</v>
      </c>
      <c r="S925" s="154">
        <f t="shared" si="8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hidden="1" customHeight="1">
      <c r="A926" s="1170"/>
      <c r="B926" s="1184"/>
      <c r="C926" s="1185"/>
      <c r="D926" s="1170"/>
      <c r="E926" s="1170"/>
      <c r="F926" s="1170"/>
      <c r="G926" s="1170"/>
      <c r="H926" s="1170"/>
      <c r="I926" s="1170"/>
      <c r="J926" s="1170"/>
      <c r="K926" s="1170"/>
      <c r="L926" s="153">
        <f t="shared" si="80"/>
        <v>0</v>
      </c>
      <c r="M926" s="154">
        <f t="shared" si="81"/>
        <v>0</v>
      </c>
      <c r="N926" s="155">
        <f>+IF(OR($Q926=Parametres!$G$2,$Q926=Parametres!$G$3),I926,C926)</f>
        <v>0</v>
      </c>
      <c r="O926" s="1108">
        <f>+IF(OR($Q926=Parametres!$G$2,$Q926=Parametres!$G$3),J926,D926)</f>
        <v>0</v>
      </c>
      <c r="P926" s="155">
        <f>+IF(OR($Q926=Parametres!$G$2,$Q926=Parametres!$G$3),K926,E926)</f>
        <v>0</v>
      </c>
      <c r="Q926" s="154">
        <f t="shared" si="82"/>
        <v>0</v>
      </c>
      <c r="R926" s="153">
        <f t="shared" si="83"/>
        <v>0</v>
      </c>
      <c r="S926" s="154">
        <f t="shared" si="8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hidden="1" customHeight="1">
      <c r="A927" s="1170"/>
      <c r="B927" s="1184"/>
      <c r="C927" s="1185"/>
      <c r="D927" s="1170"/>
      <c r="E927" s="1170"/>
      <c r="F927" s="1170"/>
      <c r="G927" s="1170"/>
      <c r="H927" s="1170"/>
      <c r="I927" s="1170"/>
      <c r="J927" s="1170"/>
      <c r="K927" s="1170"/>
      <c r="L927" s="153">
        <f t="shared" si="80"/>
        <v>0</v>
      </c>
      <c r="M927" s="154">
        <f t="shared" si="81"/>
        <v>0</v>
      </c>
      <c r="N927" s="155">
        <f>+IF(OR($Q927=Parametres!$G$2,$Q927=Parametres!$G$3),I927,C927)</f>
        <v>0</v>
      </c>
      <c r="O927" s="1108">
        <f>+IF(OR($Q927=Parametres!$G$2,$Q927=Parametres!$G$3),J927,D927)</f>
        <v>0</v>
      </c>
      <c r="P927" s="155">
        <f>+IF(OR($Q927=Parametres!$G$2,$Q927=Parametres!$G$3),K927,E927)</f>
        <v>0</v>
      </c>
      <c r="Q927" s="154">
        <f t="shared" si="82"/>
        <v>0</v>
      </c>
      <c r="R927" s="153">
        <f t="shared" si="83"/>
        <v>0</v>
      </c>
      <c r="S927" s="154">
        <f t="shared" si="8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hidden="1" customHeight="1">
      <c r="A928" s="1170"/>
      <c r="B928" s="1184"/>
      <c r="C928" s="1185"/>
      <c r="D928" s="1170"/>
      <c r="E928" s="1170"/>
      <c r="F928" s="1170"/>
      <c r="G928" s="1170"/>
      <c r="H928" s="1170"/>
      <c r="I928" s="1170"/>
      <c r="J928" s="1170"/>
      <c r="K928" s="1170"/>
      <c r="L928" s="153">
        <f t="shared" si="80"/>
        <v>0</v>
      </c>
      <c r="M928" s="154">
        <f t="shared" si="81"/>
        <v>0</v>
      </c>
      <c r="N928" s="155">
        <f>+IF(OR($Q928=Parametres!$G$2,$Q928=Parametres!$G$3),I928,C928)</f>
        <v>0</v>
      </c>
      <c r="O928" s="1108">
        <f>+IF(OR($Q928=Parametres!$G$2,$Q928=Parametres!$G$3),J928,D928)</f>
        <v>0</v>
      </c>
      <c r="P928" s="155">
        <f>+IF(OR($Q928=Parametres!$G$2,$Q928=Parametres!$G$3),K928,E928)</f>
        <v>0</v>
      </c>
      <c r="Q928" s="154">
        <f t="shared" si="82"/>
        <v>0</v>
      </c>
      <c r="R928" s="153">
        <f t="shared" si="83"/>
        <v>0</v>
      </c>
      <c r="S928" s="154">
        <f t="shared" si="8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hidden="1" customHeight="1">
      <c r="A929" s="1170"/>
      <c r="B929" s="1184"/>
      <c r="C929" s="1185"/>
      <c r="D929" s="1170"/>
      <c r="E929" s="1170"/>
      <c r="F929" s="1170"/>
      <c r="G929" s="1170"/>
      <c r="H929" s="1170"/>
      <c r="I929" s="1170"/>
      <c r="J929" s="1170"/>
      <c r="K929" s="1170"/>
      <c r="L929" s="153">
        <f t="shared" si="80"/>
        <v>0</v>
      </c>
      <c r="M929" s="154">
        <f t="shared" si="81"/>
        <v>0</v>
      </c>
      <c r="N929" s="155">
        <f>+IF(OR($Q929=Parametres!$G$2,$Q929=Parametres!$G$3),I929,C929)</f>
        <v>0</v>
      </c>
      <c r="O929" s="1108">
        <f>+IF(OR($Q929=Parametres!$G$2,$Q929=Parametres!$G$3),J929,D929)</f>
        <v>0</v>
      </c>
      <c r="P929" s="155">
        <f>+IF(OR($Q929=Parametres!$G$2,$Q929=Parametres!$G$3),K929,E929)</f>
        <v>0</v>
      </c>
      <c r="Q929" s="154">
        <f t="shared" si="82"/>
        <v>0</v>
      </c>
      <c r="R929" s="153">
        <f t="shared" si="83"/>
        <v>0</v>
      </c>
      <c r="S929" s="154">
        <f t="shared" si="8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hidden="1" customHeight="1">
      <c r="A930" s="1170"/>
      <c r="B930" s="1184"/>
      <c r="C930" s="1185"/>
      <c r="D930" s="1170"/>
      <c r="E930" s="1170"/>
      <c r="F930" s="1170"/>
      <c r="G930" s="1170"/>
      <c r="H930" s="1170"/>
      <c r="I930" s="1170"/>
      <c r="J930" s="1170"/>
      <c r="K930" s="1170"/>
      <c r="L930" s="153">
        <f t="shared" si="80"/>
        <v>0</v>
      </c>
      <c r="M930" s="154">
        <f t="shared" si="81"/>
        <v>0</v>
      </c>
      <c r="N930" s="155">
        <f>+IF(OR($Q930=Parametres!$G$2,$Q930=Parametres!$G$3),I930,C930)</f>
        <v>0</v>
      </c>
      <c r="O930" s="1108">
        <f>+IF(OR($Q930=Parametres!$G$2,$Q930=Parametres!$G$3),J930,D930)</f>
        <v>0</v>
      </c>
      <c r="P930" s="155">
        <f>+IF(OR($Q930=Parametres!$G$2,$Q930=Parametres!$G$3),K930,E930)</f>
        <v>0</v>
      </c>
      <c r="Q930" s="154">
        <f t="shared" si="82"/>
        <v>0</v>
      </c>
      <c r="R930" s="153">
        <f t="shared" si="83"/>
        <v>0</v>
      </c>
      <c r="S930" s="154">
        <f t="shared" si="8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hidden="1" customHeight="1">
      <c r="A931" s="1170"/>
      <c r="B931" s="1184"/>
      <c r="C931" s="1185"/>
      <c r="D931" s="1170"/>
      <c r="E931" s="1170"/>
      <c r="F931" s="1170"/>
      <c r="G931" s="1170"/>
      <c r="H931" s="1170"/>
      <c r="I931" s="1170"/>
      <c r="J931" s="1170"/>
      <c r="K931" s="1170"/>
      <c r="L931" s="153">
        <f t="shared" si="80"/>
        <v>0</v>
      </c>
      <c r="M931" s="154">
        <f t="shared" si="81"/>
        <v>0</v>
      </c>
      <c r="N931" s="155">
        <f>+IF(OR($Q931=Parametres!$G$2,$Q931=Parametres!$G$3),I931,C931)</f>
        <v>0</v>
      </c>
      <c r="O931" s="1108">
        <f>+IF(OR($Q931=Parametres!$G$2,$Q931=Parametres!$G$3),J931,D931)</f>
        <v>0</v>
      </c>
      <c r="P931" s="155">
        <f>+IF(OR($Q931=Parametres!$G$2,$Q931=Parametres!$G$3),K931,E931)</f>
        <v>0</v>
      </c>
      <c r="Q931" s="154">
        <f t="shared" si="82"/>
        <v>0</v>
      </c>
      <c r="R931" s="153">
        <f t="shared" si="83"/>
        <v>0</v>
      </c>
      <c r="S931" s="154">
        <f t="shared" si="8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hidden="1" customHeight="1">
      <c r="A932" s="1170"/>
      <c r="B932" s="1184"/>
      <c r="C932" s="1185"/>
      <c r="D932" s="1170"/>
      <c r="E932" s="1170"/>
      <c r="F932" s="1170"/>
      <c r="G932" s="1170"/>
      <c r="H932" s="1170"/>
      <c r="I932" s="1170"/>
      <c r="J932" s="1170"/>
      <c r="K932" s="1170"/>
      <c r="L932" s="153">
        <f t="shared" si="80"/>
        <v>0</v>
      </c>
      <c r="M932" s="154">
        <f t="shared" si="81"/>
        <v>0</v>
      </c>
      <c r="N932" s="155">
        <f>+IF(OR($Q932=Parametres!$G$2,$Q932=Parametres!$G$3),I932,C932)</f>
        <v>0</v>
      </c>
      <c r="O932" s="1108">
        <f>+IF(OR($Q932=Parametres!$G$2,$Q932=Parametres!$G$3),J932,D932)</f>
        <v>0</v>
      </c>
      <c r="P932" s="155">
        <f>+IF(OR($Q932=Parametres!$G$2,$Q932=Parametres!$G$3),K932,E932)</f>
        <v>0</v>
      </c>
      <c r="Q932" s="154">
        <f t="shared" si="82"/>
        <v>0</v>
      </c>
      <c r="R932" s="153">
        <f t="shared" si="83"/>
        <v>0</v>
      </c>
      <c r="S932" s="154">
        <f t="shared" si="8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hidden="1" customHeight="1">
      <c r="A933" s="1170"/>
      <c r="B933" s="1184"/>
      <c r="C933" s="1185"/>
      <c r="D933" s="1170"/>
      <c r="E933" s="1170"/>
      <c r="F933" s="1170"/>
      <c r="G933" s="1170"/>
      <c r="H933" s="1170"/>
      <c r="I933" s="1170"/>
      <c r="J933" s="1170"/>
      <c r="K933" s="1170"/>
      <c r="L933" s="153">
        <f t="shared" si="80"/>
        <v>0</v>
      </c>
      <c r="M933" s="154">
        <f t="shared" si="81"/>
        <v>0</v>
      </c>
      <c r="N933" s="155">
        <f>+IF(OR($Q933=Parametres!$G$2,$Q933=Parametres!$G$3),I933,C933)</f>
        <v>0</v>
      </c>
      <c r="O933" s="1108">
        <f>+IF(OR($Q933=Parametres!$G$2,$Q933=Parametres!$G$3),J933,D933)</f>
        <v>0</v>
      </c>
      <c r="P933" s="155">
        <f>+IF(OR($Q933=Parametres!$G$2,$Q933=Parametres!$G$3),K933,E933)</f>
        <v>0</v>
      </c>
      <c r="Q933" s="154">
        <f t="shared" si="82"/>
        <v>0</v>
      </c>
      <c r="R933" s="153">
        <f t="shared" si="83"/>
        <v>0</v>
      </c>
      <c r="S933" s="154">
        <f t="shared" si="8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hidden="1" customHeight="1">
      <c r="A934" s="1170"/>
      <c r="B934" s="1184"/>
      <c r="C934" s="1185"/>
      <c r="D934" s="1170"/>
      <c r="E934" s="1170"/>
      <c r="F934" s="1170"/>
      <c r="G934" s="1170"/>
      <c r="H934" s="1170"/>
      <c r="I934" s="1170"/>
      <c r="J934" s="1170"/>
      <c r="K934" s="1170"/>
      <c r="L934" s="153">
        <f t="shared" si="80"/>
        <v>0</v>
      </c>
      <c r="M934" s="154">
        <f t="shared" si="81"/>
        <v>0</v>
      </c>
      <c r="N934" s="155">
        <f>+IF(OR($Q934=Parametres!$G$2,$Q934=Parametres!$G$3),I934,C934)</f>
        <v>0</v>
      </c>
      <c r="O934" s="1108">
        <f>+IF(OR($Q934=Parametres!$G$2,$Q934=Parametres!$G$3),J934,D934)</f>
        <v>0</v>
      </c>
      <c r="P934" s="155">
        <f>+IF(OR($Q934=Parametres!$G$2,$Q934=Parametres!$G$3),K934,E934)</f>
        <v>0</v>
      </c>
      <c r="Q934" s="154">
        <f t="shared" si="82"/>
        <v>0</v>
      </c>
      <c r="R934" s="153">
        <f t="shared" si="83"/>
        <v>0</v>
      </c>
      <c r="S934" s="154">
        <f t="shared" si="8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hidden="1" customHeight="1">
      <c r="A935" s="1170"/>
      <c r="B935" s="1184"/>
      <c r="C935" s="1185"/>
      <c r="D935" s="1170"/>
      <c r="E935" s="1170"/>
      <c r="F935" s="1170"/>
      <c r="G935" s="1170"/>
      <c r="H935" s="1170"/>
      <c r="I935" s="1170"/>
      <c r="J935" s="1170"/>
      <c r="K935" s="1170"/>
      <c r="L935" s="153">
        <f t="shared" si="80"/>
        <v>0</v>
      </c>
      <c r="M935" s="154">
        <f t="shared" si="81"/>
        <v>0</v>
      </c>
      <c r="N935" s="155">
        <f>+IF(OR($Q935=Parametres!$G$2,$Q935=Parametres!$G$3),I935,C935)</f>
        <v>0</v>
      </c>
      <c r="O935" s="1108">
        <f>+IF(OR($Q935=Parametres!$G$2,$Q935=Parametres!$G$3),J935,D935)</f>
        <v>0</v>
      </c>
      <c r="P935" s="155">
        <f>+IF(OR($Q935=Parametres!$G$2,$Q935=Parametres!$G$3),K935,E935)</f>
        <v>0</v>
      </c>
      <c r="Q935" s="154">
        <f t="shared" si="82"/>
        <v>0</v>
      </c>
      <c r="R935" s="153">
        <f t="shared" si="83"/>
        <v>0</v>
      </c>
      <c r="S935" s="154">
        <f t="shared" si="8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hidden="1" customHeight="1">
      <c r="A936" s="1170"/>
      <c r="B936" s="1184"/>
      <c r="C936" s="1185"/>
      <c r="D936" s="1170"/>
      <c r="E936" s="1170"/>
      <c r="F936" s="1170"/>
      <c r="G936" s="1170"/>
      <c r="H936" s="1170"/>
      <c r="I936" s="1170"/>
      <c r="J936" s="1170"/>
      <c r="K936" s="1170"/>
      <c r="L936" s="153">
        <f t="shared" si="80"/>
        <v>0</v>
      </c>
      <c r="M936" s="154">
        <f t="shared" si="81"/>
        <v>0</v>
      </c>
      <c r="N936" s="155">
        <f>+IF(OR($Q936=Parametres!$G$2,$Q936=Parametres!$G$3),I936,C936)</f>
        <v>0</v>
      </c>
      <c r="O936" s="1108">
        <f>+IF(OR($Q936=Parametres!$G$2,$Q936=Parametres!$G$3),J936,D936)</f>
        <v>0</v>
      </c>
      <c r="P936" s="155">
        <f>+IF(OR($Q936=Parametres!$G$2,$Q936=Parametres!$G$3),K936,E936)</f>
        <v>0</v>
      </c>
      <c r="Q936" s="154">
        <f t="shared" si="82"/>
        <v>0</v>
      </c>
      <c r="R936" s="153">
        <f t="shared" si="83"/>
        <v>0</v>
      </c>
      <c r="S936" s="154">
        <f t="shared" si="8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hidden="1" customHeight="1">
      <c r="A937" s="1170"/>
      <c r="B937" s="1184"/>
      <c r="C937" s="1185"/>
      <c r="D937" s="1170"/>
      <c r="E937" s="1170"/>
      <c r="F937" s="1170"/>
      <c r="G937" s="1170"/>
      <c r="H937" s="1170"/>
      <c r="I937" s="1170"/>
      <c r="J937" s="1170"/>
      <c r="K937" s="1170"/>
      <c r="L937" s="153">
        <f t="shared" si="80"/>
        <v>0</v>
      </c>
      <c r="M937" s="154">
        <f t="shared" si="81"/>
        <v>0</v>
      </c>
      <c r="N937" s="155">
        <f>+IF(OR($Q937=Parametres!$G$2,$Q937=Parametres!$G$3),I937,C937)</f>
        <v>0</v>
      </c>
      <c r="O937" s="1108">
        <f>+IF(OR($Q937=Parametres!$G$2,$Q937=Parametres!$G$3),J937,D937)</f>
        <v>0</v>
      </c>
      <c r="P937" s="155">
        <f>+IF(OR($Q937=Parametres!$G$2,$Q937=Parametres!$G$3),K937,E937)</f>
        <v>0</v>
      </c>
      <c r="Q937" s="154">
        <f t="shared" si="82"/>
        <v>0</v>
      </c>
      <c r="R937" s="153">
        <f t="shared" si="83"/>
        <v>0</v>
      </c>
      <c r="S937" s="154">
        <f t="shared" si="8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hidden="1" customHeight="1">
      <c r="A938" s="1170"/>
      <c r="B938" s="1184"/>
      <c r="C938" s="1185"/>
      <c r="D938" s="1170"/>
      <c r="E938" s="1170"/>
      <c r="F938" s="1170"/>
      <c r="G938" s="1170"/>
      <c r="H938" s="1170"/>
      <c r="I938" s="1170"/>
      <c r="J938" s="1170"/>
      <c r="K938" s="1170"/>
      <c r="L938" s="153">
        <f t="shared" si="80"/>
        <v>0</v>
      </c>
      <c r="M938" s="154">
        <f t="shared" si="81"/>
        <v>0</v>
      </c>
      <c r="N938" s="155">
        <f>+IF(OR($Q938=Parametres!$G$2,$Q938=Parametres!$G$3),I938,C938)</f>
        <v>0</v>
      </c>
      <c r="O938" s="1108">
        <f>+IF(OR($Q938=Parametres!$G$2,$Q938=Parametres!$G$3),J938,D938)</f>
        <v>0</v>
      </c>
      <c r="P938" s="155">
        <f>+IF(OR($Q938=Parametres!$G$2,$Q938=Parametres!$G$3),K938,E938)</f>
        <v>0</v>
      </c>
      <c r="Q938" s="154">
        <f t="shared" si="82"/>
        <v>0</v>
      </c>
      <c r="R938" s="153">
        <f t="shared" si="83"/>
        <v>0</v>
      </c>
      <c r="S938" s="154">
        <f t="shared" si="8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hidden="1" customHeight="1">
      <c r="A939" s="1170"/>
      <c r="B939" s="1184"/>
      <c r="C939" s="1185"/>
      <c r="D939" s="1170"/>
      <c r="E939" s="1170"/>
      <c r="F939" s="1170"/>
      <c r="G939" s="1170"/>
      <c r="H939" s="1170"/>
      <c r="I939" s="1170"/>
      <c r="J939" s="1170"/>
      <c r="K939" s="1170"/>
      <c r="L939" s="153">
        <f t="shared" si="80"/>
        <v>0</v>
      </c>
      <c r="M939" s="154">
        <f t="shared" si="81"/>
        <v>0</v>
      </c>
      <c r="N939" s="155">
        <f>+IF(OR($Q939=Parametres!$G$2,$Q939=Parametres!$G$3),I939,C939)</f>
        <v>0</v>
      </c>
      <c r="O939" s="1108">
        <f>+IF(OR($Q939=Parametres!$G$2,$Q939=Parametres!$G$3),J939,D939)</f>
        <v>0</v>
      </c>
      <c r="P939" s="155">
        <f>+IF(OR($Q939=Parametres!$G$2,$Q939=Parametres!$G$3),K939,E939)</f>
        <v>0</v>
      </c>
      <c r="Q939" s="154">
        <f t="shared" si="82"/>
        <v>0</v>
      </c>
      <c r="R939" s="153">
        <f t="shared" si="83"/>
        <v>0</v>
      </c>
      <c r="S939" s="154">
        <f t="shared" si="8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hidden="1" customHeight="1">
      <c r="A940" s="1170"/>
      <c r="B940" s="1184"/>
      <c r="C940" s="1185"/>
      <c r="D940" s="1170"/>
      <c r="E940" s="1170"/>
      <c r="F940" s="1170"/>
      <c r="G940" s="1170"/>
      <c r="H940" s="1170"/>
      <c r="I940" s="1170"/>
      <c r="J940" s="1170"/>
      <c r="K940" s="1170"/>
      <c r="L940" s="153">
        <f t="shared" si="80"/>
        <v>0</v>
      </c>
      <c r="M940" s="154">
        <f t="shared" si="81"/>
        <v>0</v>
      </c>
      <c r="N940" s="155">
        <f>+IF(OR($Q940=Parametres!$G$2,$Q940=Parametres!$G$3),I940,C940)</f>
        <v>0</v>
      </c>
      <c r="O940" s="1108">
        <f>+IF(OR($Q940=Parametres!$G$2,$Q940=Parametres!$G$3),J940,D940)</f>
        <v>0</v>
      </c>
      <c r="P940" s="155">
        <f>+IF(OR($Q940=Parametres!$G$2,$Q940=Parametres!$G$3),K940,E940)</f>
        <v>0</v>
      </c>
      <c r="Q940" s="154">
        <f t="shared" si="82"/>
        <v>0</v>
      </c>
      <c r="R940" s="153">
        <f t="shared" si="83"/>
        <v>0</v>
      </c>
      <c r="S940" s="154">
        <f t="shared" si="8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hidden="1" customHeight="1">
      <c r="A941" s="1170"/>
      <c r="B941" s="1184"/>
      <c r="C941" s="1185"/>
      <c r="D941" s="1170"/>
      <c r="E941" s="1170"/>
      <c r="F941" s="1170"/>
      <c r="G941" s="1170"/>
      <c r="H941" s="1170"/>
      <c r="I941" s="1170"/>
      <c r="J941" s="1170"/>
      <c r="K941" s="1170"/>
      <c r="L941" s="153">
        <f t="shared" si="80"/>
        <v>0</v>
      </c>
      <c r="M941" s="154">
        <f t="shared" si="81"/>
        <v>0</v>
      </c>
      <c r="N941" s="155">
        <f>+IF(OR($Q941=Parametres!$G$2,$Q941=Parametres!$G$3),I941,C941)</f>
        <v>0</v>
      </c>
      <c r="O941" s="1108">
        <f>+IF(OR($Q941=Parametres!$G$2,$Q941=Parametres!$G$3),J941,D941)</f>
        <v>0</v>
      </c>
      <c r="P941" s="155">
        <f>+IF(OR($Q941=Parametres!$G$2,$Q941=Parametres!$G$3),K941,E941)</f>
        <v>0</v>
      </c>
      <c r="Q941" s="154">
        <f t="shared" si="82"/>
        <v>0</v>
      </c>
      <c r="R941" s="153">
        <f t="shared" si="83"/>
        <v>0</v>
      </c>
      <c r="S941" s="154">
        <f t="shared" si="8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hidden="1" customHeight="1">
      <c r="A942" s="1170"/>
      <c r="B942" s="1184"/>
      <c r="C942" s="1185"/>
      <c r="D942" s="1170"/>
      <c r="E942" s="1170"/>
      <c r="F942" s="1170"/>
      <c r="G942" s="1170"/>
      <c r="H942" s="1170"/>
      <c r="I942" s="1170"/>
      <c r="J942" s="1170"/>
      <c r="K942" s="1170"/>
      <c r="L942" s="153">
        <f t="shared" si="80"/>
        <v>0</v>
      </c>
      <c r="M942" s="154">
        <f t="shared" si="81"/>
        <v>0</v>
      </c>
      <c r="N942" s="155">
        <f>+IF(OR($Q942=Parametres!$G$2,$Q942=Parametres!$G$3),I942,C942)</f>
        <v>0</v>
      </c>
      <c r="O942" s="1108">
        <f>+IF(OR($Q942=Parametres!$G$2,$Q942=Parametres!$G$3),J942,D942)</f>
        <v>0</v>
      </c>
      <c r="P942" s="155">
        <f>+IF(OR($Q942=Parametres!$G$2,$Q942=Parametres!$G$3),K942,E942)</f>
        <v>0</v>
      </c>
      <c r="Q942" s="154">
        <f t="shared" si="82"/>
        <v>0</v>
      </c>
      <c r="R942" s="153">
        <f t="shared" si="83"/>
        <v>0</v>
      </c>
      <c r="S942" s="154">
        <f t="shared" si="8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hidden="1" customHeight="1">
      <c r="A943" s="1170"/>
      <c r="B943" s="1184"/>
      <c r="C943" s="1185"/>
      <c r="D943" s="1170"/>
      <c r="E943" s="1170"/>
      <c r="F943" s="1170"/>
      <c r="G943" s="1170"/>
      <c r="H943" s="1170"/>
      <c r="I943" s="1170"/>
      <c r="J943" s="1170"/>
      <c r="K943" s="1170"/>
      <c r="L943" s="153">
        <f t="shared" si="80"/>
        <v>0</v>
      </c>
      <c r="M943" s="154">
        <f t="shared" si="81"/>
        <v>0</v>
      </c>
      <c r="N943" s="155">
        <f>+IF(OR($Q943=Parametres!$G$2,$Q943=Parametres!$G$3),I943,C943)</f>
        <v>0</v>
      </c>
      <c r="O943" s="1108">
        <f>+IF(OR($Q943=Parametres!$G$2,$Q943=Parametres!$G$3),J943,D943)</f>
        <v>0</v>
      </c>
      <c r="P943" s="155">
        <f>+IF(OR($Q943=Parametres!$G$2,$Q943=Parametres!$G$3),K943,E943)</f>
        <v>0</v>
      </c>
      <c r="Q943" s="154">
        <f t="shared" si="82"/>
        <v>0</v>
      </c>
      <c r="R943" s="153">
        <f t="shared" si="83"/>
        <v>0</v>
      </c>
      <c r="S943" s="154">
        <f t="shared" si="8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hidden="1" customHeight="1">
      <c r="A944" s="1170"/>
      <c r="B944" s="1184"/>
      <c r="C944" s="1185"/>
      <c r="D944" s="1170"/>
      <c r="E944" s="1170"/>
      <c r="F944" s="1170"/>
      <c r="G944" s="1170"/>
      <c r="H944" s="1170"/>
      <c r="I944" s="1170"/>
      <c r="J944" s="1170"/>
      <c r="K944" s="1170"/>
      <c r="L944" s="153">
        <f t="shared" si="80"/>
        <v>0</v>
      </c>
      <c r="M944" s="154">
        <f t="shared" si="81"/>
        <v>0</v>
      </c>
      <c r="N944" s="155">
        <f>+IF(OR($Q944=Parametres!$G$2,$Q944=Parametres!$G$3),I944,C944)</f>
        <v>0</v>
      </c>
      <c r="O944" s="1108">
        <f>+IF(OR($Q944=Parametres!$G$2,$Q944=Parametres!$G$3),J944,D944)</f>
        <v>0</v>
      </c>
      <c r="P944" s="155">
        <f>+IF(OR($Q944=Parametres!$G$2,$Q944=Parametres!$G$3),K944,E944)</f>
        <v>0</v>
      </c>
      <c r="Q944" s="154">
        <f t="shared" si="82"/>
        <v>0</v>
      </c>
      <c r="R944" s="153">
        <f t="shared" si="83"/>
        <v>0</v>
      </c>
      <c r="S944" s="154">
        <f t="shared" si="8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hidden="1" customHeight="1">
      <c r="A945" s="1170"/>
      <c r="B945" s="1184"/>
      <c r="C945" s="1185"/>
      <c r="D945" s="1170"/>
      <c r="E945" s="1170"/>
      <c r="F945" s="1170"/>
      <c r="G945" s="1170"/>
      <c r="H945" s="1170"/>
      <c r="I945" s="1170"/>
      <c r="J945" s="1170"/>
      <c r="K945" s="1170"/>
      <c r="L945" s="153">
        <f t="shared" si="80"/>
        <v>0</v>
      </c>
      <c r="M945" s="154">
        <f t="shared" si="81"/>
        <v>0</v>
      </c>
      <c r="N945" s="155">
        <f>+IF(OR($Q945=Parametres!$G$2,$Q945=Parametres!$G$3),I945,C945)</f>
        <v>0</v>
      </c>
      <c r="O945" s="1108">
        <f>+IF(OR($Q945=Parametres!$G$2,$Q945=Parametres!$G$3),J945,D945)</f>
        <v>0</v>
      </c>
      <c r="P945" s="155">
        <f>+IF(OR($Q945=Parametres!$G$2,$Q945=Parametres!$G$3),K945,E945)</f>
        <v>0</v>
      </c>
      <c r="Q945" s="154">
        <f t="shared" si="82"/>
        <v>0</v>
      </c>
      <c r="R945" s="153">
        <f t="shared" si="83"/>
        <v>0</v>
      </c>
      <c r="S945" s="154">
        <f t="shared" si="8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hidden="1" customHeight="1">
      <c r="A946" s="1170"/>
      <c r="B946" s="1184"/>
      <c r="C946" s="1185"/>
      <c r="D946" s="1170"/>
      <c r="E946" s="1170"/>
      <c r="F946" s="1170"/>
      <c r="G946" s="1170"/>
      <c r="H946" s="1170"/>
      <c r="I946" s="1170"/>
      <c r="J946" s="1170"/>
      <c r="K946" s="1170"/>
      <c r="L946" s="153">
        <f t="shared" si="80"/>
        <v>0</v>
      </c>
      <c r="M946" s="154">
        <f t="shared" si="81"/>
        <v>0</v>
      </c>
      <c r="N946" s="155">
        <f>+IF(OR($Q946=Parametres!$G$2,$Q946=Parametres!$G$3),I946,C946)</f>
        <v>0</v>
      </c>
      <c r="O946" s="1108">
        <f>+IF(OR($Q946=Parametres!$G$2,$Q946=Parametres!$G$3),J946,D946)</f>
        <v>0</v>
      </c>
      <c r="P946" s="155">
        <f>+IF(OR($Q946=Parametres!$G$2,$Q946=Parametres!$G$3),K946,E946)</f>
        <v>0</v>
      </c>
      <c r="Q946" s="154">
        <f t="shared" si="82"/>
        <v>0</v>
      </c>
      <c r="R946" s="153">
        <f t="shared" si="83"/>
        <v>0</v>
      </c>
      <c r="S946" s="154">
        <f t="shared" si="8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hidden="1" customHeight="1">
      <c r="A947" s="1170"/>
      <c r="B947" s="1184"/>
      <c r="C947" s="1185"/>
      <c r="D947" s="1170"/>
      <c r="E947" s="1170"/>
      <c r="F947" s="1170"/>
      <c r="G947" s="1170"/>
      <c r="H947" s="1170"/>
      <c r="I947" s="1170"/>
      <c r="J947" s="1170"/>
      <c r="K947" s="1170"/>
      <c r="L947" s="153">
        <f t="shared" si="80"/>
        <v>0</v>
      </c>
      <c r="M947" s="154">
        <f t="shared" si="81"/>
        <v>0</v>
      </c>
      <c r="N947" s="155">
        <f>+IF(OR($Q947=Parametres!$G$2,$Q947=Parametres!$G$3),I947,C947)</f>
        <v>0</v>
      </c>
      <c r="O947" s="1108">
        <f>+IF(OR($Q947=Parametres!$G$2,$Q947=Parametres!$G$3),J947,D947)</f>
        <v>0</v>
      </c>
      <c r="P947" s="155">
        <f>+IF(OR($Q947=Parametres!$G$2,$Q947=Parametres!$G$3),K947,E947)</f>
        <v>0</v>
      </c>
      <c r="Q947" s="154">
        <f t="shared" si="82"/>
        <v>0</v>
      </c>
      <c r="R947" s="153">
        <f t="shared" si="83"/>
        <v>0</v>
      </c>
      <c r="S947" s="154">
        <f t="shared" si="8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hidden="1" customHeight="1">
      <c r="A948" s="1170"/>
      <c r="B948" s="1184"/>
      <c r="C948" s="1185"/>
      <c r="D948" s="1170"/>
      <c r="E948" s="1170"/>
      <c r="F948" s="1170"/>
      <c r="G948" s="1170"/>
      <c r="H948" s="1170"/>
      <c r="I948" s="1170"/>
      <c r="J948" s="1170"/>
      <c r="K948" s="1170"/>
      <c r="L948" s="153">
        <f t="shared" si="80"/>
        <v>0</v>
      </c>
      <c r="M948" s="154">
        <f t="shared" si="81"/>
        <v>0</v>
      </c>
      <c r="N948" s="155">
        <f>+IF(OR($Q948=Parametres!$G$2,$Q948=Parametres!$G$3),I948,C948)</f>
        <v>0</v>
      </c>
      <c r="O948" s="1108">
        <f>+IF(OR($Q948=Parametres!$G$2,$Q948=Parametres!$G$3),J948,D948)</f>
        <v>0</v>
      </c>
      <c r="P948" s="155">
        <f>+IF(OR($Q948=Parametres!$G$2,$Q948=Parametres!$G$3),K948,E948)</f>
        <v>0</v>
      </c>
      <c r="Q948" s="154">
        <f t="shared" si="82"/>
        <v>0</v>
      </c>
      <c r="R948" s="153">
        <f t="shared" si="83"/>
        <v>0</v>
      </c>
      <c r="S948" s="154">
        <f t="shared" si="8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hidden="1" customHeight="1">
      <c r="A949" s="1170"/>
      <c r="B949" s="1184"/>
      <c r="C949" s="1185"/>
      <c r="D949" s="1170"/>
      <c r="E949" s="1170"/>
      <c r="F949" s="1170"/>
      <c r="G949" s="1170"/>
      <c r="H949" s="1170"/>
      <c r="I949" s="1170"/>
      <c r="J949" s="1170"/>
      <c r="K949" s="1170"/>
      <c r="L949" s="153">
        <f t="shared" si="80"/>
        <v>0</v>
      </c>
      <c r="M949" s="154">
        <f t="shared" si="81"/>
        <v>0</v>
      </c>
      <c r="N949" s="155">
        <f>+IF(OR($Q949=Parametres!$G$2,$Q949=Parametres!$G$3),I949,C949)</f>
        <v>0</v>
      </c>
      <c r="O949" s="1108">
        <f>+IF(OR($Q949=Parametres!$G$2,$Q949=Parametres!$G$3),J949,D949)</f>
        <v>0</v>
      </c>
      <c r="P949" s="155">
        <f>+IF(OR($Q949=Parametres!$G$2,$Q949=Parametres!$G$3),K949,E949)</f>
        <v>0</v>
      </c>
      <c r="Q949" s="154">
        <f t="shared" si="82"/>
        <v>0</v>
      </c>
      <c r="R949" s="153">
        <f t="shared" si="83"/>
        <v>0</v>
      </c>
      <c r="S949" s="154">
        <f t="shared" si="8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hidden="1" customHeight="1">
      <c r="A950" s="1170"/>
      <c r="B950" s="1184"/>
      <c r="C950" s="1185"/>
      <c r="D950" s="1170"/>
      <c r="E950" s="1170"/>
      <c r="F950" s="1170"/>
      <c r="G950" s="1170"/>
      <c r="H950" s="1170"/>
      <c r="I950" s="1170"/>
      <c r="J950" s="1170"/>
      <c r="K950" s="1170"/>
      <c r="L950" s="153">
        <f t="shared" si="80"/>
        <v>0</v>
      </c>
      <c r="M950" s="154">
        <f t="shared" si="81"/>
        <v>0</v>
      </c>
      <c r="N950" s="155">
        <f>+IF(OR($Q950=Parametres!$G$2,$Q950=Parametres!$G$3),I950,C950)</f>
        <v>0</v>
      </c>
      <c r="O950" s="1108">
        <f>+IF(OR($Q950=Parametres!$G$2,$Q950=Parametres!$G$3),J950,D950)</f>
        <v>0</v>
      </c>
      <c r="P950" s="155">
        <f>+IF(OR($Q950=Parametres!$G$2,$Q950=Parametres!$G$3),K950,E950)</f>
        <v>0</v>
      </c>
      <c r="Q950" s="154">
        <f t="shared" si="82"/>
        <v>0</v>
      </c>
      <c r="R950" s="153">
        <f t="shared" si="83"/>
        <v>0</v>
      </c>
      <c r="S950" s="154">
        <f t="shared" si="8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hidden="1" customHeight="1">
      <c r="A951" s="1170"/>
      <c r="B951" s="1184"/>
      <c r="C951" s="1185"/>
      <c r="D951" s="1170"/>
      <c r="E951" s="1170"/>
      <c r="F951" s="1170"/>
      <c r="G951" s="1170"/>
      <c r="H951" s="1170"/>
      <c r="I951" s="1170"/>
      <c r="J951" s="1170"/>
      <c r="K951" s="1170"/>
      <c r="L951" s="153">
        <f t="shared" si="80"/>
        <v>0</v>
      </c>
      <c r="M951" s="154">
        <f t="shared" si="81"/>
        <v>0</v>
      </c>
      <c r="N951" s="155">
        <f>+IF(OR($Q951=Parametres!$G$2,$Q951=Parametres!$G$3),I951,C951)</f>
        <v>0</v>
      </c>
      <c r="O951" s="1108">
        <f>+IF(OR($Q951=Parametres!$G$2,$Q951=Parametres!$G$3),J951,D951)</f>
        <v>0</v>
      </c>
      <c r="P951" s="155">
        <f>+IF(OR($Q951=Parametres!$G$2,$Q951=Parametres!$G$3),K951,E951)</f>
        <v>0</v>
      </c>
      <c r="Q951" s="154">
        <f t="shared" si="82"/>
        <v>0</v>
      </c>
      <c r="R951" s="153">
        <f t="shared" si="83"/>
        <v>0</v>
      </c>
      <c r="S951" s="154">
        <f t="shared" si="8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hidden="1" customHeight="1">
      <c r="A952" s="1170"/>
      <c r="B952" s="1184"/>
      <c r="C952" s="1185"/>
      <c r="D952" s="1170"/>
      <c r="E952" s="1170"/>
      <c r="F952" s="1170"/>
      <c r="G952" s="1170"/>
      <c r="H952" s="1170"/>
      <c r="I952" s="1170"/>
      <c r="J952" s="1170"/>
      <c r="K952" s="1170"/>
      <c r="L952" s="153">
        <f t="shared" si="80"/>
        <v>0</v>
      </c>
      <c r="M952" s="154">
        <f t="shared" si="81"/>
        <v>0</v>
      </c>
      <c r="N952" s="155">
        <f>+IF(OR($Q952=Parametres!$G$2,$Q952=Parametres!$G$3),I952,C952)</f>
        <v>0</v>
      </c>
      <c r="O952" s="1108">
        <f>+IF(OR($Q952=Parametres!$G$2,$Q952=Parametres!$G$3),J952,D952)</f>
        <v>0</v>
      </c>
      <c r="P952" s="155">
        <f>+IF(OR($Q952=Parametres!$G$2,$Q952=Parametres!$G$3),K952,E952)</f>
        <v>0</v>
      </c>
      <c r="Q952" s="154">
        <f t="shared" si="82"/>
        <v>0</v>
      </c>
      <c r="R952" s="153">
        <f t="shared" si="83"/>
        <v>0</v>
      </c>
      <c r="S952" s="154">
        <f t="shared" si="8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hidden="1" customHeight="1">
      <c r="A953" s="1170"/>
      <c r="B953" s="1184"/>
      <c r="C953" s="1185"/>
      <c r="D953" s="1170"/>
      <c r="E953" s="1170"/>
      <c r="F953" s="1170"/>
      <c r="G953" s="1170"/>
      <c r="H953" s="1170"/>
      <c r="I953" s="1170"/>
      <c r="J953" s="1170"/>
      <c r="K953" s="1170"/>
      <c r="L953" s="153">
        <f t="shared" si="80"/>
        <v>0</v>
      </c>
      <c r="M953" s="154">
        <f t="shared" si="81"/>
        <v>0</v>
      </c>
      <c r="N953" s="155">
        <f>+IF(OR($Q953=Parametres!$G$2,$Q953=Parametres!$G$3),I953,C953)</f>
        <v>0</v>
      </c>
      <c r="O953" s="1108">
        <f>+IF(OR($Q953=Parametres!$G$2,$Q953=Parametres!$G$3),J953,D953)</f>
        <v>0</v>
      </c>
      <c r="P953" s="155">
        <f>+IF(OR($Q953=Parametres!$G$2,$Q953=Parametres!$G$3),K953,E953)</f>
        <v>0</v>
      </c>
      <c r="Q953" s="154">
        <f t="shared" si="82"/>
        <v>0</v>
      </c>
      <c r="R953" s="153">
        <f t="shared" si="83"/>
        <v>0</v>
      </c>
      <c r="S953" s="154">
        <f t="shared" si="8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hidden="1" customHeight="1">
      <c r="A954" s="1170"/>
      <c r="B954" s="1184"/>
      <c r="C954" s="1185"/>
      <c r="D954" s="1170"/>
      <c r="E954" s="1170"/>
      <c r="F954" s="1170"/>
      <c r="G954" s="1170"/>
      <c r="H954" s="1170"/>
      <c r="I954" s="1170"/>
      <c r="J954" s="1170"/>
      <c r="K954" s="1170"/>
      <c r="L954" s="153">
        <f t="shared" si="80"/>
        <v>0</v>
      </c>
      <c r="M954" s="154">
        <f t="shared" si="81"/>
        <v>0</v>
      </c>
      <c r="N954" s="155">
        <f>+IF(OR($Q954=Parametres!$G$2,$Q954=Parametres!$G$3),I954,C954)</f>
        <v>0</v>
      </c>
      <c r="O954" s="1108">
        <f>+IF(OR($Q954=Parametres!$G$2,$Q954=Parametres!$G$3),J954,D954)</f>
        <v>0</v>
      </c>
      <c r="P954" s="155">
        <f>+IF(OR($Q954=Parametres!$G$2,$Q954=Parametres!$G$3),K954,E954)</f>
        <v>0</v>
      </c>
      <c r="Q954" s="154">
        <f t="shared" si="82"/>
        <v>0</v>
      </c>
      <c r="R954" s="153">
        <f t="shared" si="83"/>
        <v>0</v>
      </c>
      <c r="S954" s="154">
        <f t="shared" si="8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hidden="1" customHeight="1">
      <c r="A955" s="1170"/>
      <c r="B955" s="1184"/>
      <c r="C955" s="1185"/>
      <c r="D955" s="1170"/>
      <c r="E955" s="1170"/>
      <c r="F955" s="1170"/>
      <c r="G955" s="1170"/>
      <c r="H955" s="1170"/>
      <c r="I955" s="1170"/>
      <c r="J955" s="1170"/>
      <c r="K955" s="1170"/>
      <c r="L955" s="153">
        <f t="shared" si="80"/>
        <v>0</v>
      </c>
      <c r="M955" s="154">
        <f t="shared" si="81"/>
        <v>0</v>
      </c>
      <c r="N955" s="155">
        <f>+IF(OR($Q955=Parametres!$G$2,$Q955=Parametres!$G$3),I955,C955)</f>
        <v>0</v>
      </c>
      <c r="O955" s="1108">
        <f>+IF(OR($Q955=Parametres!$G$2,$Q955=Parametres!$G$3),J955,D955)</f>
        <v>0</v>
      </c>
      <c r="P955" s="155">
        <f>+IF(OR($Q955=Parametres!$G$2,$Q955=Parametres!$G$3),K955,E955)</f>
        <v>0</v>
      </c>
      <c r="Q955" s="154">
        <f t="shared" si="82"/>
        <v>0</v>
      </c>
      <c r="R955" s="153">
        <f t="shared" si="83"/>
        <v>0</v>
      </c>
      <c r="S955" s="154">
        <f t="shared" si="8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hidden="1" customHeight="1">
      <c r="A956" s="1170"/>
      <c r="B956" s="1184"/>
      <c r="C956" s="1185"/>
      <c r="D956" s="1170"/>
      <c r="E956" s="1170"/>
      <c r="F956" s="1170"/>
      <c r="G956" s="1170"/>
      <c r="H956" s="1170"/>
      <c r="I956" s="1170"/>
      <c r="J956" s="1170"/>
      <c r="K956" s="1170"/>
      <c r="L956" s="153">
        <f t="shared" si="80"/>
        <v>0</v>
      </c>
      <c r="M956" s="154">
        <f t="shared" si="81"/>
        <v>0</v>
      </c>
      <c r="N956" s="155">
        <f>+IF(OR($Q956=Parametres!$G$2,$Q956=Parametres!$G$3),I956,C956)</f>
        <v>0</v>
      </c>
      <c r="O956" s="1108">
        <f>+IF(OR($Q956=Parametres!$G$2,$Q956=Parametres!$G$3),J956,D956)</f>
        <v>0</v>
      </c>
      <c r="P956" s="155">
        <f>+IF(OR($Q956=Parametres!$G$2,$Q956=Parametres!$G$3),K956,E956)</f>
        <v>0</v>
      </c>
      <c r="Q956" s="154">
        <f t="shared" si="82"/>
        <v>0</v>
      </c>
      <c r="R956" s="153">
        <f t="shared" si="83"/>
        <v>0</v>
      </c>
      <c r="S956" s="154">
        <f t="shared" si="8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hidden="1" customHeight="1">
      <c r="A957" s="1170"/>
      <c r="B957" s="1184"/>
      <c r="C957" s="1185"/>
      <c r="D957" s="1170"/>
      <c r="E957" s="1170"/>
      <c r="F957" s="1170"/>
      <c r="G957" s="1170"/>
      <c r="H957" s="1170"/>
      <c r="I957" s="1170"/>
      <c r="J957" s="1170"/>
      <c r="K957" s="1170"/>
      <c r="L957" s="153">
        <f t="shared" si="80"/>
        <v>0</v>
      </c>
      <c r="M957" s="154">
        <f t="shared" si="81"/>
        <v>0</v>
      </c>
      <c r="N957" s="155">
        <f>+IF(OR($Q957=Parametres!$G$2,$Q957=Parametres!$G$3),I957,C957)</f>
        <v>0</v>
      </c>
      <c r="O957" s="1108">
        <f>+IF(OR($Q957=Parametres!$G$2,$Q957=Parametres!$G$3),J957,D957)</f>
        <v>0</v>
      </c>
      <c r="P957" s="155">
        <f>+IF(OR($Q957=Parametres!$G$2,$Q957=Parametres!$G$3),K957,E957)</f>
        <v>0</v>
      </c>
      <c r="Q957" s="154">
        <f t="shared" si="82"/>
        <v>0</v>
      </c>
      <c r="R957" s="153">
        <f t="shared" si="83"/>
        <v>0</v>
      </c>
      <c r="S957" s="154">
        <f t="shared" si="8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hidden="1" customHeight="1">
      <c r="A958" s="1170"/>
      <c r="B958" s="1184"/>
      <c r="C958" s="1185"/>
      <c r="D958" s="1170"/>
      <c r="E958" s="1170"/>
      <c r="F958" s="1170"/>
      <c r="G958" s="1170"/>
      <c r="H958" s="1170"/>
      <c r="I958" s="1170"/>
      <c r="J958" s="1170"/>
      <c r="K958" s="1170"/>
      <c r="L958" s="153">
        <f t="shared" si="80"/>
        <v>0</v>
      </c>
      <c r="M958" s="154">
        <f t="shared" si="81"/>
        <v>0</v>
      </c>
      <c r="N958" s="155">
        <f>+IF(OR($Q958=Parametres!$G$2,$Q958=Parametres!$G$3),I958,C958)</f>
        <v>0</v>
      </c>
      <c r="O958" s="1108">
        <f>+IF(OR($Q958=Parametres!$G$2,$Q958=Parametres!$G$3),J958,D958)</f>
        <v>0</v>
      </c>
      <c r="P958" s="155">
        <f>+IF(OR($Q958=Parametres!$G$2,$Q958=Parametres!$G$3),K958,E958)</f>
        <v>0</v>
      </c>
      <c r="Q958" s="154">
        <f t="shared" si="82"/>
        <v>0</v>
      </c>
      <c r="R958" s="153">
        <f t="shared" si="83"/>
        <v>0</v>
      </c>
      <c r="S958" s="154">
        <f t="shared" si="8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hidden="1" customHeight="1">
      <c r="A959" s="1170"/>
      <c r="B959" s="1184"/>
      <c r="C959" s="1185"/>
      <c r="D959" s="1170"/>
      <c r="E959" s="1170"/>
      <c r="F959" s="1170"/>
      <c r="G959" s="1170"/>
      <c r="H959" s="1170"/>
      <c r="I959" s="1170"/>
      <c r="J959" s="1170"/>
      <c r="K959" s="1170"/>
      <c r="L959" s="153">
        <f t="shared" si="80"/>
        <v>0</v>
      </c>
      <c r="M959" s="154">
        <f t="shared" si="81"/>
        <v>0</v>
      </c>
      <c r="N959" s="155">
        <f>+IF(OR($Q959=Parametres!$G$2,$Q959=Parametres!$G$3),I959,C959)</f>
        <v>0</v>
      </c>
      <c r="O959" s="1108">
        <f>+IF(OR($Q959=Parametres!$G$2,$Q959=Parametres!$G$3),J959,D959)</f>
        <v>0</v>
      </c>
      <c r="P959" s="155">
        <f>+IF(OR($Q959=Parametres!$G$2,$Q959=Parametres!$G$3),K959,E959)</f>
        <v>0</v>
      </c>
      <c r="Q959" s="154">
        <f t="shared" si="82"/>
        <v>0</v>
      </c>
      <c r="R959" s="153">
        <f t="shared" si="83"/>
        <v>0</v>
      </c>
      <c r="S959" s="154">
        <f t="shared" si="8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hidden="1" customHeight="1">
      <c r="A960" s="1170"/>
      <c r="B960" s="1184"/>
      <c r="C960" s="1185"/>
      <c r="D960" s="1170"/>
      <c r="E960" s="1170"/>
      <c r="F960" s="1170"/>
      <c r="G960" s="1170"/>
      <c r="H960" s="1170"/>
      <c r="I960" s="1170"/>
      <c r="J960" s="1170"/>
      <c r="K960" s="1170"/>
      <c r="L960" s="153">
        <f t="shared" si="80"/>
        <v>0</v>
      </c>
      <c r="M960" s="154">
        <f t="shared" si="81"/>
        <v>0</v>
      </c>
      <c r="N960" s="155">
        <f>+IF(OR($Q960=Parametres!$G$2,$Q960=Parametres!$G$3),I960,C960)</f>
        <v>0</v>
      </c>
      <c r="O960" s="1108">
        <f>+IF(OR($Q960=Parametres!$G$2,$Q960=Parametres!$G$3),J960,D960)</f>
        <v>0</v>
      </c>
      <c r="P960" s="155">
        <f>+IF(OR($Q960=Parametres!$G$2,$Q960=Parametres!$G$3),K960,E960)</f>
        <v>0</v>
      </c>
      <c r="Q960" s="154">
        <f t="shared" si="82"/>
        <v>0</v>
      </c>
      <c r="R960" s="153">
        <f t="shared" si="83"/>
        <v>0</v>
      </c>
      <c r="S960" s="154">
        <f t="shared" si="8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hidden="1" customHeight="1">
      <c r="A961" s="1170"/>
      <c r="B961" s="1184"/>
      <c r="C961" s="1185"/>
      <c r="D961" s="1170"/>
      <c r="E961" s="1170"/>
      <c r="F961" s="1170"/>
      <c r="G961" s="1170"/>
      <c r="H961" s="1170"/>
      <c r="I961" s="1170"/>
      <c r="J961" s="1170"/>
      <c r="K961" s="1170"/>
      <c r="L961" s="153">
        <f t="shared" si="80"/>
        <v>0</v>
      </c>
      <c r="M961" s="154">
        <f t="shared" si="81"/>
        <v>0</v>
      </c>
      <c r="N961" s="155">
        <f>+IF(OR($Q961=Parametres!$G$2,$Q961=Parametres!$G$3),I961,C961)</f>
        <v>0</v>
      </c>
      <c r="O961" s="1108">
        <f>+IF(OR($Q961=Parametres!$G$2,$Q961=Parametres!$G$3),J961,D961)</f>
        <v>0</v>
      </c>
      <c r="P961" s="155">
        <f>+IF(OR($Q961=Parametres!$G$2,$Q961=Parametres!$G$3),K961,E961)</f>
        <v>0</v>
      </c>
      <c r="Q961" s="154">
        <f t="shared" si="82"/>
        <v>0</v>
      </c>
      <c r="R961" s="153">
        <f t="shared" si="83"/>
        <v>0</v>
      </c>
      <c r="S961" s="154">
        <f t="shared" si="8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hidden="1" customHeight="1">
      <c r="A962" s="1170"/>
      <c r="B962" s="1184"/>
      <c r="C962" s="1185"/>
      <c r="D962" s="1170"/>
      <c r="E962" s="1170"/>
      <c r="F962" s="1170"/>
      <c r="G962" s="1170"/>
      <c r="H962" s="1170"/>
      <c r="I962" s="1170"/>
      <c r="J962" s="1170"/>
      <c r="K962" s="1170"/>
      <c r="L962" s="153">
        <f t="shared" ref="L962:L1025" si="85">+B962</f>
        <v>0</v>
      </c>
      <c r="M962" s="154">
        <f t="shared" ref="M962:M1025" si="86">+A962</f>
        <v>0</v>
      </c>
      <c r="N962" s="155">
        <f>+IF(OR($Q962=Parametres!$G$2,$Q962=Parametres!$G$3),I962,C962)</f>
        <v>0</v>
      </c>
      <c r="O962" s="1108">
        <f>+IF(OR($Q962=Parametres!$G$2,$Q962=Parametres!$G$3),J962,D962)</f>
        <v>0</v>
      </c>
      <c r="P962" s="155">
        <f>+IF(OR($Q962=Parametres!$G$2,$Q962=Parametres!$G$3),K962,E962)</f>
        <v>0</v>
      </c>
      <c r="Q962" s="154">
        <f t="shared" ref="Q962:Q1025" si="87">+F962</f>
        <v>0</v>
      </c>
      <c r="R962" s="153">
        <f t="shared" ref="R962:R1025" si="88">+G962</f>
        <v>0</v>
      </c>
      <c r="S962" s="154">
        <f t="shared" ref="S962:S1025" si="8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hidden="1" customHeight="1">
      <c r="A963" s="1170"/>
      <c r="B963" s="1184"/>
      <c r="C963" s="1185"/>
      <c r="D963" s="1170"/>
      <c r="E963" s="1170"/>
      <c r="F963" s="1170"/>
      <c r="G963" s="1170"/>
      <c r="H963" s="1170"/>
      <c r="I963" s="1170"/>
      <c r="J963" s="1170"/>
      <c r="K963" s="1170"/>
      <c r="L963" s="153">
        <f t="shared" si="85"/>
        <v>0</v>
      </c>
      <c r="M963" s="154">
        <f t="shared" si="86"/>
        <v>0</v>
      </c>
      <c r="N963" s="155">
        <f>+IF(OR($Q963=Parametres!$G$2,$Q963=Parametres!$G$3),I963,C963)</f>
        <v>0</v>
      </c>
      <c r="O963" s="1108">
        <f>+IF(OR($Q963=Parametres!$G$2,$Q963=Parametres!$G$3),J963,D963)</f>
        <v>0</v>
      </c>
      <c r="P963" s="155">
        <f>+IF(OR($Q963=Parametres!$G$2,$Q963=Parametres!$G$3),K963,E963)</f>
        <v>0</v>
      </c>
      <c r="Q963" s="154">
        <f t="shared" si="87"/>
        <v>0</v>
      </c>
      <c r="R963" s="153">
        <f t="shared" si="88"/>
        <v>0</v>
      </c>
      <c r="S963" s="154">
        <f t="shared" si="8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hidden="1" customHeight="1">
      <c r="A964" s="1170"/>
      <c r="B964" s="1184"/>
      <c r="C964" s="1185"/>
      <c r="D964" s="1170"/>
      <c r="E964" s="1170"/>
      <c r="F964" s="1170"/>
      <c r="G964" s="1170"/>
      <c r="H964" s="1170"/>
      <c r="I964" s="1170"/>
      <c r="J964" s="1170"/>
      <c r="K964" s="1170"/>
      <c r="L964" s="153">
        <f t="shared" si="85"/>
        <v>0</v>
      </c>
      <c r="M964" s="154">
        <f t="shared" si="86"/>
        <v>0</v>
      </c>
      <c r="N964" s="155">
        <f>+IF(OR($Q964=Parametres!$G$2,$Q964=Parametres!$G$3),I964,C964)</f>
        <v>0</v>
      </c>
      <c r="O964" s="1108">
        <f>+IF(OR($Q964=Parametres!$G$2,$Q964=Parametres!$G$3),J964,D964)</f>
        <v>0</v>
      </c>
      <c r="P964" s="155">
        <f>+IF(OR($Q964=Parametres!$G$2,$Q964=Parametres!$G$3),K964,E964)</f>
        <v>0</v>
      </c>
      <c r="Q964" s="154">
        <f t="shared" si="87"/>
        <v>0</v>
      </c>
      <c r="R964" s="153">
        <f t="shared" si="88"/>
        <v>0</v>
      </c>
      <c r="S964" s="154">
        <f t="shared" si="8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hidden="1" customHeight="1">
      <c r="A965" s="1170"/>
      <c r="B965" s="1184"/>
      <c r="C965" s="1185"/>
      <c r="D965" s="1170"/>
      <c r="E965" s="1170"/>
      <c r="F965" s="1170"/>
      <c r="G965" s="1170"/>
      <c r="H965" s="1170"/>
      <c r="I965" s="1170"/>
      <c r="J965" s="1170"/>
      <c r="K965" s="1170"/>
      <c r="L965" s="153">
        <f t="shared" si="85"/>
        <v>0</v>
      </c>
      <c r="M965" s="154">
        <f t="shared" si="86"/>
        <v>0</v>
      </c>
      <c r="N965" s="155">
        <f>+IF(OR($Q965=Parametres!$G$2,$Q965=Parametres!$G$3),I965,C965)</f>
        <v>0</v>
      </c>
      <c r="O965" s="1108">
        <f>+IF(OR($Q965=Parametres!$G$2,$Q965=Parametres!$G$3),J965,D965)</f>
        <v>0</v>
      </c>
      <c r="P965" s="155">
        <f>+IF(OR($Q965=Parametres!$G$2,$Q965=Parametres!$G$3),K965,E965)</f>
        <v>0</v>
      </c>
      <c r="Q965" s="154">
        <f t="shared" si="87"/>
        <v>0</v>
      </c>
      <c r="R965" s="153">
        <f t="shared" si="88"/>
        <v>0</v>
      </c>
      <c r="S965" s="154">
        <f t="shared" si="8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hidden="1" customHeight="1">
      <c r="A966" s="1170"/>
      <c r="B966" s="1184"/>
      <c r="C966" s="1185"/>
      <c r="D966" s="1170"/>
      <c r="E966" s="1170"/>
      <c r="F966" s="1170"/>
      <c r="G966" s="1170"/>
      <c r="H966" s="1170"/>
      <c r="I966" s="1170"/>
      <c r="J966" s="1170"/>
      <c r="K966" s="1170"/>
      <c r="L966" s="153">
        <f t="shared" si="85"/>
        <v>0</v>
      </c>
      <c r="M966" s="154">
        <f t="shared" si="86"/>
        <v>0</v>
      </c>
      <c r="N966" s="155">
        <f>+IF(OR($Q966=Parametres!$G$2,$Q966=Parametres!$G$3),I966,C966)</f>
        <v>0</v>
      </c>
      <c r="O966" s="1108">
        <f>+IF(OR($Q966=Parametres!$G$2,$Q966=Parametres!$G$3),J966,D966)</f>
        <v>0</v>
      </c>
      <c r="P966" s="155">
        <f>+IF(OR($Q966=Parametres!$G$2,$Q966=Parametres!$G$3),K966,E966)</f>
        <v>0</v>
      </c>
      <c r="Q966" s="154">
        <f t="shared" si="87"/>
        <v>0</v>
      </c>
      <c r="R966" s="153">
        <f t="shared" si="88"/>
        <v>0</v>
      </c>
      <c r="S966" s="154">
        <f t="shared" si="8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hidden="1" customHeight="1">
      <c r="A967" s="1170"/>
      <c r="B967" s="1184"/>
      <c r="C967" s="1185"/>
      <c r="D967" s="1170"/>
      <c r="E967" s="1170"/>
      <c r="F967" s="1170"/>
      <c r="G967" s="1170"/>
      <c r="H967" s="1170"/>
      <c r="I967" s="1170"/>
      <c r="J967" s="1170"/>
      <c r="K967" s="1170"/>
      <c r="L967" s="153">
        <f t="shared" si="85"/>
        <v>0</v>
      </c>
      <c r="M967" s="154">
        <f t="shared" si="86"/>
        <v>0</v>
      </c>
      <c r="N967" s="155">
        <f>+IF(OR($Q967=Parametres!$G$2,$Q967=Parametres!$G$3),I967,C967)</f>
        <v>0</v>
      </c>
      <c r="O967" s="1108">
        <f>+IF(OR($Q967=Parametres!$G$2,$Q967=Parametres!$G$3),J967,D967)</f>
        <v>0</v>
      </c>
      <c r="P967" s="155">
        <f>+IF(OR($Q967=Parametres!$G$2,$Q967=Parametres!$G$3),K967,E967)</f>
        <v>0</v>
      </c>
      <c r="Q967" s="154">
        <f t="shared" si="87"/>
        <v>0</v>
      </c>
      <c r="R967" s="153">
        <f t="shared" si="88"/>
        <v>0</v>
      </c>
      <c r="S967" s="154">
        <f t="shared" si="8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hidden="1" customHeight="1">
      <c r="A968" s="1170"/>
      <c r="B968" s="1184"/>
      <c r="C968" s="1185"/>
      <c r="D968" s="1170"/>
      <c r="E968" s="1170"/>
      <c r="F968" s="1170"/>
      <c r="G968" s="1170"/>
      <c r="H968" s="1170"/>
      <c r="I968" s="1170"/>
      <c r="J968" s="1170"/>
      <c r="K968" s="1170"/>
      <c r="L968" s="153">
        <f t="shared" si="85"/>
        <v>0</v>
      </c>
      <c r="M968" s="154">
        <f t="shared" si="86"/>
        <v>0</v>
      </c>
      <c r="N968" s="155">
        <f>+IF(OR($Q968=Parametres!$G$2,$Q968=Parametres!$G$3),I968,C968)</f>
        <v>0</v>
      </c>
      <c r="O968" s="1108">
        <f>+IF(OR($Q968=Parametres!$G$2,$Q968=Parametres!$G$3),J968,D968)</f>
        <v>0</v>
      </c>
      <c r="P968" s="155">
        <f>+IF(OR($Q968=Parametres!$G$2,$Q968=Parametres!$G$3),K968,E968)</f>
        <v>0</v>
      </c>
      <c r="Q968" s="154">
        <f t="shared" si="87"/>
        <v>0</v>
      </c>
      <c r="R968" s="153">
        <f t="shared" si="88"/>
        <v>0</v>
      </c>
      <c r="S968" s="154">
        <f t="shared" si="8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hidden="1" customHeight="1">
      <c r="A969" s="1170"/>
      <c r="B969" s="1184"/>
      <c r="C969" s="1185"/>
      <c r="D969" s="1170"/>
      <c r="E969" s="1170"/>
      <c r="F969" s="1170"/>
      <c r="G969" s="1170"/>
      <c r="H969" s="1170"/>
      <c r="I969" s="1170"/>
      <c r="J969" s="1170"/>
      <c r="K969" s="1170"/>
      <c r="L969" s="153">
        <f t="shared" si="85"/>
        <v>0</v>
      </c>
      <c r="M969" s="154">
        <f t="shared" si="86"/>
        <v>0</v>
      </c>
      <c r="N969" s="155">
        <f>+IF(OR($Q969=Parametres!$G$2,$Q969=Parametres!$G$3),I969,C969)</f>
        <v>0</v>
      </c>
      <c r="O969" s="1108">
        <f>+IF(OR($Q969=Parametres!$G$2,$Q969=Parametres!$G$3),J969,D969)</f>
        <v>0</v>
      </c>
      <c r="P969" s="155">
        <f>+IF(OR($Q969=Parametres!$G$2,$Q969=Parametres!$G$3),K969,E969)</f>
        <v>0</v>
      </c>
      <c r="Q969" s="154">
        <f t="shared" si="87"/>
        <v>0</v>
      </c>
      <c r="R969" s="153">
        <f t="shared" si="88"/>
        <v>0</v>
      </c>
      <c r="S969" s="154">
        <f t="shared" si="8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hidden="1" customHeight="1">
      <c r="A970" s="1170"/>
      <c r="B970" s="1184"/>
      <c r="C970" s="1185"/>
      <c r="D970" s="1170"/>
      <c r="E970" s="1170"/>
      <c r="F970" s="1170"/>
      <c r="G970" s="1170"/>
      <c r="H970" s="1170"/>
      <c r="I970" s="1170"/>
      <c r="J970" s="1170"/>
      <c r="K970" s="1170"/>
      <c r="L970" s="153">
        <f t="shared" si="85"/>
        <v>0</v>
      </c>
      <c r="M970" s="154">
        <f t="shared" si="86"/>
        <v>0</v>
      </c>
      <c r="N970" s="155">
        <f>+IF(OR($Q970=Parametres!$G$2,$Q970=Parametres!$G$3),I970,C970)</f>
        <v>0</v>
      </c>
      <c r="O970" s="1108">
        <f>+IF(OR($Q970=Parametres!$G$2,$Q970=Parametres!$G$3),J970,D970)</f>
        <v>0</v>
      </c>
      <c r="P970" s="155">
        <f>+IF(OR($Q970=Parametres!$G$2,$Q970=Parametres!$G$3),K970,E970)</f>
        <v>0</v>
      </c>
      <c r="Q970" s="154">
        <f t="shared" si="87"/>
        <v>0</v>
      </c>
      <c r="R970" s="153">
        <f t="shared" si="88"/>
        <v>0</v>
      </c>
      <c r="S970" s="154">
        <f t="shared" si="8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hidden="1" customHeight="1">
      <c r="A971" s="1170"/>
      <c r="B971" s="1184"/>
      <c r="C971" s="1185"/>
      <c r="D971" s="1170"/>
      <c r="E971" s="1170"/>
      <c r="F971" s="1170"/>
      <c r="G971" s="1170"/>
      <c r="H971" s="1170"/>
      <c r="I971" s="1170"/>
      <c r="J971" s="1170"/>
      <c r="K971" s="1170"/>
      <c r="L971" s="153">
        <f t="shared" si="85"/>
        <v>0</v>
      </c>
      <c r="M971" s="154">
        <f t="shared" si="86"/>
        <v>0</v>
      </c>
      <c r="N971" s="155">
        <f>+IF(OR($Q971=Parametres!$G$2,$Q971=Parametres!$G$3),I971,C971)</f>
        <v>0</v>
      </c>
      <c r="O971" s="1108">
        <f>+IF(OR($Q971=Parametres!$G$2,$Q971=Parametres!$G$3),J971,D971)</f>
        <v>0</v>
      </c>
      <c r="P971" s="155">
        <f>+IF(OR($Q971=Parametres!$G$2,$Q971=Parametres!$G$3),K971,E971)</f>
        <v>0</v>
      </c>
      <c r="Q971" s="154">
        <f t="shared" si="87"/>
        <v>0</v>
      </c>
      <c r="R971" s="153">
        <f t="shared" si="88"/>
        <v>0</v>
      </c>
      <c r="S971" s="154">
        <f t="shared" si="8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hidden="1" customHeight="1">
      <c r="A972" s="1170"/>
      <c r="B972" s="1184"/>
      <c r="C972" s="1185"/>
      <c r="D972" s="1170"/>
      <c r="E972" s="1170"/>
      <c r="F972" s="1170"/>
      <c r="G972" s="1170"/>
      <c r="H972" s="1170"/>
      <c r="I972" s="1170"/>
      <c r="J972" s="1170"/>
      <c r="K972" s="1170"/>
      <c r="L972" s="153">
        <f t="shared" si="85"/>
        <v>0</v>
      </c>
      <c r="M972" s="154">
        <f t="shared" si="86"/>
        <v>0</v>
      </c>
      <c r="N972" s="155">
        <f>+IF(OR($Q972=Parametres!$G$2,$Q972=Parametres!$G$3),I972,C972)</f>
        <v>0</v>
      </c>
      <c r="O972" s="1108">
        <f>+IF(OR($Q972=Parametres!$G$2,$Q972=Parametres!$G$3),J972,D972)</f>
        <v>0</v>
      </c>
      <c r="P972" s="155">
        <f>+IF(OR($Q972=Parametres!$G$2,$Q972=Parametres!$G$3),K972,E972)</f>
        <v>0</v>
      </c>
      <c r="Q972" s="154">
        <f t="shared" si="87"/>
        <v>0</v>
      </c>
      <c r="R972" s="153">
        <f t="shared" si="88"/>
        <v>0</v>
      </c>
      <c r="S972" s="154">
        <f t="shared" si="8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hidden="1" customHeight="1">
      <c r="A973" s="1170"/>
      <c r="B973" s="1184"/>
      <c r="C973" s="1185"/>
      <c r="D973" s="1170"/>
      <c r="E973" s="1170"/>
      <c r="F973" s="1170"/>
      <c r="G973" s="1170"/>
      <c r="H973" s="1170"/>
      <c r="I973" s="1170"/>
      <c r="J973" s="1170"/>
      <c r="K973" s="1170"/>
      <c r="L973" s="153">
        <f t="shared" si="85"/>
        <v>0</v>
      </c>
      <c r="M973" s="154">
        <f t="shared" si="86"/>
        <v>0</v>
      </c>
      <c r="N973" s="155">
        <f>+IF(OR($Q973=Parametres!$G$2,$Q973=Parametres!$G$3),I973,C973)</f>
        <v>0</v>
      </c>
      <c r="O973" s="1108">
        <f>+IF(OR($Q973=Parametres!$G$2,$Q973=Parametres!$G$3),J973,D973)</f>
        <v>0</v>
      </c>
      <c r="P973" s="155">
        <f>+IF(OR($Q973=Parametres!$G$2,$Q973=Parametres!$G$3),K973,E973)</f>
        <v>0</v>
      </c>
      <c r="Q973" s="154">
        <f t="shared" si="87"/>
        <v>0</v>
      </c>
      <c r="R973" s="153">
        <f t="shared" si="88"/>
        <v>0</v>
      </c>
      <c r="S973" s="154">
        <f t="shared" si="8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hidden="1" customHeight="1">
      <c r="A974" s="1170"/>
      <c r="B974" s="1184"/>
      <c r="C974" s="1185"/>
      <c r="D974" s="1170"/>
      <c r="E974" s="1170"/>
      <c r="F974" s="1170"/>
      <c r="G974" s="1170"/>
      <c r="H974" s="1170"/>
      <c r="I974" s="1170"/>
      <c r="J974" s="1170"/>
      <c r="K974" s="1170"/>
      <c r="L974" s="153">
        <f t="shared" si="85"/>
        <v>0</v>
      </c>
      <c r="M974" s="154">
        <f t="shared" si="86"/>
        <v>0</v>
      </c>
      <c r="N974" s="155">
        <f>+IF(OR($Q974=Parametres!$G$2,$Q974=Parametres!$G$3),I974,C974)</f>
        <v>0</v>
      </c>
      <c r="O974" s="1108">
        <f>+IF(OR($Q974=Parametres!$G$2,$Q974=Parametres!$G$3),J974,D974)</f>
        <v>0</v>
      </c>
      <c r="P974" s="155">
        <f>+IF(OR($Q974=Parametres!$G$2,$Q974=Parametres!$G$3),K974,E974)</f>
        <v>0</v>
      </c>
      <c r="Q974" s="154">
        <f t="shared" si="87"/>
        <v>0</v>
      </c>
      <c r="R974" s="153">
        <f t="shared" si="88"/>
        <v>0</v>
      </c>
      <c r="S974" s="154">
        <f t="shared" si="8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hidden="1" customHeight="1">
      <c r="A975" s="1170"/>
      <c r="B975" s="1184"/>
      <c r="C975" s="1185"/>
      <c r="D975" s="1170"/>
      <c r="E975" s="1170"/>
      <c r="F975" s="1170"/>
      <c r="G975" s="1170"/>
      <c r="H975" s="1170"/>
      <c r="I975" s="1170"/>
      <c r="J975" s="1170"/>
      <c r="K975" s="1170"/>
      <c r="L975" s="153">
        <f t="shared" si="85"/>
        <v>0</v>
      </c>
      <c r="M975" s="154">
        <f t="shared" si="86"/>
        <v>0</v>
      </c>
      <c r="N975" s="155">
        <f>+IF(OR($Q975=Parametres!$G$2,$Q975=Parametres!$G$3),I975,C975)</f>
        <v>0</v>
      </c>
      <c r="O975" s="1108">
        <f>+IF(OR($Q975=Parametres!$G$2,$Q975=Parametres!$G$3),J975,D975)</f>
        <v>0</v>
      </c>
      <c r="P975" s="155">
        <f>+IF(OR($Q975=Parametres!$G$2,$Q975=Parametres!$G$3),K975,E975)</f>
        <v>0</v>
      </c>
      <c r="Q975" s="154">
        <f t="shared" si="87"/>
        <v>0</v>
      </c>
      <c r="R975" s="153">
        <f t="shared" si="88"/>
        <v>0</v>
      </c>
      <c r="S975" s="154">
        <f t="shared" si="8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hidden="1" customHeight="1">
      <c r="A976" s="1170"/>
      <c r="B976" s="1184"/>
      <c r="C976" s="1185"/>
      <c r="D976" s="1170"/>
      <c r="E976" s="1170"/>
      <c r="F976" s="1170"/>
      <c r="G976" s="1170"/>
      <c r="H976" s="1170"/>
      <c r="I976" s="1170"/>
      <c r="J976" s="1170"/>
      <c r="K976" s="1170"/>
      <c r="L976" s="153">
        <f t="shared" si="85"/>
        <v>0</v>
      </c>
      <c r="M976" s="154">
        <f t="shared" si="86"/>
        <v>0</v>
      </c>
      <c r="N976" s="155">
        <f>+IF(OR($Q976=Parametres!$G$2,$Q976=Parametres!$G$3),I976,C976)</f>
        <v>0</v>
      </c>
      <c r="O976" s="1108">
        <f>+IF(OR($Q976=Parametres!$G$2,$Q976=Parametres!$G$3),J976,D976)</f>
        <v>0</v>
      </c>
      <c r="P976" s="155">
        <f>+IF(OR($Q976=Parametres!$G$2,$Q976=Parametres!$G$3),K976,E976)</f>
        <v>0</v>
      </c>
      <c r="Q976" s="154">
        <f t="shared" si="87"/>
        <v>0</v>
      </c>
      <c r="R976" s="153">
        <f t="shared" si="88"/>
        <v>0</v>
      </c>
      <c r="S976" s="154">
        <f t="shared" si="8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hidden="1" customHeight="1">
      <c r="A977" s="1170"/>
      <c r="B977" s="1184"/>
      <c r="C977" s="1185"/>
      <c r="D977" s="1170"/>
      <c r="E977" s="1170"/>
      <c r="F977" s="1170"/>
      <c r="G977" s="1170"/>
      <c r="H977" s="1170"/>
      <c r="I977" s="1170"/>
      <c r="J977" s="1170"/>
      <c r="K977" s="1170"/>
      <c r="L977" s="153">
        <f t="shared" si="85"/>
        <v>0</v>
      </c>
      <c r="M977" s="154">
        <f t="shared" si="86"/>
        <v>0</v>
      </c>
      <c r="N977" s="155">
        <f>+IF(OR($Q977=Parametres!$G$2,$Q977=Parametres!$G$3),I977,C977)</f>
        <v>0</v>
      </c>
      <c r="O977" s="1108">
        <f>+IF(OR($Q977=Parametres!$G$2,$Q977=Parametres!$G$3),J977,D977)</f>
        <v>0</v>
      </c>
      <c r="P977" s="155">
        <f>+IF(OR($Q977=Parametres!$G$2,$Q977=Parametres!$G$3),K977,E977)</f>
        <v>0</v>
      </c>
      <c r="Q977" s="154">
        <f t="shared" si="87"/>
        <v>0</v>
      </c>
      <c r="R977" s="153">
        <f t="shared" si="88"/>
        <v>0</v>
      </c>
      <c r="S977" s="154">
        <f t="shared" si="8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hidden="1" customHeight="1">
      <c r="A978" s="1170"/>
      <c r="B978" s="1184"/>
      <c r="C978" s="1185"/>
      <c r="D978" s="1170"/>
      <c r="E978" s="1170"/>
      <c r="F978" s="1170"/>
      <c r="G978" s="1170"/>
      <c r="H978" s="1170"/>
      <c r="I978" s="1170"/>
      <c r="J978" s="1170"/>
      <c r="K978" s="1170"/>
      <c r="L978" s="153">
        <f t="shared" si="85"/>
        <v>0</v>
      </c>
      <c r="M978" s="154">
        <f t="shared" si="86"/>
        <v>0</v>
      </c>
      <c r="N978" s="155">
        <f>+IF(OR($Q978=Parametres!$G$2,$Q978=Parametres!$G$3),I978,C978)</f>
        <v>0</v>
      </c>
      <c r="O978" s="1108">
        <f>+IF(OR($Q978=Parametres!$G$2,$Q978=Parametres!$G$3),J978,D978)</f>
        <v>0</v>
      </c>
      <c r="P978" s="155">
        <f>+IF(OR($Q978=Parametres!$G$2,$Q978=Parametres!$G$3),K978,E978)</f>
        <v>0</v>
      </c>
      <c r="Q978" s="154">
        <f t="shared" si="87"/>
        <v>0</v>
      </c>
      <c r="R978" s="153">
        <f t="shared" si="88"/>
        <v>0</v>
      </c>
      <c r="S978" s="154">
        <f t="shared" si="8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hidden="1" customHeight="1">
      <c r="A979" s="1170"/>
      <c r="B979" s="1184"/>
      <c r="C979" s="1185"/>
      <c r="D979" s="1170"/>
      <c r="E979" s="1170"/>
      <c r="F979" s="1170"/>
      <c r="G979" s="1170"/>
      <c r="H979" s="1170"/>
      <c r="I979" s="1170"/>
      <c r="J979" s="1170"/>
      <c r="K979" s="1170"/>
      <c r="L979" s="153">
        <f t="shared" si="85"/>
        <v>0</v>
      </c>
      <c r="M979" s="154">
        <f t="shared" si="86"/>
        <v>0</v>
      </c>
      <c r="N979" s="155">
        <f>+IF(OR($Q979=Parametres!$G$2,$Q979=Parametres!$G$3),I979,C979)</f>
        <v>0</v>
      </c>
      <c r="O979" s="1108">
        <f>+IF(OR($Q979=Parametres!$G$2,$Q979=Parametres!$G$3),J979,D979)</f>
        <v>0</v>
      </c>
      <c r="P979" s="155">
        <f>+IF(OR($Q979=Parametres!$G$2,$Q979=Parametres!$G$3),K979,E979)</f>
        <v>0</v>
      </c>
      <c r="Q979" s="154">
        <f t="shared" si="87"/>
        <v>0</v>
      </c>
      <c r="R979" s="153">
        <f t="shared" si="88"/>
        <v>0</v>
      </c>
      <c r="S979" s="154">
        <f t="shared" si="8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hidden="1" customHeight="1">
      <c r="A980" s="1170"/>
      <c r="B980" s="1184"/>
      <c r="C980" s="1185"/>
      <c r="D980" s="1170"/>
      <c r="E980" s="1170"/>
      <c r="F980" s="1170"/>
      <c r="G980" s="1170"/>
      <c r="H980" s="1170"/>
      <c r="I980" s="1170"/>
      <c r="J980" s="1170"/>
      <c r="K980" s="1170"/>
      <c r="L980" s="153">
        <f t="shared" si="85"/>
        <v>0</v>
      </c>
      <c r="M980" s="154">
        <f t="shared" si="86"/>
        <v>0</v>
      </c>
      <c r="N980" s="155">
        <f>+IF(OR($Q980=Parametres!$G$2,$Q980=Parametres!$G$3),I980,C980)</f>
        <v>0</v>
      </c>
      <c r="O980" s="1108">
        <f>+IF(OR($Q980=Parametres!$G$2,$Q980=Parametres!$G$3),J980,D980)</f>
        <v>0</v>
      </c>
      <c r="P980" s="155">
        <f>+IF(OR($Q980=Parametres!$G$2,$Q980=Parametres!$G$3),K980,E980)</f>
        <v>0</v>
      </c>
      <c r="Q980" s="154">
        <f t="shared" si="87"/>
        <v>0</v>
      </c>
      <c r="R980" s="153">
        <f t="shared" si="88"/>
        <v>0</v>
      </c>
      <c r="S980" s="154">
        <f t="shared" si="8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hidden="1" customHeight="1">
      <c r="A981" s="1170"/>
      <c r="B981" s="1184"/>
      <c r="C981" s="1185"/>
      <c r="D981" s="1170"/>
      <c r="E981" s="1170"/>
      <c r="F981" s="1170"/>
      <c r="G981" s="1170"/>
      <c r="H981" s="1170"/>
      <c r="I981" s="1170"/>
      <c r="J981" s="1170"/>
      <c r="K981" s="1170"/>
      <c r="L981" s="153">
        <f t="shared" si="85"/>
        <v>0</v>
      </c>
      <c r="M981" s="154">
        <f t="shared" si="86"/>
        <v>0</v>
      </c>
      <c r="N981" s="155">
        <f>+IF(OR($Q981=Parametres!$G$2,$Q981=Parametres!$G$3),I981,C981)</f>
        <v>0</v>
      </c>
      <c r="O981" s="1108">
        <f>+IF(OR($Q981=Parametres!$G$2,$Q981=Parametres!$G$3),J981,D981)</f>
        <v>0</v>
      </c>
      <c r="P981" s="155">
        <f>+IF(OR($Q981=Parametres!$G$2,$Q981=Parametres!$G$3),K981,E981)</f>
        <v>0</v>
      </c>
      <c r="Q981" s="154">
        <f t="shared" si="87"/>
        <v>0</v>
      </c>
      <c r="R981" s="153">
        <f t="shared" si="88"/>
        <v>0</v>
      </c>
      <c r="S981" s="154">
        <f t="shared" si="8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hidden="1" customHeight="1">
      <c r="A982" s="1170"/>
      <c r="B982" s="1184"/>
      <c r="C982" s="1185"/>
      <c r="D982" s="1170"/>
      <c r="E982" s="1170"/>
      <c r="F982" s="1170"/>
      <c r="G982" s="1170"/>
      <c r="H982" s="1170"/>
      <c r="I982" s="1170"/>
      <c r="J982" s="1170"/>
      <c r="K982" s="1170"/>
      <c r="L982" s="153">
        <f t="shared" si="85"/>
        <v>0</v>
      </c>
      <c r="M982" s="154">
        <f t="shared" si="86"/>
        <v>0</v>
      </c>
      <c r="N982" s="155">
        <f>+IF(OR($Q982=Parametres!$G$2,$Q982=Parametres!$G$3),I982,C982)</f>
        <v>0</v>
      </c>
      <c r="O982" s="1108">
        <f>+IF(OR($Q982=Parametres!$G$2,$Q982=Parametres!$G$3),J982,D982)</f>
        <v>0</v>
      </c>
      <c r="P982" s="155">
        <f>+IF(OR($Q982=Parametres!$G$2,$Q982=Parametres!$G$3),K982,E982)</f>
        <v>0</v>
      </c>
      <c r="Q982" s="154">
        <f t="shared" si="87"/>
        <v>0</v>
      </c>
      <c r="R982" s="153">
        <f t="shared" si="88"/>
        <v>0</v>
      </c>
      <c r="S982" s="154">
        <f t="shared" si="8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hidden="1" customHeight="1">
      <c r="A983" s="1170"/>
      <c r="B983" s="1184"/>
      <c r="C983" s="1185"/>
      <c r="D983" s="1170"/>
      <c r="E983" s="1170"/>
      <c r="F983" s="1170"/>
      <c r="G983" s="1170"/>
      <c r="H983" s="1170"/>
      <c r="I983" s="1170"/>
      <c r="J983" s="1170"/>
      <c r="K983" s="1170"/>
      <c r="L983" s="153">
        <f t="shared" si="85"/>
        <v>0</v>
      </c>
      <c r="M983" s="154">
        <f t="shared" si="86"/>
        <v>0</v>
      </c>
      <c r="N983" s="155">
        <f>+IF(OR($Q983=Parametres!$G$2,$Q983=Parametres!$G$3),I983,C983)</f>
        <v>0</v>
      </c>
      <c r="O983" s="1108">
        <f>+IF(OR($Q983=Parametres!$G$2,$Q983=Parametres!$G$3),J983,D983)</f>
        <v>0</v>
      </c>
      <c r="P983" s="155">
        <f>+IF(OR($Q983=Parametres!$G$2,$Q983=Parametres!$G$3),K983,E983)</f>
        <v>0</v>
      </c>
      <c r="Q983" s="154">
        <f t="shared" si="87"/>
        <v>0</v>
      </c>
      <c r="R983" s="153">
        <f t="shared" si="88"/>
        <v>0</v>
      </c>
      <c r="S983" s="154">
        <f t="shared" si="8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hidden="1" customHeight="1">
      <c r="A984" s="1170"/>
      <c r="B984" s="1184"/>
      <c r="C984" s="1185"/>
      <c r="D984" s="1170"/>
      <c r="E984" s="1170"/>
      <c r="F984" s="1170"/>
      <c r="G984" s="1170"/>
      <c r="H984" s="1170"/>
      <c r="I984" s="1170"/>
      <c r="J984" s="1170"/>
      <c r="K984" s="1170"/>
      <c r="L984" s="153">
        <f t="shared" si="85"/>
        <v>0</v>
      </c>
      <c r="M984" s="154">
        <f t="shared" si="86"/>
        <v>0</v>
      </c>
      <c r="N984" s="155">
        <f>+IF(OR($Q984=Parametres!$G$2,$Q984=Parametres!$G$3),I984,C984)</f>
        <v>0</v>
      </c>
      <c r="O984" s="1108">
        <f>+IF(OR($Q984=Parametres!$G$2,$Q984=Parametres!$G$3),J984,D984)</f>
        <v>0</v>
      </c>
      <c r="P984" s="155">
        <f>+IF(OR($Q984=Parametres!$G$2,$Q984=Parametres!$G$3),K984,E984)</f>
        <v>0</v>
      </c>
      <c r="Q984" s="154">
        <f t="shared" si="87"/>
        <v>0</v>
      </c>
      <c r="R984" s="153">
        <f t="shared" si="88"/>
        <v>0</v>
      </c>
      <c r="S984" s="154">
        <f t="shared" si="8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hidden="1" customHeight="1">
      <c r="A985" s="1170"/>
      <c r="B985" s="1184"/>
      <c r="C985" s="1185"/>
      <c r="D985" s="1170"/>
      <c r="E985" s="1170"/>
      <c r="F985" s="1170"/>
      <c r="G985" s="1170"/>
      <c r="H985" s="1170"/>
      <c r="I985" s="1170"/>
      <c r="J985" s="1170"/>
      <c r="K985" s="1170"/>
      <c r="L985" s="153">
        <f t="shared" si="85"/>
        <v>0</v>
      </c>
      <c r="M985" s="154">
        <f t="shared" si="86"/>
        <v>0</v>
      </c>
      <c r="N985" s="155">
        <f>+IF(OR($Q985=Parametres!$G$2,$Q985=Parametres!$G$3),I985,C985)</f>
        <v>0</v>
      </c>
      <c r="O985" s="1108">
        <f>+IF(OR($Q985=Parametres!$G$2,$Q985=Parametres!$G$3),J985,D985)</f>
        <v>0</v>
      </c>
      <c r="P985" s="155">
        <f>+IF(OR($Q985=Parametres!$G$2,$Q985=Parametres!$G$3),K985,E985)</f>
        <v>0</v>
      </c>
      <c r="Q985" s="154">
        <f t="shared" si="87"/>
        <v>0</v>
      </c>
      <c r="R985" s="153">
        <f t="shared" si="88"/>
        <v>0</v>
      </c>
      <c r="S985" s="154">
        <f t="shared" si="8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hidden="1" customHeight="1">
      <c r="A986" s="1170"/>
      <c r="B986" s="1184"/>
      <c r="C986" s="1185"/>
      <c r="D986" s="1170"/>
      <c r="E986" s="1170"/>
      <c r="F986" s="1170"/>
      <c r="G986" s="1170"/>
      <c r="H986" s="1170"/>
      <c r="I986" s="1170"/>
      <c r="J986" s="1170"/>
      <c r="K986" s="1170"/>
      <c r="L986" s="153">
        <f t="shared" si="85"/>
        <v>0</v>
      </c>
      <c r="M986" s="154">
        <f t="shared" si="86"/>
        <v>0</v>
      </c>
      <c r="N986" s="155">
        <f>+IF(OR($Q986=Parametres!$G$2,$Q986=Parametres!$G$3),I986,C986)</f>
        <v>0</v>
      </c>
      <c r="O986" s="1108">
        <f>+IF(OR($Q986=Parametres!$G$2,$Q986=Parametres!$G$3),J986,D986)</f>
        <v>0</v>
      </c>
      <c r="P986" s="155">
        <f>+IF(OR($Q986=Parametres!$G$2,$Q986=Parametres!$G$3),K986,E986)</f>
        <v>0</v>
      </c>
      <c r="Q986" s="154">
        <f t="shared" si="87"/>
        <v>0</v>
      </c>
      <c r="R986" s="153">
        <f t="shared" si="88"/>
        <v>0</v>
      </c>
      <c r="S986" s="154">
        <f t="shared" si="8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hidden="1" customHeight="1">
      <c r="A987" s="1170"/>
      <c r="B987" s="1184"/>
      <c r="C987" s="1185"/>
      <c r="D987" s="1170"/>
      <c r="E987" s="1170"/>
      <c r="F987" s="1170"/>
      <c r="G987" s="1170"/>
      <c r="H987" s="1170"/>
      <c r="I987" s="1170"/>
      <c r="J987" s="1170"/>
      <c r="K987" s="1170"/>
      <c r="L987" s="153">
        <f t="shared" si="85"/>
        <v>0</v>
      </c>
      <c r="M987" s="154">
        <f t="shared" si="86"/>
        <v>0</v>
      </c>
      <c r="N987" s="155">
        <f>+IF(OR($Q987=Parametres!$G$2,$Q987=Parametres!$G$3),I987,C987)</f>
        <v>0</v>
      </c>
      <c r="O987" s="1108">
        <f>+IF(OR($Q987=Parametres!$G$2,$Q987=Parametres!$G$3),J987,D987)</f>
        <v>0</v>
      </c>
      <c r="P987" s="155">
        <f>+IF(OR($Q987=Parametres!$G$2,$Q987=Parametres!$G$3),K987,E987)</f>
        <v>0</v>
      </c>
      <c r="Q987" s="154">
        <f t="shared" si="87"/>
        <v>0</v>
      </c>
      <c r="R987" s="153">
        <f t="shared" si="88"/>
        <v>0</v>
      </c>
      <c r="S987" s="154">
        <f t="shared" si="8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hidden="1" customHeight="1">
      <c r="A988" s="1170"/>
      <c r="B988" s="1184"/>
      <c r="C988" s="1185"/>
      <c r="D988" s="1170"/>
      <c r="E988" s="1170"/>
      <c r="F988" s="1170"/>
      <c r="G988" s="1170"/>
      <c r="H988" s="1170"/>
      <c r="I988" s="1170"/>
      <c r="J988" s="1170"/>
      <c r="K988" s="1170"/>
      <c r="L988" s="153">
        <f t="shared" si="85"/>
        <v>0</v>
      </c>
      <c r="M988" s="154">
        <f t="shared" si="86"/>
        <v>0</v>
      </c>
      <c r="N988" s="155">
        <f>+IF(OR($Q988=Parametres!$G$2,$Q988=Parametres!$G$3),I988,C988)</f>
        <v>0</v>
      </c>
      <c r="O988" s="1108">
        <f>+IF(OR($Q988=Parametres!$G$2,$Q988=Parametres!$G$3),J988,D988)</f>
        <v>0</v>
      </c>
      <c r="P988" s="155">
        <f>+IF(OR($Q988=Parametres!$G$2,$Q988=Parametres!$G$3),K988,E988)</f>
        <v>0</v>
      </c>
      <c r="Q988" s="154">
        <f t="shared" si="87"/>
        <v>0</v>
      </c>
      <c r="R988" s="153">
        <f t="shared" si="88"/>
        <v>0</v>
      </c>
      <c r="S988" s="154">
        <f t="shared" si="8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hidden="1" customHeight="1">
      <c r="A989" s="1170"/>
      <c r="B989" s="1184"/>
      <c r="C989" s="1185"/>
      <c r="D989" s="1170"/>
      <c r="E989" s="1170"/>
      <c r="F989" s="1170"/>
      <c r="G989" s="1170"/>
      <c r="H989" s="1170"/>
      <c r="I989" s="1170"/>
      <c r="J989" s="1170"/>
      <c r="K989" s="1170"/>
      <c r="L989" s="153">
        <f t="shared" si="85"/>
        <v>0</v>
      </c>
      <c r="M989" s="154">
        <f t="shared" si="86"/>
        <v>0</v>
      </c>
      <c r="N989" s="155">
        <f>+IF(OR($Q989=Parametres!$G$2,$Q989=Parametres!$G$3),I989,C989)</f>
        <v>0</v>
      </c>
      <c r="O989" s="1108">
        <f>+IF(OR($Q989=Parametres!$G$2,$Q989=Parametres!$G$3),J989,D989)</f>
        <v>0</v>
      </c>
      <c r="P989" s="155">
        <f>+IF(OR($Q989=Parametres!$G$2,$Q989=Parametres!$G$3),K989,E989)</f>
        <v>0</v>
      </c>
      <c r="Q989" s="154">
        <f t="shared" si="87"/>
        <v>0</v>
      </c>
      <c r="R989" s="153">
        <f t="shared" si="88"/>
        <v>0</v>
      </c>
      <c r="S989" s="154">
        <f t="shared" si="8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hidden="1" customHeight="1">
      <c r="A990" s="1170"/>
      <c r="B990" s="1184"/>
      <c r="C990" s="1185"/>
      <c r="D990" s="1170"/>
      <c r="E990" s="1170"/>
      <c r="F990" s="1170"/>
      <c r="G990" s="1170"/>
      <c r="H990" s="1170"/>
      <c r="I990" s="1170"/>
      <c r="J990" s="1170"/>
      <c r="K990" s="1170"/>
      <c r="L990" s="153">
        <f t="shared" si="85"/>
        <v>0</v>
      </c>
      <c r="M990" s="154">
        <f t="shared" si="86"/>
        <v>0</v>
      </c>
      <c r="N990" s="155">
        <f>+IF(OR($Q990=Parametres!$G$2,$Q990=Parametres!$G$3),I990,C990)</f>
        <v>0</v>
      </c>
      <c r="O990" s="1108">
        <f>+IF(OR($Q990=Parametres!$G$2,$Q990=Parametres!$G$3),J990,D990)</f>
        <v>0</v>
      </c>
      <c r="P990" s="155">
        <f>+IF(OR($Q990=Parametres!$G$2,$Q990=Parametres!$G$3),K990,E990)</f>
        <v>0</v>
      </c>
      <c r="Q990" s="154">
        <f t="shared" si="87"/>
        <v>0</v>
      </c>
      <c r="R990" s="153">
        <f t="shared" si="88"/>
        <v>0</v>
      </c>
      <c r="S990" s="154">
        <f t="shared" si="8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hidden="1" customHeight="1">
      <c r="A991" s="1170"/>
      <c r="B991" s="1184"/>
      <c r="C991" s="1185"/>
      <c r="D991" s="1170"/>
      <c r="E991" s="1170"/>
      <c r="F991" s="1170"/>
      <c r="G991" s="1170"/>
      <c r="H991" s="1170"/>
      <c r="I991" s="1170"/>
      <c r="J991" s="1170"/>
      <c r="K991" s="1170"/>
      <c r="L991" s="153">
        <f t="shared" si="85"/>
        <v>0</v>
      </c>
      <c r="M991" s="154">
        <f t="shared" si="86"/>
        <v>0</v>
      </c>
      <c r="N991" s="155">
        <f>+IF(OR($Q991=Parametres!$G$2,$Q991=Parametres!$G$3),I991,C991)</f>
        <v>0</v>
      </c>
      <c r="O991" s="1108">
        <f>+IF(OR($Q991=Parametres!$G$2,$Q991=Parametres!$G$3),J991,D991)</f>
        <v>0</v>
      </c>
      <c r="P991" s="155">
        <f>+IF(OR($Q991=Parametres!$G$2,$Q991=Parametres!$G$3),K991,E991)</f>
        <v>0</v>
      </c>
      <c r="Q991" s="154">
        <f t="shared" si="87"/>
        <v>0</v>
      </c>
      <c r="R991" s="153">
        <f t="shared" si="88"/>
        <v>0</v>
      </c>
      <c r="S991" s="154">
        <f t="shared" si="8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hidden="1" customHeight="1">
      <c r="A992" s="1170"/>
      <c r="B992" s="1184"/>
      <c r="C992" s="1185"/>
      <c r="D992" s="1170"/>
      <c r="E992" s="1170"/>
      <c r="F992" s="1170"/>
      <c r="G992" s="1170"/>
      <c r="H992" s="1170"/>
      <c r="I992" s="1170"/>
      <c r="J992" s="1170"/>
      <c r="K992" s="1170"/>
      <c r="L992" s="153">
        <f t="shared" si="85"/>
        <v>0</v>
      </c>
      <c r="M992" s="154">
        <f t="shared" si="86"/>
        <v>0</v>
      </c>
      <c r="N992" s="155">
        <f>+IF(OR($Q992=Parametres!$G$2,$Q992=Parametres!$G$3),I992,C992)</f>
        <v>0</v>
      </c>
      <c r="O992" s="1108">
        <f>+IF(OR($Q992=Parametres!$G$2,$Q992=Parametres!$G$3),J992,D992)</f>
        <v>0</v>
      </c>
      <c r="P992" s="155">
        <f>+IF(OR($Q992=Parametres!$G$2,$Q992=Parametres!$G$3),K992,E992)</f>
        <v>0</v>
      </c>
      <c r="Q992" s="154">
        <f t="shared" si="87"/>
        <v>0</v>
      </c>
      <c r="R992" s="153">
        <f t="shared" si="88"/>
        <v>0</v>
      </c>
      <c r="S992" s="154">
        <f t="shared" si="8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hidden="1" customHeight="1">
      <c r="A993" s="1170"/>
      <c r="B993" s="1184"/>
      <c r="C993" s="1185"/>
      <c r="D993" s="1170"/>
      <c r="E993" s="1170"/>
      <c r="F993" s="1170"/>
      <c r="G993" s="1170"/>
      <c r="H993" s="1170"/>
      <c r="I993" s="1170"/>
      <c r="J993" s="1170"/>
      <c r="K993" s="1170"/>
      <c r="L993" s="153">
        <f t="shared" si="85"/>
        <v>0</v>
      </c>
      <c r="M993" s="154">
        <f t="shared" si="86"/>
        <v>0</v>
      </c>
      <c r="N993" s="155">
        <f>+IF(OR($Q993=Parametres!$G$2,$Q993=Parametres!$G$3),I993,C993)</f>
        <v>0</v>
      </c>
      <c r="O993" s="1108">
        <f>+IF(OR($Q993=Parametres!$G$2,$Q993=Parametres!$G$3),J993,D993)</f>
        <v>0</v>
      </c>
      <c r="P993" s="155">
        <f>+IF(OR($Q993=Parametres!$G$2,$Q993=Parametres!$G$3),K993,E993)</f>
        <v>0</v>
      </c>
      <c r="Q993" s="154">
        <f t="shared" si="87"/>
        <v>0</v>
      </c>
      <c r="R993" s="153">
        <f t="shared" si="88"/>
        <v>0</v>
      </c>
      <c r="S993" s="154">
        <f t="shared" si="8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hidden="1" customHeight="1">
      <c r="A994" s="1170"/>
      <c r="B994" s="1184"/>
      <c r="C994" s="1185"/>
      <c r="D994" s="1170"/>
      <c r="E994" s="1170"/>
      <c r="F994" s="1170"/>
      <c r="G994" s="1170"/>
      <c r="H994" s="1170"/>
      <c r="I994" s="1170"/>
      <c r="J994" s="1170"/>
      <c r="K994" s="1170"/>
      <c r="L994" s="153">
        <f t="shared" si="85"/>
        <v>0</v>
      </c>
      <c r="M994" s="154">
        <f t="shared" si="86"/>
        <v>0</v>
      </c>
      <c r="N994" s="155">
        <f>+IF(OR($Q994=Parametres!$G$2,$Q994=Parametres!$G$3),I994,C994)</f>
        <v>0</v>
      </c>
      <c r="O994" s="1108">
        <f>+IF(OR($Q994=Parametres!$G$2,$Q994=Parametres!$G$3),J994,D994)</f>
        <v>0</v>
      </c>
      <c r="P994" s="155">
        <f>+IF(OR($Q994=Parametres!$G$2,$Q994=Parametres!$G$3),K994,E994)</f>
        <v>0</v>
      </c>
      <c r="Q994" s="154">
        <f t="shared" si="87"/>
        <v>0</v>
      </c>
      <c r="R994" s="153">
        <f t="shared" si="88"/>
        <v>0</v>
      </c>
      <c r="S994" s="154">
        <f t="shared" si="8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hidden="1" customHeight="1">
      <c r="A995" s="1170"/>
      <c r="B995" s="1184"/>
      <c r="C995" s="1185"/>
      <c r="D995" s="1170"/>
      <c r="E995" s="1170"/>
      <c r="F995" s="1170"/>
      <c r="G995" s="1170"/>
      <c r="H995" s="1170"/>
      <c r="I995" s="1170"/>
      <c r="J995" s="1170"/>
      <c r="K995" s="1170"/>
      <c r="L995" s="153">
        <f t="shared" si="85"/>
        <v>0</v>
      </c>
      <c r="M995" s="154">
        <f t="shared" si="86"/>
        <v>0</v>
      </c>
      <c r="N995" s="155">
        <f>+IF(OR($Q995=Parametres!$G$2,$Q995=Parametres!$G$3),I995,C995)</f>
        <v>0</v>
      </c>
      <c r="O995" s="1108">
        <f>+IF(OR($Q995=Parametres!$G$2,$Q995=Parametres!$G$3),J995,D995)</f>
        <v>0</v>
      </c>
      <c r="P995" s="155">
        <f>+IF(OR($Q995=Parametres!$G$2,$Q995=Parametres!$G$3),K995,E995)</f>
        <v>0</v>
      </c>
      <c r="Q995" s="154">
        <f t="shared" si="87"/>
        <v>0</v>
      </c>
      <c r="R995" s="153">
        <f t="shared" si="88"/>
        <v>0</v>
      </c>
      <c r="S995" s="154">
        <f t="shared" si="8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hidden="1" customHeight="1">
      <c r="A996" s="1170"/>
      <c r="B996" s="1184"/>
      <c r="C996" s="1185"/>
      <c r="D996" s="1170"/>
      <c r="E996" s="1170"/>
      <c r="F996" s="1170"/>
      <c r="G996" s="1170"/>
      <c r="H996" s="1170"/>
      <c r="I996" s="1170"/>
      <c r="J996" s="1170"/>
      <c r="K996" s="1170"/>
      <c r="L996" s="153">
        <f t="shared" si="85"/>
        <v>0</v>
      </c>
      <c r="M996" s="154">
        <f t="shared" si="86"/>
        <v>0</v>
      </c>
      <c r="N996" s="155">
        <f>+IF(OR($Q996=Parametres!$G$2,$Q996=Parametres!$G$3),I996,C996)</f>
        <v>0</v>
      </c>
      <c r="O996" s="1108">
        <f>+IF(OR($Q996=Parametres!$G$2,$Q996=Parametres!$G$3),J996,D996)</f>
        <v>0</v>
      </c>
      <c r="P996" s="155">
        <f>+IF(OR($Q996=Parametres!$G$2,$Q996=Parametres!$G$3),K996,E996)</f>
        <v>0</v>
      </c>
      <c r="Q996" s="154">
        <f t="shared" si="87"/>
        <v>0</v>
      </c>
      <c r="R996" s="153">
        <f t="shared" si="88"/>
        <v>0</v>
      </c>
      <c r="S996" s="154">
        <f t="shared" si="8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hidden="1" customHeight="1">
      <c r="A997" s="1170"/>
      <c r="B997" s="1184"/>
      <c r="C997" s="1185"/>
      <c r="D997" s="1170"/>
      <c r="E997" s="1170"/>
      <c r="F997" s="1170"/>
      <c r="G997" s="1170"/>
      <c r="H997" s="1170"/>
      <c r="I997" s="1170"/>
      <c r="J997" s="1170"/>
      <c r="K997" s="1170"/>
      <c r="L997" s="153">
        <f t="shared" si="85"/>
        <v>0</v>
      </c>
      <c r="M997" s="154">
        <f t="shared" si="86"/>
        <v>0</v>
      </c>
      <c r="N997" s="155">
        <f>+IF(OR($Q997=Parametres!$G$2,$Q997=Parametres!$G$3),I997,C997)</f>
        <v>0</v>
      </c>
      <c r="O997" s="1108">
        <f>+IF(OR($Q997=Parametres!$G$2,$Q997=Parametres!$G$3),J997,D997)</f>
        <v>0</v>
      </c>
      <c r="P997" s="155">
        <f>+IF(OR($Q997=Parametres!$G$2,$Q997=Parametres!$G$3),K997,E997)</f>
        <v>0</v>
      </c>
      <c r="Q997" s="154">
        <f t="shared" si="87"/>
        <v>0</v>
      </c>
      <c r="R997" s="153">
        <f t="shared" si="88"/>
        <v>0</v>
      </c>
      <c r="S997" s="154">
        <f t="shared" si="8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hidden="1" customHeight="1">
      <c r="A998" s="1170"/>
      <c r="B998" s="1184"/>
      <c r="C998" s="1185"/>
      <c r="D998" s="1170"/>
      <c r="E998" s="1170"/>
      <c r="F998" s="1170"/>
      <c r="G998" s="1170"/>
      <c r="H998" s="1170"/>
      <c r="I998" s="1170"/>
      <c r="J998" s="1170"/>
      <c r="K998" s="1170"/>
      <c r="L998" s="153">
        <f t="shared" si="85"/>
        <v>0</v>
      </c>
      <c r="M998" s="154">
        <f t="shared" si="86"/>
        <v>0</v>
      </c>
      <c r="N998" s="155">
        <f>+IF(OR($Q998=Parametres!$G$2,$Q998=Parametres!$G$3),I998,C998)</f>
        <v>0</v>
      </c>
      <c r="O998" s="1108">
        <f>+IF(OR($Q998=Parametres!$G$2,$Q998=Parametres!$G$3),J998,D998)</f>
        <v>0</v>
      </c>
      <c r="P998" s="155">
        <f>+IF(OR($Q998=Parametres!$G$2,$Q998=Parametres!$G$3),K998,E998)</f>
        <v>0</v>
      </c>
      <c r="Q998" s="154">
        <f t="shared" si="87"/>
        <v>0</v>
      </c>
      <c r="R998" s="153">
        <f t="shared" si="88"/>
        <v>0</v>
      </c>
      <c r="S998" s="154">
        <f t="shared" si="8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hidden="1" customHeight="1">
      <c r="A999" s="1170"/>
      <c r="B999" s="1184"/>
      <c r="C999" s="1185"/>
      <c r="D999" s="1170"/>
      <c r="E999" s="1170"/>
      <c r="F999" s="1170"/>
      <c r="G999" s="1170"/>
      <c r="H999" s="1170"/>
      <c r="I999" s="1170"/>
      <c r="J999" s="1170"/>
      <c r="K999" s="1170"/>
      <c r="L999" s="153">
        <f t="shared" si="85"/>
        <v>0</v>
      </c>
      <c r="M999" s="154">
        <f t="shared" si="86"/>
        <v>0</v>
      </c>
      <c r="N999" s="155">
        <f>+IF(OR($Q999=Parametres!$G$2,$Q999=Parametres!$G$3),I999,C999)</f>
        <v>0</v>
      </c>
      <c r="O999" s="1108">
        <f>+IF(OR($Q999=Parametres!$G$2,$Q999=Parametres!$G$3),J999,D999)</f>
        <v>0</v>
      </c>
      <c r="P999" s="155">
        <f>+IF(OR($Q999=Parametres!$G$2,$Q999=Parametres!$G$3),K999,E999)</f>
        <v>0</v>
      </c>
      <c r="Q999" s="154">
        <f t="shared" si="87"/>
        <v>0</v>
      </c>
      <c r="R999" s="153">
        <f t="shared" si="88"/>
        <v>0</v>
      </c>
      <c r="S999" s="154">
        <f t="shared" si="8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hidden="1" customHeight="1">
      <c r="A1000" s="1170"/>
      <c r="B1000" s="1184"/>
      <c r="C1000" s="1185"/>
      <c r="D1000" s="1170"/>
      <c r="E1000" s="1170"/>
      <c r="F1000" s="1170"/>
      <c r="G1000" s="1170"/>
      <c r="H1000" s="1170"/>
      <c r="I1000" s="1170"/>
      <c r="J1000" s="1170"/>
      <c r="K1000" s="1170"/>
      <c r="L1000" s="153">
        <f t="shared" si="85"/>
        <v>0</v>
      </c>
      <c r="M1000" s="154">
        <f t="shared" si="86"/>
        <v>0</v>
      </c>
      <c r="N1000" s="155">
        <f>+IF(OR($Q1000=Parametres!$G$2,$Q1000=Parametres!$G$3),I1000,C1000)</f>
        <v>0</v>
      </c>
      <c r="O1000" s="1108">
        <f>+IF(OR($Q1000=Parametres!$G$2,$Q1000=Parametres!$G$3),J1000,D1000)</f>
        <v>0</v>
      </c>
      <c r="P1000" s="155">
        <f>+IF(OR($Q1000=Parametres!$G$2,$Q1000=Parametres!$G$3),K1000,E1000)</f>
        <v>0</v>
      </c>
      <c r="Q1000" s="154">
        <f t="shared" si="87"/>
        <v>0</v>
      </c>
      <c r="R1000" s="153">
        <f t="shared" si="88"/>
        <v>0</v>
      </c>
      <c r="S1000" s="154">
        <f t="shared" si="8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hidden="1" customHeight="1">
      <c r="A1001" s="1170"/>
      <c r="B1001" s="1184"/>
      <c r="C1001" s="1185"/>
      <c r="D1001" s="1170"/>
      <c r="E1001" s="1170"/>
      <c r="F1001" s="1170"/>
      <c r="G1001" s="1170"/>
      <c r="H1001" s="1170"/>
      <c r="I1001" s="1170"/>
      <c r="J1001" s="1170"/>
      <c r="K1001" s="1170"/>
      <c r="L1001" s="153">
        <f t="shared" si="85"/>
        <v>0</v>
      </c>
      <c r="M1001" s="154">
        <f t="shared" si="86"/>
        <v>0</v>
      </c>
      <c r="N1001" s="155">
        <f>+IF(OR($Q1001=Parametres!$G$2,$Q1001=Parametres!$G$3),I1001,C1001)</f>
        <v>0</v>
      </c>
      <c r="O1001" s="1108">
        <f>+IF(OR($Q1001=Parametres!$G$2,$Q1001=Parametres!$G$3),J1001,D1001)</f>
        <v>0</v>
      </c>
      <c r="P1001" s="155">
        <f>+IF(OR($Q1001=Parametres!$G$2,$Q1001=Parametres!$G$3),K1001,E1001)</f>
        <v>0</v>
      </c>
      <c r="Q1001" s="154">
        <f t="shared" si="87"/>
        <v>0</v>
      </c>
      <c r="R1001" s="153">
        <f t="shared" si="88"/>
        <v>0</v>
      </c>
      <c r="S1001" s="154">
        <f t="shared" si="8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hidden="1" customHeight="1">
      <c r="A1002" s="1170"/>
      <c r="B1002" s="1184"/>
      <c r="C1002" s="1185"/>
      <c r="D1002" s="1170"/>
      <c r="E1002" s="1170"/>
      <c r="F1002" s="1170"/>
      <c r="G1002" s="1170"/>
      <c r="H1002" s="1170"/>
      <c r="I1002" s="1170"/>
      <c r="J1002" s="1170"/>
      <c r="K1002" s="1170"/>
      <c r="L1002" s="153">
        <f t="shared" si="85"/>
        <v>0</v>
      </c>
      <c r="M1002" s="154">
        <f t="shared" si="86"/>
        <v>0</v>
      </c>
      <c r="N1002" s="155">
        <f>+IF(OR($Q1002=Parametres!$G$2,$Q1002=Parametres!$G$3),I1002,C1002)</f>
        <v>0</v>
      </c>
      <c r="O1002" s="1108">
        <f>+IF(OR($Q1002=Parametres!$G$2,$Q1002=Parametres!$G$3),J1002,D1002)</f>
        <v>0</v>
      </c>
      <c r="P1002" s="155">
        <f>+IF(OR($Q1002=Parametres!$G$2,$Q1002=Parametres!$G$3),K1002,E1002)</f>
        <v>0</v>
      </c>
      <c r="Q1002" s="154">
        <f t="shared" si="87"/>
        <v>0</v>
      </c>
      <c r="R1002" s="153">
        <f t="shared" si="88"/>
        <v>0</v>
      </c>
      <c r="S1002" s="154">
        <f t="shared" si="8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hidden="1" customHeight="1">
      <c r="A1003" s="1170"/>
      <c r="B1003" s="1184"/>
      <c r="C1003" s="1185"/>
      <c r="D1003" s="1170"/>
      <c r="E1003" s="1170"/>
      <c r="F1003" s="1170"/>
      <c r="G1003" s="1170"/>
      <c r="H1003" s="1170"/>
      <c r="I1003" s="1170"/>
      <c r="J1003" s="1170"/>
      <c r="K1003" s="1170"/>
      <c r="L1003" s="153">
        <f t="shared" si="85"/>
        <v>0</v>
      </c>
      <c r="M1003" s="154">
        <f t="shared" si="86"/>
        <v>0</v>
      </c>
      <c r="N1003" s="155">
        <f>+IF(OR($Q1003=Parametres!$G$2,$Q1003=Parametres!$G$3),I1003,C1003)</f>
        <v>0</v>
      </c>
      <c r="O1003" s="1108">
        <f>+IF(OR($Q1003=Parametres!$G$2,$Q1003=Parametres!$G$3),J1003,D1003)</f>
        <v>0</v>
      </c>
      <c r="P1003" s="155">
        <f>+IF(OR($Q1003=Parametres!$G$2,$Q1003=Parametres!$G$3),K1003,E1003)</f>
        <v>0</v>
      </c>
      <c r="Q1003" s="154">
        <f t="shared" si="87"/>
        <v>0</v>
      </c>
      <c r="R1003" s="153">
        <f t="shared" si="88"/>
        <v>0</v>
      </c>
      <c r="S1003" s="154">
        <f t="shared" si="8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hidden="1" customHeight="1">
      <c r="A1004" s="1170"/>
      <c r="B1004" s="1184"/>
      <c r="C1004" s="1185"/>
      <c r="D1004" s="1170"/>
      <c r="E1004" s="1170"/>
      <c r="F1004" s="1170"/>
      <c r="G1004" s="1170"/>
      <c r="H1004" s="1170"/>
      <c r="I1004" s="1170"/>
      <c r="J1004" s="1170"/>
      <c r="K1004" s="1170"/>
      <c r="L1004" s="153">
        <f t="shared" si="85"/>
        <v>0</v>
      </c>
      <c r="M1004" s="154">
        <f t="shared" si="86"/>
        <v>0</v>
      </c>
      <c r="N1004" s="155">
        <f>+IF(OR($Q1004=Parametres!$G$2,$Q1004=Parametres!$G$3),I1004,C1004)</f>
        <v>0</v>
      </c>
      <c r="O1004" s="1108">
        <f>+IF(OR($Q1004=Parametres!$G$2,$Q1004=Parametres!$G$3),J1004,D1004)</f>
        <v>0</v>
      </c>
      <c r="P1004" s="155">
        <f>+IF(OR($Q1004=Parametres!$G$2,$Q1004=Parametres!$G$3),K1004,E1004)</f>
        <v>0</v>
      </c>
      <c r="Q1004" s="154">
        <f t="shared" si="87"/>
        <v>0</v>
      </c>
      <c r="R1004" s="153">
        <f t="shared" si="88"/>
        <v>0</v>
      </c>
      <c r="S1004" s="154">
        <f t="shared" si="8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hidden="1" customHeight="1">
      <c r="A1005" s="1170"/>
      <c r="B1005" s="1184"/>
      <c r="C1005" s="1185"/>
      <c r="D1005" s="1170"/>
      <c r="E1005" s="1170"/>
      <c r="F1005" s="1170"/>
      <c r="G1005" s="1170"/>
      <c r="H1005" s="1170"/>
      <c r="I1005" s="1170"/>
      <c r="J1005" s="1170"/>
      <c r="K1005" s="1170"/>
      <c r="L1005" s="153">
        <f t="shared" si="85"/>
        <v>0</v>
      </c>
      <c r="M1005" s="154">
        <f t="shared" si="86"/>
        <v>0</v>
      </c>
      <c r="N1005" s="155">
        <f>+IF(OR($Q1005=Parametres!$G$2,$Q1005=Parametres!$G$3),I1005,C1005)</f>
        <v>0</v>
      </c>
      <c r="O1005" s="1108">
        <f>+IF(OR($Q1005=Parametres!$G$2,$Q1005=Parametres!$G$3),J1005,D1005)</f>
        <v>0</v>
      </c>
      <c r="P1005" s="155">
        <f>+IF(OR($Q1005=Parametres!$G$2,$Q1005=Parametres!$G$3),K1005,E1005)</f>
        <v>0</v>
      </c>
      <c r="Q1005" s="154">
        <f t="shared" si="87"/>
        <v>0</v>
      </c>
      <c r="R1005" s="153">
        <f t="shared" si="88"/>
        <v>0</v>
      </c>
      <c r="S1005" s="154">
        <f t="shared" si="8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hidden="1" customHeight="1">
      <c r="A1006" s="1170"/>
      <c r="B1006" s="1184"/>
      <c r="C1006" s="1185"/>
      <c r="D1006" s="1170"/>
      <c r="E1006" s="1170"/>
      <c r="F1006" s="1170"/>
      <c r="G1006" s="1170"/>
      <c r="H1006" s="1170"/>
      <c r="I1006" s="1170"/>
      <c r="J1006" s="1170"/>
      <c r="K1006" s="1170"/>
      <c r="L1006" s="153">
        <f t="shared" si="85"/>
        <v>0</v>
      </c>
      <c r="M1006" s="154">
        <f t="shared" si="86"/>
        <v>0</v>
      </c>
      <c r="N1006" s="155">
        <f>+IF(OR($Q1006=Parametres!$G$2,$Q1006=Parametres!$G$3),I1006,C1006)</f>
        <v>0</v>
      </c>
      <c r="O1006" s="1108">
        <f>+IF(OR($Q1006=Parametres!$G$2,$Q1006=Parametres!$G$3),J1006,D1006)</f>
        <v>0</v>
      </c>
      <c r="P1006" s="155">
        <f>+IF(OR($Q1006=Parametres!$G$2,$Q1006=Parametres!$G$3),K1006,E1006)</f>
        <v>0</v>
      </c>
      <c r="Q1006" s="154">
        <f t="shared" si="87"/>
        <v>0</v>
      </c>
      <c r="R1006" s="153">
        <f t="shared" si="88"/>
        <v>0</v>
      </c>
      <c r="S1006" s="154">
        <f t="shared" si="8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hidden="1" customHeight="1">
      <c r="A1007" s="1170"/>
      <c r="B1007" s="1184"/>
      <c r="C1007" s="1185"/>
      <c r="D1007" s="1170"/>
      <c r="E1007" s="1170"/>
      <c r="F1007" s="1170"/>
      <c r="G1007" s="1170"/>
      <c r="H1007" s="1170"/>
      <c r="I1007" s="1170"/>
      <c r="J1007" s="1170"/>
      <c r="K1007" s="1170"/>
      <c r="L1007" s="153">
        <f t="shared" si="85"/>
        <v>0</v>
      </c>
      <c r="M1007" s="154">
        <f t="shared" si="86"/>
        <v>0</v>
      </c>
      <c r="N1007" s="155">
        <f>+IF(OR($Q1007=Parametres!$G$2,$Q1007=Parametres!$G$3),I1007,C1007)</f>
        <v>0</v>
      </c>
      <c r="O1007" s="1108">
        <f>+IF(OR($Q1007=Parametres!$G$2,$Q1007=Parametres!$G$3),J1007,D1007)</f>
        <v>0</v>
      </c>
      <c r="P1007" s="155">
        <f>+IF(OR($Q1007=Parametres!$G$2,$Q1007=Parametres!$G$3),K1007,E1007)</f>
        <v>0</v>
      </c>
      <c r="Q1007" s="154">
        <f t="shared" si="87"/>
        <v>0</v>
      </c>
      <c r="R1007" s="153">
        <f t="shared" si="88"/>
        <v>0</v>
      </c>
      <c r="S1007" s="154">
        <f t="shared" si="8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hidden="1" customHeight="1">
      <c r="A1008" s="1170"/>
      <c r="B1008" s="1184"/>
      <c r="C1008" s="1185"/>
      <c r="D1008" s="1170"/>
      <c r="E1008" s="1170"/>
      <c r="F1008" s="1170"/>
      <c r="G1008" s="1170"/>
      <c r="H1008" s="1170"/>
      <c r="I1008" s="1170"/>
      <c r="J1008" s="1170"/>
      <c r="K1008" s="1170"/>
      <c r="L1008" s="153">
        <f t="shared" si="85"/>
        <v>0</v>
      </c>
      <c r="M1008" s="154">
        <f t="shared" si="86"/>
        <v>0</v>
      </c>
      <c r="N1008" s="155">
        <f>+IF(OR($Q1008=Parametres!$G$2,$Q1008=Parametres!$G$3),I1008,C1008)</f>
        <v>0</v>
      </c>
      <c r="O1008" s="1108">
        <f>+IF(OR($Q1008=Parametres!$G$2,$Q1008=Parametres!$G$3),J1008,D1008)</f>
        <v>0</v>
      </c>
      <c r="P1008" s="155">
        <f>+IF(OR($Q1008=Parametres!$G$2,$Q1008=Parametres!$G$3),K1008,E1008)</f>
        <v>0</v>
      </c>
      <c r="Q1008" s="154">
        <f t="shared" si="87"/>
        <v>0</v>
      </c>
      <c r="R1008" s="153">
        <f t="shared" si="88"/>
        <v>0</v>
      </c>
      <c r="S1008" s="154">
        <f t="shared" si="8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hidden="1" customHeight="1">
      <c r="A1009" s="1170"/>
      <c r="B1009" s="1184"/>
      <c r="C1009" s="1185"/>
      <c r="D1009" s="1170"/>
      <c r="E1009" s="1170"/>
      <c r="F1009" s="1170"/>
      <c r="G1009" s="1170"/>
      <c r="H1009" s="1170"/>
      <c r="I1009" s="1170"/>
      <c r="J1009" s="1170"/>
      <c r="K1009" s="1170"/>
      <c r="L1009" s="153">
        <f t="shared" si="85"/>
        <v>0</v>
      </c>
      <c r="M1009" s="154">
        <f t="shared" si="86"/>
        <v>0</v>
      </c>
      <c r="N1009" s="155">
        <f>+IF(OR($Q1009=Parametres!$G$2,$Q1009=Parametres!$G$3),I1009,C1009)</f>
        <v>0</v>
      </c>
      <c r="O1009" s="1108">
        <f>+IF(OR($Q1009=Parametres!$G$2,$Q1009=Parametres!$G$3),J1009,D1009)</f>
        <v>0</v>
      </c>
      <c r="P1009" s="155">
        <f>+IF(OR($Q1009=Parametres!$G$2,$Q1009=Parametres!$G$3),K1009,E1009)</f>
        <v>0</v>
      </c>
      <c r="Q1009" s="154">
        <f t="shared" si="87"/>
        <v>0</v>
      </c>
      <c r="R1009" s="153">
        <f t="shared" si="88"/>
        <v>0</v>
      </c>
      <c r="S1009" s="154">
        <f t="shared" si="8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hidden="1" customHeight="1">
      <c r="A1010" s="1170"/>
      <c r="B1010" s="1184"/>
      <c r="C1010" s="1185"/>
      <c r="D1010" s="1170"/>
      <c r="E1010" s="1170"/>
      <c r="F1010" s="1170"/>
      <c r="G1010" s="1170"/>
      <c r="H1010" s="1170"/>
      <c r="I1010" s="1170"/>
      <c r="J1010" s="1170"/>
      <c r="K1010" s="1170"/>
      <c r="L1010" s="153">
        <f t="shared" si="85"/>
        <v>0</v>
      </c>
      <c r="M1010" s="154">
        <f t="shared" si="86"/>
        <v>0</v>
      </c>
      <c r="N1010" s="155">
        <f>+IF(OR($Q1010=Parametres!$G$2,$Q1010=Parametres!$G$3),I1010,C1010)</f>
        <v>0</v>
      </c>
      <c r="O1010" s="1108">
        <f>+IF(OR($Q1010=Parametres!$G$2,$Q1010=Parametres!$G$3),J1010,D1010)</f>
        <v>0</v>
      </c>
      <c r="P1010" s="155">
        <f>+IF(OR($Q1010=Parametres!$G$2,$Q1010=Parametres!$G$3),K1010,E1010)</f>
        <v>0</v>
      </c>
      <c r="Q1010" s="154">
        <f t="shared" si="87"/>
        <v>0</v>
      </c>
      <c r="R1010" s="153">
        <f t="shared" si="88"/>
        <v>0</v>
      </c>
      <c r="S1010" s="154">
        <f t="shared" si="8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hidden="1" customHeight="1">
      <c r="A1011" s="1170"/>
      <c r="B1011" s="1184"/>
      <c r="C1011" s="1185"/>
      <c r="D1011" s="1170"/>
      <c r="E1011" s="1170"/>
      <c r="F1011" s="1170"/>
      <c r="G1011" s="1170"/>
      <c r="H1011" s="1170"/>
      <c r="I1011" s="1170"/>
      <c r="J1011" s="1170"/>
      <c r="K1011" s="1170"/>
      <c r="L1011" s="153">
        <f t="shared" si="85"/>
        <v>0</v>
      </c>
      <c r="M1011" s="154">
        <f t="shared" si="86"/>
        <v>0</v>
      </c>
      <c r="N1011" s="155">
        <f>+IF(OR($Q1011=Parametres!$G$2,$Q1011=Parametres!$G$3),I1011,C1011)</f>
        <v>0</v>
      </c>
      <c r="O1011" s="1108">
        <f>+IF(OR($Q1011=Parametres!$G$2,$Q1011=Parametres!$G$3),J1011,D1011)</f>
        <v>0</v>
      </c>
      <c r="P1011" s="155">
        <f>+IF(OR($Q1011=Parametres!$G$2,$Q1011=Parametres!$G$3),K1011,E1011)</f>
        <v>0</v>
      </c>
      <c r="Q1011" s="154">
        <f t="shared" si="87"/>
        <v>0</v>
      </c>
      <c r="R1011" s="153">
        <f t="shared" si="88"/>
        <v>0</v>
      </c>
      <c r="S1011" s="154">
        <f t="shared" si="8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hidden="1" customHeight="1">
      <c r="A1012" s="1170"/>
      <c r="B1012" s="1184"/>
      <c r="C1012" s="1185"/>
      <c r="D1012" s="1170"/>
      <c r="E1012" s="1170"/>
      <c r="F1012" s="1170"/>
      <c r="G1012" s="1170"/>
      <c r="H1012" s="1170"/>
      <c r="I1012" s="1170"/>
      <c r="J1012" s="1170"/>
      <c r="K1012" s="1170"/>
      <c r="L1012" s="153">
        <f t="shared" si="85"/>
        <v>0</v>
      </c>
      <c r="M1012" s="154">
        <f t="shared" si="86"/>
        <v>0</v>
      </c>
      <c r="N1012" s="155">
        <f>+IF(OR($Q1012=Parametres!$G$2,$Q1012=Parametres!$G$3),I1012,C1012)</f>
        <v>0</v>
      </c>
      <c r="O1012" s="1108">
        <f>+IF(OR($Q1012=Parametres!$G$2,$Q1012=Parametres!$G$3),J1012,D1012)</f>
        <v>0</v>
      </c>
      <c r="P1012" s="155">
        <f>+IF(OR($Q1012=Parametres!$G$2,$Q1012=Parametres!$G$3),K1012,E1012)</f>
        <v>0</v>
      </c>
      <c r="Q1012" s="154">
        <f t="shared" si="87"/>
        <v>0</v>
      </c>
      <c r="R1012" s="153">
        <f t="shared" si="88"/>
        <v>0</v>
      </c>
      <c r="S1012" s="154">
        <f t="shared" si="8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hidden="1" customHeight="1">
      <c r="A1013" s="1170"/>
      <c r="B1013" s="1184"/>
      <c r="C1013" s="1185"/>
      <c r="D1013" s="1170"/>
      <c r="E1013" s="1170"/>
      <c r="F1013" s="1170"/>
      <c r="G1013" s="1170"/>
      <c r="H1013" s="1170"/>
      <c r="I1013" s="1170"/>
      <c r="J1013" s="1170"/>
      <c r="K1013" s="1170"/>
      <c r="L1013" s="153">
        <f t="shared" si="85"/>
        <v>0</v>
      </c>
      <c r="M1013" s="154">
        <f t="shared" si="86"/>
        <v>0</v>
      </c>
      <c r="N1013" s="155">
        <f>+IF(OR($Q1013=Parametres!$G$2,$Q1013=Parametres!$G$3),I1013,C1013)</f>
        <v>0</v>
      </c>
      <c r="O1013" s="1108">
        <f>+IF(OR($Q1013=Parametres!$G$2,$Q1013=Parametres!$G$3),J1013,D1013)</f>
        <v>0</v>
      </c>
      <c r="P1013" s="155">
        <f>+IF(OR($Q1013=Parametres!$G$2,$Q1013=Parametres!$G$3),K1013,E1013)</f>
        <v>0</v>
      </c>
      <c r="Q1013" s="154">
        <f t="shared" si="87"/>
        <v>0</v>
      </c>
      <c r="R1013" s="153">
        <f t="shared" si="88"/>
        <v>0</v>
      </c>
      <c r="S1013" s="154">
        <f t="shared" si="8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hidden="1" customHeight="1">
      <c r="A1014" s="1170"/>
      <c r="B1014" s="1184"/>
      <c r="C1014" s="1185"/>
      <c r="D1014" s="1170"/>
      <c r="E1014" s="1170"/>
      <c r="F1014" s="1170"/>
      <c r="G1014" s="1170"/>
      <c r="H1014" s="1170"/>
      <c r="I1014" s="1170"/>
      <c r="J1014" s="1170"/>
      <c r="K1014" s="1170"/>
      <c r="L1014" s="153">
        <f t="shared" si="85"/>
        <v>0</v>
      </c>
      <c r="M1014" s="154">
        <f t="shared" si="86"/>
        <v>0</v>
      </c>
      <c r="N1014" s="155">
        <f>+IF(OR($Q1014=Parametres!$G$2,$Q1014=Parametres!$G$3),I1014,C1014)</f>
        <v>0</v>
      </c>
      <c r="O1014" s="1108">
        <f>+IF(OR($Q1014=Parametres!$G$2,$Q1014=Parametres!$G$3),J1014,D1014)</f>
        <v>0</v>
      </c>
      <c r="P1014" s="155">
        <f>+IF(OR($Q1014=Parametres!$G$2,$Q1014=Parametres!$G$3),K1014,E1014)</f>
        <v>0</v>
      </c>
      <c r="Q1014" s="154">
        <f t="shared" si="87"/>
        <v>0</v>
      </c>
      <c r="R1014" s="153">
        <f t="shared" si="88"/>
        <v>0</v>
      </c>
      <c r="S1014" s="154">
        <f t="shared" si="8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hidden="1" customHeight="1">
      <c r="A1015" s="1170"/>
      <c r="B1015" s="1184"/>
      <c r="C1015" s="1185"/>
      <c r="D1015" s="1170"/>
      <c r="E1015" s="1170"/>
      <c r="F1015" s="1170"/>
      <c r="G1015" s="1170"/>
      <c r="H1015" s="1170"/>
      <c r="I1015" s="1170"/>
      <c r="J1015" s="1170"/>
      <c r="K1015" s="1170"/>
      <c r="L1015" s="153">
        <f t="shared" si="85"/>
        <v>0</v>
      </c>
      <c r="M1015" s="154">
        <f t="shared" si="86"/>
        <v>0</v>
      </c>
      <c r="N1015" s="155">
        <f>+IF(OR($Q1015=Parametres!$G$2,$Q1015=Parametres!$G$3),I1015,C1015)</f>
        <v>0</v>
      </c>
      <c r="O1015" s="1108">
        <f>+IF(OR($Q1015=Parametres!$G$2,$Q1015=Parametres!$G$3),J1015,D1015)</f>
        <v>0</v>
      </c>
      <c r="P1015" s="155">
        <f>+IF(OR($Q1015=Parametres!$G$2,$Q1015=Parametres!$G$3),K1015,E1015)</f>
        <v>0</v>
      </c>
      <c r="Q1015" s="154">
        <f t="shared" si="87"/>
        <v>0</v>
      </c>
      <c r="R1015" s="153">
        <f t="shared" si="88"/>
        <v>0</v>
      </c>
      <c r="S1015" s="154">
        <f t="shared" si="8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hidden="1" customHeight="1">
      <c r="A1016" s="1170"/>
      <c r="B1016" s="1184"/>
      <c r="C1016" s="1185"/>
      <c r="D1016" s="1170"/>
      <c r="E1016" s="1170"/>
      <c r="F1016" s="1170"/>
      <c r="G1016" s="1170"/>
      <c r="H1016" s="1170"/>
      <c r="I1016" s="1170"/>
      <c r="J1016" s="1170"/>
      <c r="K1016" s="1170"/>
      <c r="L1016" s="153">
        <f t="shared" si="85"/>
        <v>0</v>
      </c>
      <c r="M1016" s="154">
        <f t="shared" si="86"/>
        <v>0</v>
      </c>
      <c r="N1016" s="155">
        <f>+IF(OR($Q1016=Parametres!$G$2,$Q1016=Parametres!$G$3),I1016,C1016)</f>
        <v>0</v>
      </c>
      <c r="O1016" s="1108">
        <f>+IF(OR($Q1016=Parametres!$G$2,$Q1016=Parametres!$G$3),J1016,D1016)</f>
        <v>0</v>
      </c>
      <c r="P1016" s="155">
        <f>+IF(OR($Q1016=Parametres!$G$2,$Q1016=Parametres!$G$3),K1016,E1016)</f>
        <v>0</v>
      </c>
      <c r="Q1016" s="154">
        <f t="shared" si="87"/>
        <v>0</v>
      </c>
      <c r="R1016" s="153">
        <f t="shared" si="88"/>
        <v>0</v>
      </c>
      <c r="S1016" s="154">
        <f t="shared" si="8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hidden="1" customHeight="1">
      <c r="A1017" s="1170"/>
      <c r="B1017" s="1184"/>
      <c r="C1017" s="1185"/>
      <c r="D1017" s="1170"/>
      <c r="E1017" s="1170"/>
      <c r="F1017" s="1170"/>
      <c r="G1017" s="1170"/>
      <c r="H1017" s="1170"/>
      <c r="I1017" s="1170"/>
      <c r="J1017" s="1170"/>
      <c r="K1017" s="1170"/>
      <c r="L1017" s="153">
        <f t="shared" si="85"/>
        <v>0</v>
      </c>
      <c r="M1017" s="154">
        <f t="shared" si="86"/>
        <v>0</v>
      </c>
      <c r="N1017" s="155">
        <f>+IF(OR($Q1017=Parametres!$G$2,$Q1017=Parametres!$G$3),I1017,C1017)</f>
        <v>0</v>
      </c>
      <c r="O1017" s="1108">
        <f>+IF(OR($Q1017=Parametres!$G$2,$Q1017=Parametres!$G$3),J1017,D1017)</f>
        <v>0</v>
      </c>
      <c r="P1017" s="155">
        <f>+IF(OR($Q1017=Parametres!$G$2,$Q1017=Parametres!$G$3),K1017,E1017)</f>
        <v>0</v>
      </c>
      <c r="Q1017" s="154">
        <f t="shared" si="87"/>
        <v>0</v>
      </c>
      <c r="R1017" s="153">
        <f t="shared" si="88"/>
        <v>0</v>
      </c>
      <c r="S1017" s="154">
        <f t="shared" si="8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hidden="1" customHeight="1">
      <c r="A1018" s="1170"/>
      <c r="B1018" s="1184"/>
      <c r="C1018" s="1185"/>
      <c r="D1018" s="1170"/>
      <c r="E1018" s="1170"/>
      <c r="F1018" s="1170"/>
      <c r="G1018" s="1170"/>
      <c r="H1018" s="1170"/>
      <c r="I1018" s="1170"/>
      <c r="J1018" s="1170"/>
      <c r="K1018" s="1170"/>
      <c r="L1018" s="153">
        <f t="shared" si="85"/>
        <v>0</v>
      </c>
      <c r="M1018" s="154">
        <f t="shared" si="86"/>
        <v>0</v>
      </c>
      <c r="N1018" s="155">
        <f>+IF(OR($Q1018=Parametres!$G$2,$Q1018=Parametres!$G$3),I1018,C1018)</f>
        <v>0</v>
      </c>
      <c r="O1018" s="1108">
        <f>+IF(OR($Q1018=Parametres!$G$2,$Q1018=Parametres!$G$3),J1018,D1018)</f>
        <v>0</v>
      </c>
      <c r="P1018" s="155">
        <f>+IF(OR($Q1018=Parametres!$G$2,$Q1018=Parametres!$G$3),K1018,E1018)</f>
        <v>0</v>
      </c>
      <c r="Q1018" s="154">
        <f t="shared" si="87"/>
        <v>0</v>
      </c>
      <c r="R1018" s="153">
        <f t="shared" si="88"/>
        <v>0</v>
      </c>
      <c r="S1018" s="154">
        <f t="shared" si="8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hidden="1" customHeight="1">
      <c r="A1019" s="1170"/>
      <c r="B1019" s="1184"/>
      <c r="C1019" s="1185"/>
      <c r="D1019" s="1170"/>
      <c r="E1019" s="1170"/>
      <c r="F1019" s="1170"/>
      <c r="G1019" s="1170"/>
      <c r="H1019" s="1170"/>
      <c r="I1019" s="1170"/>
      <c r="J1019" s="1170"/>
      <c r="K1019" s="1170"/>
      <c r="L1019" s="153">
        <f t="shared" si="85"/>
        <v>0</v>
      </c>
      <c r="M1019" s="154">
        <f t="shared" si="86"/>
        <v>0</v>
      </c>
      <c r="N1019" s="155">
        <f>+IF(OR($Q1019=Parametres!$G$2,$Q1019=Parametres!$G$3),I1019,C1019)</f>
        <v>0</v>
      </c>
      <c r="O1019" s="1108">
        <f>+IF(OR($Q1019=Parametres!$G$2,$Q1019=Parametres!$G$3),J1019,D1019)</f>
        <v>0</v>
      </c>
      <c r="P1019" s="155">
        <f>+IF(OR($Q1019=Parametres!$G$2,$Q1019=Parametres!$G$3),K1019,E1019)</f>
        <v>0</v>
      </c>
      <c r="Q1019" s="154">
        <f t="shared" si="87"/>
        <v>0</v>
      </c>
      <c r="R1019" s="153">
        <f t="shared" si="88"/>
        <v>0</v>
      </c>
      <c r="S1019" s="154">
        <f t="shared" si="8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hidden="1" customHeight="1">
      <c r="A1020" s="1170"/>
      <c r="B1020" s="1184"/>
      <c r="C1020" s="1185"/>
      <c r="D1020" s="1170"/>
      <c r="E1020" s="1170"/>
      <c r="F1020" s="1170"/>
      <c r="G1020" s="1170"/>
      <c r="H1020" s="1170"/>
      <c r="I1020" s="1170"/>
      <c r="J1020" s="1170"/>
      <c r="K1020" s="1170"/>
      <c r="L1020" s="153">
        <f t="shared" si="85"/>
        <v>0</v>
      </c>
      <c r="M1020" s="154">
        <f t="shared" si="86"/>
        <v>0</v>
      </c>
      <c r="N1020" s="155">
        <f>+IF(OR($Q1020=Parametres!$G$2,$Q1020=Parametres!$G$3),I1020,C1020)</f>
        <v>0</v>
      </c>
      <c r="O1020" s="1108">
        <f>+IF(OR($Q1020=Parametres!$G$2,$Q1020=Parametres!$G$3),J1020,D1020)</f>
        <v>0</v>
      </c>
      <c r="P1020" s="155">
        <f>+IF(OR($Q1020=Parametres!$G$2,$Q1020=Parametres!$G$3),K1020,E1020)</f>
        <v>0</v>
      </c>
      <c r="Q1020" s="154">
        <f t="shared" si="87"/>
        <v>0</v>
      </c>
      <c r="R1020" s="153">
        <f t="shared" si="88"/>
        <v>0</v>
      </c>
      <c r="S1020" s="154">
        <f t="shared" si="8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hidden="1" customHeight="1">
      <c r="A1021" s="1170"/>
      <c r="B1021" s="1184"/>
      <c r="C1021" s="1185"/>
      <c r="D1021" s="1170"/>
      <c r="E1021" s="1170"/>
      <c r="F1021" s="1170"/>
      <c r="G1021" s="1170"/>
      <c r="H1021" s="1170"/>
      <c r="I1021" s="1170"/>
      <c r="J1021" s="1170"/>
      <c r="K1021" s="1170"/>
      <c r="L1021" s="153">
        <f t="shared" si="85"/>
        <v>0</v>
      </c>
      <c r="M1021" s="154">
        <f t="shared" si="86"/>
        <v>0</v>
      </c>
      <c r="N1021" s="155">
        <f>+IF(OR($Q1021=Parametres!$G$2,$Q1021=Parametres!$G$3),I1021,C1021)</f>
        <v>0</v>
      </c>
      <c r="O1021" s="1108">
        <f>+IF(OR($Q1021=Parametres!$G$2,$Q1021=Parametres!$G$3),J1021,D1021)</f>
        <v>0</v>
      </c>
      <c r="P1021" s="155">
        <f>+IF(OR($Q1021=Parametres!$G$2,$Q1021=Parametres!$G$3),K1021,E1021)</f>
        <v>0</v>
      </c>
      <c r="Q1021" s="154">
        <f t="shared" si="87"/>
        <v>0</v>
      </c>
      <c r="R1021" s="153">
        <f t="shared" si="88"/>
        <v>0</v>
      </c>
      <c r="S1021" s="154">
        <f t="shared" si="8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hidden="1" customHeight="1">
      <c r="A1022" s="1170"/>
      <c r="B1022" s="1184"/>
      <c r="C1022" s="1185"/>
      <c r="D1022" s="1170"/>
      <c r="E1022" s="1170"/>
      <c r="F1022" s="1170"/>
      <c r="G1022" s="1170"/>
      <c r="H1022" s="1170"/>
      <c r="I1022" s="1170"/>
      <c r="J1022" s="1170"/>
      <c r="K1022" s="1170"/>
      <c r="L1022" s="153">
        <f t="shared" si="85"/>
        <v>0</v>
      </c>
      <c r="M1022" s="154">
        <f t="shared" si="86"/>
        <v>0</v>
      </c>
      <c r="N1022" s="155">
        <f>+IF(OR($Q1022=Parametres!$G$2,$Q1022=Parametres!$G$3),I1022,C1022)</f>
        <v>0</v>
      </c>
      <c r="O1022" s="1108">
        <f>+IF(OR($Q1022=Parametres!$G$2,$Q1022=Parametres!$G$3),J1022,D1022)</f>
        <v>0</v>
      </c>
      <c r="P1022" s="155">
        <f>+IF(OR($Q1022=Parametres!$G$2,$Q1022=Parametres!$G$3),K1022,E1022)</f>
        <v>0</v>
      </c>
      <c r="Q1022" s="154">
        <f t="shared" si="87"/>
        <v>0</v>
      </c>
      <c r="R1022" s="153">
        <f t="shared" si="88"/>
        <v>0</v>
      </c>
      <c r="S1022" s="154">
        <f t="shared" si="8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hidden="1" customHeight="1">
      <c r="A1023" s="1170"/>
      <c r="B1023" s="1184"/>
      <c r="C1023" s="1185"/>
      <c r="D1023" s="1170"/>
      <c r="E1023" s="1170"/>
      <c r="F1023" s="1170"/>
      <c r="G1023" s="1170"/>
      <c r="H1023" s="1170"/>
      <c r="I1023" s="1170"/>
      <c r="J1023" s="1170"/>
      <c r="K1023" s="1170"/>
      <c r="L1023" s="153">
        <f t="shared" si="85"/>
        <v>0</v>
      </c>
      <c r="M1023" s="154">
        <f t="shared" si="86"/>
        <v>0</v>
      </c>
      <c r="N1023" s="155">
        <f>+IF(OR($Q1023=Parametres!$G$2,$Q1023=Parametres!$G$3),I1023,C1023)</f>
        <v>0</v>
      </c>
      <c r="O1023" s="1108">
        <f>+IF(OR($Q1023=Parametres!$G$2,$Q1023=Parametres!$G$3),J1023,D1023)</f>
        <v>0</v>
      </c>
      <c r="P1023" s="155">
        <f>+IF(OR($Q1023=Parametres!$G$2,$Q1023=Parametres!$G$3),K1023,E1023)</f>
        <v>0</v>
      </c>
      <c r="Q1023" s="154">
        <f t="shared" si="87"/>
        <v>0</v>
      </c>
      <c r="R1023" s="153">
        <f t="shared" si="88"/>
        <v>0</v>
      </c>
      <c r="S1023" s="154">
        <f t="shared" si="8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hidden="1" customHeight="1">
      <c r="A1024" s="1170"/>
      <c r="B1024" s="1184"/>
      <c r="C1024" s="1185"/>
      <c r="D1024" s="1170"/>
      <c r="E1024" s="1170"/>
      <c r="F1024" s="1170"/>
      <c r="G1024" s="1170"/>
      <c r="H1024" s="1170"/>
      <c r="I1024" s="1170"/>
      <c r="J1024" s="1170"/>
      <c r="K1024" s="1170"/>
      <c r="L1024" s="153">
        <f t="shared" si="85"/>
        <v>0</v>
      </c>
      <c r="M1024" s="154">
        <f t="shared" si="86"/>
        <v>0</v>
      </c>
      <c r="N1024" s="155">
        <f>+IF(OR($Q1024=Parametres!$G$2,$Q1024=Parametres!$G$3),I1024,C1024)</f>
        <v>0</v>
      </c>
      <c r="O1024" s="1108">
        <f>+IF(OR($Q1024=Parametres!$G$2,$Q1024=Parametres!$G$3),J1024,D1024)</f>
        <v>0</v>
      </c>
      <c r="P1024" s="155">
        <f>+IF(OR($Q1024=Parametres!$G$2,$Q1024=Parametres!$G$3),K1024,E1024)</f>
        <v>0</v>
      </c>
      <c r="Q1024" s="154">
        <f t="shared" si="87"/>
        <v>0</v>
      </c>
      <c r="R1024" s="153">
        <f t="shared" si="88"/>
        <v>0</v>
      </c>
      <c r="S1024" s="154">
        <f t="shared" si="8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hidden="1" customHeight="1">
      <c r="A1025" s="1170"/>
      <c r="B1025" s="1184"/>
      <c r="C1025" s="1185"/>
      <c r="D1025" s="1170"/>
      <c r="E1025" s="1170"/>
      <c r="F1025" s="1170"/>
      <c r="G1025" s="1170"/>
      <c r="H1025" s="1170"/>
      <c r="I1025" s="1170"/>
      <c r="J1025" s="1170"/>
      <c r="K1025" s="1170"/>
      <c r="L1025" s="153">
        <f t="shared" si="85"/>
        <v>0</v>
      </c>
      <c r="M1025" s="154">
        <f t="shared" si="86"/>
        <v>0</v>
      </c>
      <c r="N1025" s="155">
        <f>+IF(OR($Q1025=Parametres!$G$2,$Q1025=Parametres!$G$3),I1025,C1025)</f>
        <v>0</v>
      </c>
      <c r="O1025" s="1108">
        <f>+IF(OR($Q1025=Parametres!$G$2,$Q1025=Parametres!$G$3),J1025,D1025)</f>
        <v>0</v>
      </c>
      <c r="P1025" s="155">
        <f>+IF(OR($Q1025=Parametres!$G$2,$Q1025=Parametres!$G$3),K1025,E1025)</f>
        <v>0</v>
      </c>
      <c r="Q1025" s="154">
        <f t="shared" si="87"/>
        <v>0</v>
      </c>
      <c r="R1025" s="153">
        <f t="shared" si="88"/>
        <v>0</v>
      </c>
      <c r="S1025" s="154">
        <f t="shared" si="8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hidden="1" customHeight="1">
      <c r="A1026" s="1170"/>
      <c r="B1026" s="1184"/>
      <c r="C1026" s="1185"/>
      <c r="D1026" s="1170"/>
      <c r="E1026" s="1170"/>
      <c r="F1026" s="1170"/>
      <c r="G1026" s="1170"/>
      <c r="H1026" s="1170"/>
      <c r="I1026" s="1170"/>
      <c r="J1026" s="1170"/>
      <c r="K1026" s="1170"/>
      <c r="L1026" s="153">
        <f t="shared" ref="L1026:L1054" si="90">+B1026</f>
        <v>0</v>
      </c>
      <c r="M1026" s="154">
        <f t="shared" ref="M1026:M1054" si="91">+A1026</f>
        <v>0</v>
      </c>
      <c r="N1026" s="155">
        <f>+IF(OR($Q1026=Parametres!$G$2,$Q1026=Parametres!$G$3),I1026,C1026)</f>
        <v>0</v>
      </c>
      <c r="O1026" s="1108">
        <f>+IF(OR($Q1026=Parametres!$G$2,$Q1026=Parametres!$G$3),J1026,D1026)</f>
        <v>0</v>
      </c>
      <c r="P1026" s="155">
        <f>+IF(OR($Q1026=Parametres!$G$2,$Q1026=Parametres!$G$3),K1026,E1026)</f>
        <v>0</v>
      </c>
      <c r="Q1026" s="154">
        <f t="shared" ref="Q1026:Q1054" si="92">+F1026</f>
        <v>0</v>
      </c>
      <c r="R1026" s="153">
        <f t="shared" ref="R1026:R1054" si="93">+G1026</f>
        <v>0</v>
      </c>
      <c r="S1026" s="154">
        <f t="shared" ref="S1026:S1054" si="9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hidden="1" customHeight="1">
      <c r="A1027" s="1170"/>
      <c r="B1027" s="1184"/>
      <c r="C1027" s="1185"/>
      <c r="D1027" s="1170"/>
      <c r="E1027" s="1170"/>
      <c r="F1027" s="1170"/>
      <c r="G1027" s="1170"/>
      <c r="H1027" s="1170"/>
      <c r="I1027" s="1170"/>
      <c r="J1027" s="1170"/>
      <c r="K1027" s="1170"/>
      <c r="L1027" s="153">
        <f t="shared" si="90"/>
        <v>0</v>
      </c>
      <c r="M1027" s="154">
        <f t="shared" si="91"/>
        <v>0</v>
      </c>
      <c r="N1027" s="155">
        <f>+IF(OR($Q1027=Parametres!$G$2,$Q1027=Parametres!$G$3),I1027,C1027)</f>
        <v>0</v>
      </c>
      <c r="O1027" s="1108">
        <f>+IF(OR($Q1027=Parametres!$G$2,$Q1027=Parametres!$G$3),J1027,D1027)</f>
        <v>0</v>
      </c>
      <c r="P1027" s="155">
        <f>+IF(OR($Q1027=Parametres!$G$2,$Q1027=Parametres!$G$3),K1027,E1027)</f>
        <v>0</v>
      </c>
      <c r="Q1027" s="154">
        <f t="shared" si="92"/>
        <v>0</v>
      </c>
      <c r="R1027" s="153">
        <f t="shared" si="93"/>
        <v>0</v>
      </c>
      <c r="S1027" s="154">
        <f t="shared" si="9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hidden="1" customHeight="1">
      <c r="A1028" s="1170"/>
      <c r="B1028" s="1184"/>
      <c r="C1028" s="1185"/>
      <c r="D1028" s="1170"/>
      <c r="E1028" s="1170"/>
      <c r="F1028" s="1170"/>
      <c r="G1028" s="1170"/>
      <c r="H1028" s="1170"/>
      <c r="I1028" s="1170"/>
      <c r="J1028" s="1170"/>
      <c r="K1028" s="1170"/>
      <c r="L1028" s="153">
        <f t="shared" si="90"/>
        <v>0</v>
      </c>
      <c r="M1028" s="154">
        <f t="shared" si="91"/>
        <v>0</v>
      </c>
      <c r="N1028" s="155">
        <f>+IF(OR($Q1028=Parametres!$G$2,$Q1028=Parametres!$G$3),I1028,C1028)</f>
        <v>0</v>
      </c>
      <c r="O1028" s="1108">
        <f>+IF(OR($Q1028=Parametres!$G$2,$Q1028=Parametres!$G$3),J1028,D1028)</f>
        <v>0</v>
      </c>
      <c r="P1028" s="155">
        <f>+IF(OR($Q1028=Parametres!$G$2,$Q1028=Parametres!$G$3),K1028,E1028)</f>
        <v>0</v>
      </c>
      <c r="Q1028" s="154">
        <f t="shared" si="92"/>
        <v>0</v>
      </c>
      <c r="R1028" s="153">
        <f t="shared" si="93"/>
        <v>0</v>
      </c>
      <c r="S1028" s="154">
        <f t="shared" si="9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hidden="1" customHeight="1">
      <c r="A1029" s="1170"/>
      <c r="B1029" s="1184"/>
      <c r="C1029" s="1185"/>
      <c r="D1029" s="1170"/>
      <c r="E1029" s="1170"/>
      <c r="F1029" s="1170"/>
      <c r="G1029" s="1170"/>
      <c r="H1029" s="1170"/>
      <c r="I1029" s="1170"/>
      <c r="J1029" s="1170"/>
      <c r="K1029" s="1170"/>
      <c r="L1029" s="153">
        <f t="shared" si="90"/>
        <v>0</v>
      </c>
      <c r="M1029" s="154">
        <f t="shared" si="91"/>
        <v>0</v>
      </c>
      <c r="N1029" s="155">
        <f>+IF(OR($Q1029=Parametres!$G$2,$Q1029=Parametres!$G$3),I1029,C1029)</f>
        <v>0</v>
      </c>
      <c r="O1029" s="1108">
        <f>+IF(OR($Q1029=Parametres!$G$2,$Q1029=Parametres!$G$3),J1029,D1029)</f>
        <v>0</v>
      </c>
      <c r="P1029" s="155">
        <f>+IF(OR($Q1029=Parametres!$G$2,$Q1029=Parametres!$G$3),K1029,E1029)</f>
        <v>0</v>
      </c>
      <c r="Q1029" s="154">
        <f t="shared" si="92"/>
        <v>0</v>
      </c>
      <c r="R1029" s="153">
        <f t="shared" si="93"/>
        <v>0</v>
      </c>
      <c r="S1029" s="154">
        <f t="shared" si="9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hidden="1" customHeight="1">
      <c r="A1030" s="1170"/>
      <c r="B1030" s="1184"/>
      <c r="C1030" s="1185"/>
      <c r="D1030" s="1170"/>
      <c r="E1030" s="1170"/>
      <c r="F1030" s="1170"/>
      <c r="G1030" s="1170"/>
      <c r="H1030" s="1170"/>
      <c r="I1030" s="1170"/>
      <c r="J1030" s="1170"/>
      <c r="K1030" s="1170"/>
      <c r="L1030" s="153">
        <f t="shared" si="90"/>
        <v>0</v>
      </c>
      <c r="M1030" s="154">
        <f t="shared" si="91"/>
        <v>0</v>
      </c>
      <c r="N1030" s="155">
        <f>+IF(OR($Q1030=Parametres!$G$2,$Q1030=Parametres!$G$3),I1030,C1030)</f>
        <v>0</v>
      </c>
      <c r="O1030" s="1108">
        <f>+IF(OR($Q1030=Parametres!$G$2,$Q1030=Parametres!$G$3),J1030,D1030)</f>
        <v>0</v>
      </c>
      <c r="P1030" s="155">
        <f>+IF(OR($Q1030=Parametres!$G$2,$Q1030=Parametres!$G$3),K1030,E1030)</f>
        <v>0</v>
      </c>
      <c r="Q1030" s="154">
        <f t="shared" si="92"/>
        <v>0</v>
      </c>
      <c r="R1030" s="153">
        <f t="shared" si="93"/>
        <v>0</v>
      </c>
      <c r="S1030" s="154">
        <f t="shared" si="9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hidden="1" customHeight="1">
      <c r="A1031" s="1170"/>
      <c r="B1031" s="1184"/>
      <c r="C1031" s="1185"/>
      <c r="D1031" s="1170"/>
      <c r="E1031" s="1170"/>
      <c r="F1031" s="1170"/>
      <c r="G1031" s="1170"/>
      <c r="H1031" s="1170"/>
      <c r="I1031" s="1170"/>
      <c r="J1031" s="1170"/>
      <c r="K1031" s="1170"/>
      <c r="L1031" s="153">
        <f t="shared" si="90"/>
        <v>0</v>
      </c>
      <c r="M1031" s="154">
        <f t="shared" si="91"/>
        <v>0</v>
      </c>
      <c r="N1031" s="155">
        <f>+IF(OR($Q1031=Parametres!$G$2,$Q1031=Parametres!$G$3),I1031,C1031)</f>
        <v>0</v>
      </c>
      <c r="O1031" s="1108">
        <f>+IF(OR($Q1031=Parametres!$G$2,$Q1031=Parametres!$G$3),J1031,D1031)</f>
        <v>0</v>
      </c>
      <c r="P1031" s="155">
        <f>+IF(OR($Q1031=Parametres!$G$2,$Q1031=Parametres!$G$3),K1031,E1031)</f>
        <v>0</v>
      </c>
      <c r="Q1031" s="154">
        <f t="shared" si="92"/>
        <v>0</v>
      </c>
      <c r="R1031" s="153">
        <f t="shared" si="93"/>
        <v>0</v>
      </c>
      <c r="S1031" s="154">
        <f t="shared" si="9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hidden="1" customHeight="1">
      <c r="A1032" s="1170"/>
      <c r="B1032" s="1184"/>
      <c r="C1032" s="1185"/>
      <c r="D1032" s="1170"/>
      <c r="E1032" s="1170"/>
      <c r="F1032" s="1170"/>
      <c r="G1032" s="1170"/>
      <c r="H1032" s="1170"/>
      <c r="I1032" s="1170"/>
      <c r="J1032" s="1170"/>
      <c r="K1032" s="1170"/>
      <c r="L1032" s="153">
        <f t="shared" si="90"/>
        <v>0</v>
      </c>
      <c r="M1032" s="154">
        <f t="shared" si="91"/>
        <v>0</v>
      </c>
      <c r="N1032" s="155">
        <f>+IF(OR($Q1032=Parametres!$G$2,$Q1032=Parametres!$G$3),I1032,C1032)</f>
        <v>0</v>
      </c>
      <c r="O1032" s="1108">
        <f>+IF(OR($Q1032=Parametres!$G$2,$Q1032=Parametres!$G$3),J1032,D1032)</f>
        <v>0</v>
      </c>
      <c r="P1032" s="155">
        <f>+IF(OR($Q1032=Parametres!$G$2,$Q1032=Parametres!$G$3),K1032,E1032)</f>
        <v>0</v>
      </c>
      <c r="Q1032" s="154">
        <f t="shared" si="92"/>
        <v>0</v>
      </c>
      <c r="R1032" s="153">
        <f t="shared" si="93"/>
        <v>0</v>
      </c>
      <c r="S1032" s="154">
        <f t="shared" si="9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hidden="1" customHeight="1">
      <c r="A1033" s="1170"/>
      <c r="B1033" s="1184"/>
      <c r="C1033" s="1185"/>
      <c r="D1033" s="1170"/>
      <c r="E1033" s="1170"/>
      <c r="F1033" s="1170"/>
      <c r="G1033" s="1170"/>
      <c r="H1033" s="1170"/>
      <c r="I1033" s="1170"/>
      <c r="J1033" s="1170"/>
      <c r="K1033" s="1170"/>
      <c r="L1033" s="153">
        <f t="shared" si="90"/>
        <v>0</v>
      </c>
      <c r="M1033" s="154">
        <f t="shared" si="91"/>
        <v>0</v>
      </c>
      <c r="N1033" s="155">
        <f>+IF(OR($Q1033=Parametres!$G$2,$Q1033=Parametres!$G$3),I1033,C1033)</f>
        <v>0</v>
      </c>
      <c r="O1033" s="1108">
        <f>+IF(OR($Q1033=Parametres!$G$2,$Q1033=Parametres!$G$3),J1033,D1033)</f>
        <v>0</v>
      </c>
      <c r="P1033" s="155">
        <f>+IF(OR($Q1033=Parametres!$G$2,$Q1033=Parametres!$G$3),K1033,E1033)</f>
        <v>0</v>
      </c>
      <c r="Q1033" s="154">
        <f t="shared" si="92"/>
        <v>0</v>
      </c>
      <c r="R1033" s="153">
        <f t="shared" si="93"/>
        <v>0</v>
      </c>
      <c r="S1033" s="154">
        <f t="shared" si="9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hidden="1" customHeight="1">
      <c r="A1034" s="1170"/>
      <c r="B1034" s="1184"/>
      <c r="C1034" s="1185"/>
      <c r="D1034" s="1170"/>
      <c r="E1034" s="1170"/>
      <c r="F1034" s="1170"/>
      <c r="G1034" s="1170"/>
      <c r="H1034" s="1170"/>
      <c r="I1034" s="1170"/>
      <c r="J1034" s="1170"/>
      <c r="K1034" s="1170"/>
      <c r="L1034" s="153">
        <f t="shared" si="90"/>
        <v>0</v>
      </c>
      <c r="M1034" s="154">
        <f t="shared" si="91"/>
        <v>0</v>
      </c>
      <c r="N1034" s="155">
        <f>+IF(OR($Q1034=Parametres!$G$2,$Q1034=Parametres!$G$3),I1034,C1034)</f>
        <v>0</v>
      </c>
      <c r="O1034" s="1108">
        <f>+IF(OR($Q1034=Parametres!$G$2,$Q1034=Parametres!$G$3),J1034,D1034)</f>
        <v>0</v>
      </c>
      <c r="P1034" s="155">
        <f>+IF(OR($Q1034=Parametres!$G$2,$Q1034=Parametres!$G$3),K1034,E1034)</f>
        <v>0</v>
      </c>
      <c r="Q1034" s="154">
        <f t="shared" si="92"/>
        <v>0</v>
      </c>
      <c r="R1034" s="153">
        <f t="shared" si="93"/>
        <v>0</v>
      </c>
      <c r="S1034" s="154">
        <f t="shared" si="9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hidden="1" customHeight="1">
      <c r="A1035" s="1170"/>
      <c r="B1035" s="1184"/>
      <c r="C1035" s="1185"/>
      <c r="D1035" s="1170"/>
      <c r="E1035" s="1170"/>
      <c r="F1035" s="1170"/>
      <c r="G1035" s="1170"/>
      <c r="H1035" s="1170"/>
      <c r="I1035" s="1170"/>
      <c r="J1035" s="1170"/>
      <c r="K1035" s="1170"/>
      <c r="L1035" s="153">
        <f t="shared" si="90"/>
        <v>0</v>
      </c>
      <c r="M1035" s="154">
        <f t="shared" si="91"/>
        <v>0</v>
      </c>
      <c r="N1035" s="155">
        <f>+IF(OR($Q1035=Parametres!$G$2,$Q1035=Parametres!$G$3),I1035,C1035)</f>
        <v>0</v>
      </c>
      <c r="O1035" s="1108">
        <f>+IF(OR($Q1035=Parametres!$G$2,$Q1035=Parametres!$G$3),J1035,D1035)</f>
        <v>0</v>
      </c>
      <c r="P1035" s="155">
        <f>+IF(OR($Q1035=Parametres!$G$2,$Q1035=Parametres!$G$3),K1035,E1035)</f>
        <v>0</v>
      </c>
      <c r="Q1035" s="154">
        <f t="shared" si="92"/>
        <v>0</v>
      </c>
      <c r="R1035" s="153">
        <f t="shared" si="93"/>
        <v>0</v>
      </c>
      <c r="S1035" s="154">
        <f t="shared" si="9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hidden="1" customHeight="1">
      <c r="A1036" s="1170"/>
      <c r="B1036" s="1184"/>
      <c r="C1036" s="1185"/>
      <c r="D1036" s="1170"/>
      <c r="E1036" s="1170"/>
      <c r="F1036" s="1170"/>
      <c r="G1036" s="1170"/>
      <c r="H1036" s="1170"/>
      <c r="I1036" s="1170"/>
      <c r="J1036" s="1170"/>
      <c r="K1036" s="1170"/>
      <c r="L1036" s="153">
        <f t="shared" si="90"/>
        <v>0</v>
      </c>
      <c r="M1036" s="154">
        <f t="shared" si="91"/>
        <v>0</v>
      </c>
      <c r="N1036" s="155">
        <f>+IF(OR($Q1036=Parametres!$G$2,$Q1036=Parametres!$G$3),I1036,C1036)</f>
        <v>0</v>
      </c>
      <c r="O1036" s="1108">
        <f>+IF(OR($Q1036=Parametres!$G$2,$Q1036=Parametres!$G$3),J1036,D1036)</f>
        <v>0</v>
      </c>
      <c r="P1036" s="155">
        <f>+IF(OR($Q1036=Parametres!$G$2,$Q1036=Parametres!$G$3),K1036,E1036)</f>
        <v>0</v>
      </c>
      <c r="Q1036" s="154">
        <f t="shared" si="92"/>
        <v>0</v>
      </c>
      <c r="R1036" s="153">
        <f t="shared" si="93"/>
        <v>0</v>
      </c>
      <c r="S1036" s="154">
        <f t="shared" si="9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hidden="1" customHeight="1">
      <c r="A1037" s="1170"/>
      <c r="B1037" s="1184"/>
      <c r="C1037" s="1185"/>
      <c r="D1037" s="1170"/>
      <c r="E1037" s="1170"/>
      <c r="F1037" s="1170"/>
      <c r="G1037" s="1170"/>
      <c r="H1037" s="1170"/>
      <c r="I1037" s="1170"/>
      <c r="J1037" s="1170"/>
      <c r="K1037" s="1170"/>
      <c r="L1037" s="153">
        <f t="shared" si="90"/>
        <v>0</v>
      </c>
      <c r="M1037" s="154">
        <f t="shared" si="91"/>
        <v>0</v>
      </c>
      <c r="N1037" s="155">
        <f>+IF(OR($Q1037=Parametres!$G$2,$Q1037=Parametres!$G$3),I1037,C1037)</f>
        <v>0</v>
      </c>
      <c r="O1037" s="1108">
        <f>+IF(OR($Q1037=Parametres!$G$2,$Q1037=Parametres!$G$3),J1037,D1037)</f>
        <v>0</v>
      </c>
      <c r="P1037" s="155">
        <f>+IF(OR($Q1037=Parametres!$G$2,$Q1037=Parametres!$G$3),K1037,E1037)</f>
        <v>0</v>
      </c>
      <c r="Q1037" s="154">
        <f t="shared" si="92"/>
        <v>0</v>
      </c>
      <c r="R1037" s="153">
        <f t="shared" si="93"/>
        <v>0</v>
      </c>
      <c r="S1037" s="154">
        <f t="shared" si="9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hidden="1" customHeight="1">
      <c r="A1038" s="1170"/>
      <c r="B1038" s="1184"/>
      <c r="C1038" s="1185"/>
      <c r="D1038" s="1170"/>
      <c r="E1038" s="1170"/>
      <c r="F1038" s="1170"/>
      <c r="G1038" s="1170"/>
      <c r="H1038" s="1170"/>
      <c r="I1038" s="1170"/>
      <c r="J1038" s="1170"/>
      <c r="K1038" s="1170"/>
      <c r="L1038" s="153">
        <f t="shared" si="90"/>
        <v>0</v>
      </c>
      <c r="M1038" s="154">
        <f t="shared" si="91"/>
        <v>0</v>
      </c>
      <c r="N1038" s="155">
        <f>+IF(OR($Q1038=Parametres!$G$2,$Q1038=Parametres!$G$3),I1038,C1038)</f>
        <v>0</v>
      </c>
      <c r="O1038" s="1108">
        <f>+IF(OR($Q1038=Parametres!$G$2,$Q1038=Parametres!$G$3),J1038,D1038)</f>
        <v>0</v>
      </c>
      <c r="P1038" s="155">
        <f>+IF(OR($Q1038=Parametres!$G$2,$Q1038=Parametres!$G$3),K1038,E1038)</f>
        <v>0</v>
      </c>
      <c r="Q1038" s="154">
        <f t="shared" si="92"/>
        <v>0</v>
      </c>
      <c r="R1038" s="153">
        <f t="shared" si="93"/>
        <v>0</v>
      </c>
      <c r="S1038" s="154">
        <f t="shared" si="9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hidden="1" customHeight="1">
      <c r="A1039" s="1170"/>
      <c r="B1039" s="1184"/>
      <c r="C1039" s="1185"/>
      <c r="D1039" s="1170"/>
      <c r="E1039" s="1170"/>
      <c r="F1039" s="1170"/>
      <c r="G1039" s="1170"/>
      <c r="H1039" s="1170"/>
      <c r="I1039" s="1170"/>
      <c r="J1039" s="1170"/>
      <c r="K1039" s="1170"/>
      <c r="L1039" s="153">
        <f t="shared" si="90"/>
        <v>0</v>
      </c>
      <c r="M1039" s="154">
        <f t="shared" si="91"/>
        <v>0</v>
      </c>
      <c r="N1039" s="155">
        <f>+IF(OR($Q1039=Parametres!$G$2,$Q1039=Parametres!$G$3),I1039,C1039)</f>
        <v>0</v>
      </c>
      <c r="O1039" s="1108">
        <f>+IF(OR($Q1039=Parametres!$G$2,$Q1039=Parametres!$G$3),J1039,D1039)</f>
        <v>0</v>
      </c>
      <c r="P1039" s="155">
        <f>+IF(OR($Q1039=Parametres!$G$2,$Q1039=Parametres!$G$3),K1039,E1039)</f>
        <v>0</v>
      </c>
      <c r="Q1039" s="154">
        <f t="shared" si="92"/>
        <v>0</v>
      </c>
      <c r="R1039" s="153">
        <f t="shared" si="93"/>
        <v>0</v>
      </c>
      <c r="S1039" s="154">
        <f t="shared" si="9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hidden="1" customHeight="1">
      <c r="A1040" s="1170"/>
      <c r="B1040" s="1184"/>
      <c r="C1040" s="1185"/>
      <c r="D1040" s="1170"/>
      <c r="E1040" s="1170"/>
      <c r="F1040" s="1170"/>
      <c r="G1040" s="1170"/>
      <c r="H1040" s="1170"/>
      <c r="I1040" s="1170"/>
      <c r="J1040" s="1170"/>
      <c r="K1040" s="1170"/>
      <c r="L1040" s="153">
        <f t="shared" si="90"/>
        <v>0</v>
      </c>
      <c r="M1040" s="154">
        <f t="shared" si="91"/>
        <v>0</v>
      </c>
      <c r="N1040" s="155">
        <f>+IF(OR($Q1040=Parametres!$G$2,$Q1040=Parametres!$G$3),I1040,C1040)</f>
        <v>0</v>
      </c>
      <c r="O1040" s="1108">
        <f>+IF(OR($Q1040=Parametres!$G$2,$Q1040=Parametres!$G$3),J1040,D1040)</f>
        <v>0</v>
      </c>
      <c r="P1040" s="155">
        <f>+IF(OR($Q1040=Parametres!$G$2,$Q1040=Parametres!$G$3),K1040,E1040)</f>
        <v>0</v>
      </c>
      <c r="Q1040" s="154">
        <f t="shared" si="92"/>
        <v>0</v>
      </c>
      <c r="R1040" s="153">
        <f t="shared" si="93"/>
        <v>0</v>
      </c>
      <c r="S1040" s="154">
        <f t="shared" si="9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hidden="1" customHeight="1">
      <c r="A1041" s="1170"/>
      <c r="B1041" s="1184"/>
      <c r="C1041" s="1185"/>
      <c r="D1041" s="1170"/>
      <c r="E1041" s="1170"/>
      <c r="F1041" s="1170"/>
      <c r="G1041" s="1170"/>
      <c r="H1041" s="1170"/>
      <c r="I1041" s="1170"/>
      <c r="J1041" s="1170"/>
      <c r="K1041" s="1170"/>
      <c r="L1041" s="153">
        <f t="shared" si="90"/>
        <v>0</v>
      </c>
      <c r="M1041" s="154">
        <f t="shared" si="91"/>
        <v>0</v>
      </c>
      <c r="N1041" s="155">
        <f>+IF(OR($Q1041=Parametres!$G$2,$Q1041=Parametres!$G$3),I1041,C1041)</f>
        <v>0</v>
      </c>
      <c r="O1041" s="1108">
        <f>+IF(OR($Q1041=Parametres!$G$2,$Q1041=Parametres!$G$3),J1041,D1041)</f>
        <v>0</v>
      </c>
      <c r="P1041" s="155">
        <f>+IF(OR($Q1041=Parametres!$G$2,$Q1041=Parametres!$G$3),K1041,E1041)</f>
        <v>0</v>
      </c>
      <c r="Q1041" s="154">
        <f t="shared" si="92"/>
        <v>0</v>
      </c>
      <c r="R1041" s="153">
        <f t="shared" si="93"/>
        <v>0</v>
      </c>
      <c r="S1041" s="154">
        <f t="shared" si="9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hidden="1" customHeight="1">
      <c r="A1042" s="1170"/>
      <c r="B1042" s="1184"/>
      <c r="C1042" s="1185"/>
      <c r="D1042" s="1170"/>
      <c r="E1042" s="1170"/>
      <c r="F1042" s="1170"/>
      <c r="G1042" s="1170"/>
      <c r="H1042" s="1170"/>
      <c r="I1042" s="1170"/>
      <c r="J1042" s="1170"/>
      <c r="K1042" s="1170"/>
      <c r="L1042" s="153">
        <f t="shared" si="90"/>
        <v>0</v>
      </c>
      <c r="M1042" s="154">
        <f t="shared" si="91"/>
        <v>0</v>
      </c>
      <c r="N1042" s="155">
        <f>+IF(OR($Q1042=Parametres!$G$2,$Q1042=Parametres!$G$3),I1042,C1042)</f>
        <v>0</v>
      </c>
      <c r="O1042" s="1108">
        <f>+IF(OR($Q1042=Parametres!$G$2,$Q1042=Parametres!$G$3),J1042,D1042)</f>
        <v>0</v>
      </c>
      <c r="P1042" s="155">
        <f>+IF(OR($Q1042=Parametres!$G$2,$Q1042=Parametres!$G$3),K1042,E1042)</f>
        <v>0</v>
      </c>
      <c r="Q1042" s="154">
        <f t="shared" si="92"/>
        <v>0</v>
      </c>
      <c r="R1042" s="153">
        <f t="shared" si="93"/>
        <v>0</v>
      </c>
      <c r="S1042" s="154">
        <f t="shared" si="9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hidden="1" customHeight="1">
      <c r="A1043" s="1170"/>
      <c r="B1043" s="1184"/>
      <c r="C1043" s="1185"/>
      <c r="D1043" s="1170"/>
      <c r="E1043" s="1170"/>
      <c r="F1043" s="1170"/>
      <c r="G1043" s="1170"/>
      <c r="H1043" s="1170"/>
      <c r="I1043" s="1170"/>
      <c r="J1043" s="1170"/>
      <c r="K1043" s="1170"/>
      <c r="L1043" s="153">
        <f t="shared" si="90"/>
        <v>0</v>
      </c>
      <c r="M1043" s="154">
        <f t="shared" si="91"/>
        <v>0</v>
      </c>
      <c r="N1043" s="155">
        <f>+IF(OR($Q1043=Parametres!$G$2,$Q1043=Parametres!$G$3),I1043,C1043)</f>
        <v>0</v>
      </c>
      <c r="O1043" s="1108">
        <f>+IF(OR($Q1043=Parametres!$G$2,$Q1043=Parametres!$G$3),J1043,D1043)</f>
        <v>0</v>
      </c>
      <c r="P1043" s="155">
        <f>+IF(OR($Q1043=Parametres!$G$2,$Q1043=Parametres!$G$3),K1043,E1043)</f>
        <v>0</v>
      </c>
      <c r="Q1043" s="154">
        <f t="shared" si="92"/>
        <v>0</v>
      </c>
      <c r="R1043" s="153">
        <f t="shared" si="93"/>
        <v>0</v>
      </c>
      <c r="S1043" s="154">
        <f t="shared" si="9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hidden="1" customHeight="1">
      <c r="A1044" s="1170"/>
      <c r="B1044" s="1184"/>
      <c r="C1044" s="1185"/>
      <c r="D1044" s="1170"/>
      <c r="E1044" s="1170"/>
      <c r="F1044" s="1170"/>
      <c r="G1044" s="1170"/>
      <c r="H1044" s="1170"/>
      <c r="I1044" s="1170"/>
      <c r="J1044" s="1170"/>
      <c r="K1044" s="1170"/>
      <c r="L1044" s="153">
        <f t="shared" si="90"/>
        <v>0</v>
      </c>
      <c r="M1044" s="154">
        <f t="shared" si="91"/>
        <v>0</v>
      </c>
      <c r="N1044" s="155">
        <f>+IF(OR($Q1044=Parametres!$G$2,$Q1044=Parametres!$G$3),I1044,C1044)</f>
        <v>0</v>
      </c>
      <c r="O1044" s="1108">
        <f>+IF(OR($Q1044=Parametres!$G$2,$Q1044=Parametres!$G$3),J1044,D1044)</f>
        <v>0</v>
      </c>
      <c r="P1044" s="155">
        <f>+IF(OR($Q1044=Parametres!$G$2,$Q1044=Parametres!$G$3),K1044,E1044)</f>
        <v>0</v>
      </c>
      <c r="Q1044" s="154">
        <f t="shared" si="92"/>
        <v>0</v>
      </c>
      <c r="R1044" s="153">
        <f t="shared" si="93"/>
        <v>0</v>
      </c>
      <c r="S1044" s="154">
        <f t="shared" si="9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hidden="1" customHeight="1">
      <c r="A1045" s="1170"/>
      <c r="B1045" s="1184"/>
      <c r="C1045" s="1185"/>
      <c r="D1045" s="1170"/>
      <c r="E1045" s="1170"/>
      <c r="F1045" s="1170"/>
      <c r="G1045" s="1170"/>
      <c r="H1045" s="1170"/>
      <c r="I1045" s="1170"/>
      <c r="J1045" s="1170"/>
      <c r="K1045" s="1170"/>
      <c r="L1045" s="153">
        <f t="shared" si="90"/>
        <v>0</v>
      </c>
      <c r="M1045" s="154">
        <f t="shared" si="91"/>
        <v>0</v>
      </c>
      <c r="N1045" s="155">
        <f>+IF(OR($Q1045=Parametres!$G$2,$Q1045=Parametres!$G$3),I1045,C1045)</f>
        <v>0</v>
      </c>
      <c r="O1045" s="1108">
        <f>+IF(OR($Q1045=Parametres!$G$2,$Q1045=Parametres!$G$3),J1045,D1045)</f>
        <v>0</v>
      </c>
      <c r="P1045" s="155">
        <f>+IF(OR($Q1045=Parametres!$G$2,$Q1045=Parametres!$G$3),K1045,E1045)</f>
        <v>0</v>
      </c>
      <c r="Q1045" s="154">
        <f t="shared" si="92"/>
        <v>0</v>
      </c>
      <c r="R1045" s="153">
        <f t="shared" si="93"/>
        <v>0</v>
      </c>
      <c r="S1045" s="154">
        <f t="shared" si="9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hidden="1" customHeight="1">
      <c r="A1046" s="1170"/>
      <c r="B1046" s="1184"/>
      <c r="C1046" s="1185"/>
      <c r="D1046" s="1170"/>
      <c r="E1046" s="1170"/>
      <c r="F1046" s="1170"/>
      <c r="G1046" s="1170"/>
      <c r="H1046" s="1170"/>
      <c r="I1046" s="1170"/>
      <c r="J1046" s="1170"/>
      <c r="K1046" s="1170"/>
      <c r="L1046" s="153">
        <f t="shared" si="90"/>
        <v>0</v>
      </c>
      <c r="M1046" s="154">
        <f t="shared" si="91"/>
        <v>0</v>
      </c>
      <c r="N1046" s="155">
        <f>+IF(OR($Q1046=Parametres!$G$2,$Q1046=Parametres!$G$3),I1046,C1046)</f>
        <v>0</v>
      </c>
      <c r="O1046" s="1108">
        <f>+IF(OR($Q1046=Parametres!$G$2,$Q1046=Parametres!$G$3),J1046,D1046)</f>
        <v>0</v>
      </c>
      <c r="P1046" s="155">
        <f>+IF(OR($Q1046=Parametres!$G$2,$Q1046=Parametres!$G$3),K1046,E1046)</f>
        <v>0</v>
      </c>
      <c r="Q1046" s="154">
        <f t="shared" si="92"/>
        <v>0</v>
      </c>
      <c r="R1046" s="153">
        <f t="shared" si="93"/>
        <v>0</v>
      </c>
      <c r="S1046" s="154">
        <f t="shared" si="9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hidden="1" customHeight="1">
      <c r="A1047" s="1170"/>
      <c r="B1047" s="1184"/>
      <c r="C1047" s="1185"/>
      <c r="D1047" s="1170"/>
      <c r="E1047" s="1170"/>
      <c r="F1047" s="1170"/>
      <c r="G1047" s="1170"/>
      <c r="H1047" s="1170"/>
      <c r="I1047" s="1170"/>
      <c r="J1047" s="1170"/>
      <c r="K1047" s="1170"/>
      <c r="L1047" s="153">
        <f t="shared" si="90"/>
        <v>0</v>
      </c>
      <c r="M1047" s="154">
        <f t="shared" si="91"/>
        <v>0</v>
      </c>
      <c r="N1047" s="155">
        <f>+IF(OR($Q1047=Parametres!$G$2,$Q1047=Parametres!$G$3),I1047,C1047)</f>
        <v>0</v>
      </c>
      <c r="O1047" s="1108">
        <f>+IF(OR($Q1047=Parametres!$G$2,$Q1047=Parametres!$G$3),J1047,D1047)</f>
        <v>0</v>
      </c>
      <c r="P1047" s="155">
        <f>+IF(OR($Q1047=Parametres!$G$2,$Q1047=Parametres!$G$3),K1047,E1047)</f>
        <v>0</v>
      </c>
      <c r="Q1047" s="154">
        <f t="shared" si="92"/>
        <v>0</v>
      </c>
      <c r="R1047" s="153">
        <f t="shared" si="93"/>
        <v>0</v>
      </c>
      <c r="S1047" s="154">
        <f t="shared" si="9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hidden="1" customHeight="1">
      <c r="A1048" s="1170"/>
      <c r="B1048" s="1184"/>
      <c r="C1048" s="1185"/>
      <c r="D1048" s="1170"/>
      <c r="E1048" s="1170"/>
      <c r="F1048" s="1170"/>
      <c r="G1048" s="1170"/>
      <c r="H1048" s="1170"/>
      <c r="I1048" s="1170"/>
      <c r="J1048" s="1170"/>
      <c r="K1048" s="1170"/>
      <c r="L1048" s="153">
        <f t="shared" si="90"/>
        <v>0</v>
      </c>
      <c r="M1048" s="154">
        <f t="shared" si="91"/>
        <v>0</v>
      </c>
      <c r="N1048" s="155">
        <f>+IF(OR($Q1048=Parametres!$G$2,$Q1048=Parametres!$G$3),I1048,C1048)</f>
        <v>0</v>
      </c>
      <c r="O1048" s="1108">
        <f>+IF(OR($Q1048=Parametres!$G$2,$Q1048=Parametres!$G$3),J1048,D1048)</f>
        <v>0</v>
      </c>
      <c r="P1048" s="155">
        <f>+IF(OR($Q1048=Parametres!$G$2,$Q1048=Parametres!$G$3),K1048,E1048)</f>
        <v>0</v>
      </c>
      <c r="Q1048" s="154">
        <f t="shared" si="92"/>
        <v>0</v>
      </c>
      <c r="R1048" s="153">
        <f t="shared" si="93"/>
        <v>0</v>
      </c>
      <c r="S1048" s="154">
        <f t="shared" si="9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hidden="1" customHeight="1">
      <c r="A1049" s="1170"/>
      <c r="B1049" s="1184"/>
      <c r="C1049" s="1185"/>
      <c r="D1049" s="1170"/>
      <c r="E1049" s="1170"/>
      <c r="F1049" s="1170"/>
      <c r="G1049" s="1170"/>
      <c r="H1049" s="1170"/>
      <c r="I1049" s="1170"/>
      <c r="J1049" s="1170"/>
      <c r="K1049" s="1170"/>
      <c r="L1049" s="153">
        <f t="shared" si="90"/>
        <v>0</v>
      </c>
      <c r="M1049" s="154">
        <f t="shared" si="91"/>
        <v>0</v>
      </c>
      <c r="N1049" s="155">
        <f>+IF(OR($Q1049=Parametres!$G$2,$Q1049=Parametres!$G$3),I1049,C1049)</f>
        <v>0</v>
      </c>
      <c r="O1049" s="1108">
        <f>+IF(OR($Q1049=Parametres!$G$2,$Q1049=Parametres!$G$3),J1049,D1049)</f>
        <v>0</v>
      </c>
      <c r="P1049" s="155">
        <f>+IF(OR($Q1049=Parametres!$G$2,$Q1049=Parametres!$G$3),K1049,E1049)</f>
        <v>0</v>
      </c>
      <c r="Q1049" s="154">
        <f t="shared" si="92"/>
        <v>0</v>
      </c>
      <c r="R1049" s="153">
        <f t="shared" si="93"/>
        <v>0</v>
      </c>
      <c r="S1049" s="154">
        <f t="shared" si="9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hidden="1" customHeight="1">
      <c r="A1050" s="1170"/>
      <c r="B1050" s="1184"/>
      <c r="C1050" s="1185"/>
      <c r="D1050" s="1170"/>
      <c r="E1050" s="1170"/>
      <c r="F1050" s="1170"/>
      <c r="G1050" s="1170"/>
      <c r="H1050" s="1170"/>
      <c r="I1050" s="1170"/>
      <c r="J1050" s="1170"/>
      <c r="K1050" s="1170"/>
      <c r="L1050" s="153">
        <f t="shared" si="90"/>
        <v>0</v>
      </c>
      <c r="M1050" s="154">
        <f t="shared" si="91"/>
        <v>0</v>
      </c>
      <c r="N1050" s="155">
        <f>+IF(OR($Q1050=Parametres!$G$2,$Q1050=Parametres!$G$3),I1050,C1050)</f>
        <v>0</v>
      </c>
      <c r="O1050" s="1108">
        <f>+IF(OR($Q1050=Parametres!$G$2,$Q1050=Parametres!$G$3),J1050,D1050)</f>
        <v>0</v>
      </c>
      <c r="P1050" s="155">
        <f>+IF(OR($Q1050=Parametres!$G$2,$Q1050=Parametres!$G$3),K1050,E1050)</f>
        <v>0</v>
      </c>
      <c r="Q1050" s="154">
        <f t="shared" si="92"/>
        <v>0</v>
      </c>
      <c r="R1050" s="153">
        <f t="shared" si="93"/>
        <v>0</v>
      </c>
      <c r="S1050" s="154">
        <f t="shared" si="9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hidden="1" customHeight="1">
      <c r="A1051" s="1170"/>
      <c r="B1051" s="1184"/>
      <c r="C1051" s="1185"/>
      <c r="D1051" s="1170"/>
      <c r="E1051" s="1170"/>
      <c r="F1051" s="1170"/>
      <c r="G1051" s="1170"/>
      <c r="H1051" s="1170"/>
      <c r="I1051" s="1170"/>
      <c r="J1051" s="1170"/>
      <c r="K1051" s="1170"/>
      <c r="L1051" s="153">
        <f t="shared" si="90"/>
        <v>0</v>
      </c>
      <c r="M1051" s="154">
        <f t="shared" si="91"/>
        <v>0</v>
      </c>
      <c r="N1051" s="155">
        <f>+IF(OR($Q1051=Parametres!$G$2,$Q1051=Parametres!$G$3),I1051,C1051)</f>
        <v>0</v>
      </c>
      <c r="O1051" s="1108">
        <f>+IF(OR($Q1051=Parametres!$G$2,$Q1051=Parametres!$G$3),J1051,D1051)</f>
        <v>0</v>
      </c>
      <c r="P1051" s="155">
        <f>+IF(OR($Q1051=Parametres!$G$2,$Q1051=Parametres!$G$3),K1051,E1051)</f>
        <v>0</v>
      </c>
      <c r="Q1051" s="154">
        <f t="shared" si="92"/>
        <v>0</v>
      </c>
      <c r="R1051" s="153">
        <f t="shared" si="93"/>
        <v>0</v>
      </c>
      <c r="S1051" s="154">
        <f t="shared" si="9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hidden="1" customHeight="1">
      <c r="A1052" s="1170"/>
      <c r="B1052" s="1184"/>
      <c r="C1052" s="1185"/>
      <c r="D1052" s="1170"/>
      <c r="E1052" s="1170"/>
      <c r="F1052" s="1170"/>
      <c r="G1052" s="1170"/>
      <c r="H1052" s="1170"/>
      <c r="I1052" s="1170"/>
      <c r="J1052" s="1170"/>
      <c r="K1052" s="1170"/>
      <c r="L1052" s="153">
        <f t="shared" si="90"/>
        <v>0</v>
      </c>
      <c r="M1052" s="154">
        <f t="shared" si="91"/>
        <v>0</v>
      </c>
      <c r="N1052" s="155">
        <f>+IF(OR($Q1052=Parametres!$G$2,$Q1052=Parametres!$G$3),I1052,C1052)</f>
        <v>0</v>
      </c>
      <c r="O1052" s="1108">
        <f>+IF(OR($Q1052=Parametres!$G$2,$Q1052=Parametres!$G$3),J1052,D1052)</f>
        <v>0</v>
      </c>
      <c r="P1052" s="155">
        <f>+IF(OR($Q1052=Parametres!$G$2,$Q1052=Parametres!$G$3),K1052,E1052)</f>
        <v>0</v>
      </c>
      <c r="Q1052" s="154">
        <f t="shared" si="92"/>
        <v>0</v>
      </c>
      <c r="R1052" s="153">
        <f t="shared" si="93"/>
        <v>0</v>
      </c>
      <c r="S1052" s="154">
        <f t="shared" si="9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hidden="1" customHeight="1">
      <c r="A1053" s="1170"/>
      <c r="B1053" s="1184"/>
      <c r="C1053" s="1185"/>
      <c r="D1053" s="1170"/>
      <c r="E1053" s="1170"/>
      <c r="F1053" s="1170"/>
      <c r="G1053" s="1170"/>
      <c r="H1053" s="1170"/>
      <c r="I1053" s="1170"/>
      <c r="J1053" s="1170"/>
      <c r="K1053" s="1170"/>
      <c r="L1053" s="153">
        <f t="shared" si="90"/>
        <v>0</v>
      </c>
      <c r="M1053" s="154">
        <f t="shared" si="91"/>
        <v>0</v>
      </c>
      <c r="N1053" s="155">
        <f>+IF(OR($Q1053=Parametres!$G$2,$Q1053=Parametres!$G$3),I1053,C1053)</f>
        <v>0</v>
      </c>
      <c r="O1053" s="1108">
        <f>+IF(OR($Q1053=Parametres!$G$2,$Q1053=Parametres!$G$3),J1053,D1053)</f>
        <v>0</v>
      </c>
      <c r="P1053" s="155">
        <f>+IF(OR($Q1053=Parametres!$G$2,$Q1053=Parametres!$G$3),K1053,E1053)</f>
        <v>0</v>
      </c>
      <c r="Q1053" s="154">
        <f t="shared" si="92"/>
        <v>0</v>
      </c>
      <c r="R1053" s="153">
        <f t="shared" si="93"/>
        <v>0</v>
      </c>
      <c r="S1053" s="154">
        <f t="shared" si="9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hidden="1" customHeight="1">
      <c r="A1054" s="1170"/>
      <c r="B1054" s="1184"/>
      <c r="C1054" s="1185"/>
      <c r="D1054" s="1170"/>
      <c r="E1054" s="1170"/>
      <c r="F1054" s="1170"/>
      <c r="G1054" s="1170"/>
      <c r="H1054" s="1170"/>
      <c r="I1054" s="1170"/>
      <c r="J1054" s="1170"/>
      <c r="K1054" s="1170"/>
      <c r="L1054" s="153">
        <f t="shared" si="90"/>
        <v>0</v>
      </c>
      <c r="M1054" s="154">
        <f t="shared" si="91"/>
        <v>0</v>
      </c>
      <c r="N1054" s="155">
        <f>+IF(OR($Q1054=Parametres!$G$2,$Q1054=Parametres!$G$3),I1054,C1054)</f>
        <v>0</v>
      </c>
      <c r="O1054" s="1108">
        <f>+IF(OR($Q1054=Parametres!$G$2,$Q1054=Parametres!$G$3),J1054,D1054)</f>
        <v>0</v>
      </c>
      <c r="P1054" s="155">
        <f>+IF(OR($Q1054=Parametres!$G$2,$Q1054=Parametres!$G$3),K1054,E1054)</f>
        <v>0</v>
      </c>
      <c r="Q1054" s="154">
        <f t="shared" si="92"/>
        <v>0</v>
      </c>
      <c r="R1054" s="153">
        <f t="shared" si="93"/>
        <v>0</v>
      </c>
      <c r="S1054" s="154">
        <f t="shared" si="9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2911</v>
      </c>
      <c r="O1056" s="1111">
        <f>O181</f>
        <v>196.23</v>
      </c>
      <c r="P1056" s="1128">
        <f>O252</f>
        <v>517.74</v>
      </c>
    </row>
    <row r="1057" spans="2:16" ht="15" customHeight="1">
      <c r="N1057" t="s">
        <v>2916</v>
      </c>
      <c r="O1057" s="1111">
        <f>O183</f>
        <v>26628.14</v>
      </c>
      <c r="P1057" s="1128">
        <f>O253</f>
        <v>414.73</v>
      </c>
    </row>
    <row r="1058" spans="2:16" ht="15" customHeight="1">
      <c r="N1058" t="s">
        <v>2917</v>
      </c>
      <c r="O1058" s="1111">
        <f>O185</f>
        <v>1813.08</v>
      </c>
      <c r="P1058" s="1128">
        <f>O254</f>
        <v>3120</v>
      </c>
    </row>
    <row r="1059" spans="2:16" ht="15" customHeight="1">
      <c r="N1059" t="s">
        <v>2918</v>
      </c>
      <c r="O1059" s="1111">
        <f>O189</f>
        <v>9486.7900000000009</v>
      </c>
    </row>
    <row r="1066" spans="2:16" ht="15" customHeight="1">
      <c r="B1066" s="515">
        <v>4105</v>
      </c>
      <c r="C1066" s="515">
        <v>0</v>
      </c>
    </row>
    <row r="1067" spans="2:16" ht="15" customHeight="1">
      <c r="B1067" s="515" t="s">
        <v>2482</v>
      </c>
    </row>
    <row r="1068" spans="2:16" ht="15" customHeight="1">
      <c r="B1068" s="515">
        <v>4107</v>
      </c>
      <c r="C1068" s="515">
        <v>-1</v>
      </c>
      <c r="D1068" s="515">
        <f>C1068/$C$1086</f>
        <v>1.2658227848101266E-2</v>
      </c>
      <c r="E1068" s="515">
        <f>D1068*$E$1087</f>
        <v>126.75949367088607</v>
      </c>
      <c r="F1068" s="515">
        <f>E1068/C1068</f>
        <v>-126.75949367088607</v>
      </c>
    </row>
    <row r="1069" spans="2:16" ht="15" customHeight="1">
      <c r="B1069" s="515" t="s">
        <v>2484</v>
      </c>
    </row>
    <row r="1070" spans="2:16" ht="15" customHeight="1">
      <c r="B1070" s="515">
        <v>4111</v>
      </c>
      <c r="C1070" s="515">
        <v>-6</v>
      </c>
      <c r="D1070" s="515">
        <f>C1070/$C$1086</f>
        <v>7.5949367088607597E-2</v>
      </c>
      <c r="E1070" s="515">
        <f>D1070*$E$1087</f>
        <v>760.55696202531647</v>
      </c>
      <c r="F1070" s="515">
        <f>E1070/C1070</f>
        <v>-126.75949367088607</v>
      </c>
    </row>
    <row r="1071" spans="2:16" ht="15" customHeight="1">
      <c r="B1071" s="515" t="s">
        <v>2488</v>
      </c>
    </row>
    <row r="1072" spans="2:16" ht="15" customHeight="1">
      <c r="B1072" s="515">
        <v>4118</v>
      </c>
      <c r="C1072" s="515">
        <v>-12</v>
      </c>
      <c r="D1072" s="515">
        <f>C1072/$C$1086</f>
        <v>0.15189873417721519</v>
      </c>
      <c r="E1072" s="515">
        <f>D1072*$E$1087</f>
        <v>1521.1139240506329</v>
      </c>
      <c r="F1072" s="515">
        <f>E1072/C1072</f>
        <v>-126.75949367088607</v>
      </c>
    </row>
    <row r="1073" spans="2:6" ht="15" customHeight="1">
      <c r="B1073" s="515" t="s">
        <v>2912</v>
      </c>
    </row>
    <row r="1074" spans="2:6" ht="15" customHeight="1">
      <c r="B1074" s="515">
        <v>4119</v>
      </c>
      <c r="C1074" s="515">
        <v>-14</v>
      </c>
      <c r="D1074" s="515">
        <f>C1074/$C$1086</f>
        <v>0.17721518987341772</v>
      </c>
      <c r="E1074" s="515">
        <f>D1074*$E$1087</f>
        <v>1774.632911392405</v>
      </c>
      <c r="F1074" s="515">
        <f>E1074/C1074</f>
        <v>-126.75949367088607</v>
      </c>
    </row>
    <row r="1075" spans="2:6" ht="15" customHeight="1">
      <c r="B1075" s="515" t="s">
        <v>2494</v>
      </c>
    </row>
    <row r="1076" spans="2:6" ht="15" customHeight="1">
      <c r="B1076" s="515">
        <v>4121</v>
      </c>
      <c r="C1076" s="515">
        <v>-1</v>
      </c>
      <c r="D1076" s="515">
        <f>C1076/$C$1086</f>
        <v>1.2658227848101266E-2</v>
      </c>
      <c r="E1076" s="515">
        <f>D1076*$E$1087</f>
        <v>126.75949367088607</v>
      </c>
      <c r="F1076" s="515">
        <f>E1076/C1076</f>
        <v>-126.75949367088607</v>
      </c>
    </row>
    <row r="1077" spans="2:6" ht="15" customHeight="1">
      <c r="B1077" s="515" t="s">
        <v>2890</v>
      </c>
    </row>
    <row r="1078" spans="2:6" ht="15" customHeight="1">
      <c r="B1078" s="515">
        <v>4127</v>
      </c>
      <c r="C1078" s="515">
        <v>-2</v>
      </c>
      <c r="D1078" s="515">
        <f>C1078/$C$1086</f>
        <v>2.5316455696202531E-2</v>
      </c>
      <c r="E1078" s="515">
        <f>D1078*$E$1087</f>
        <v>253.51898734177215</v>
      </c>
      <c r="F1078" s="515">
        <f>E1078/C1078</f>
        <v>-126.75949367088607</v>
      </c>
    </row>
    <row r="1079" spans="2:6" ht="15" customHeight="1">
      <c r="B1079" s="515" t="s">
        <v>2496</v>
      </c>
    </row>
    <row r="1080" spans="2:6" ht="15" customHeight="1">
      <c r="B1080" s="515">
        <v>4131</v>
      </c>
      <c r="C1080" s="515">
        <v>-28</v>
      </c>
      <c r="D1080" s="515">
        <f>C1080/$C$1086</f>
        <v>0.35443037974683544</v>
      </c>
      <c r="E1080" s="515">
        <f>D1080*$E$1087</f>
        <v>3549.2658227848101</v>
      </c>
      <c r="F1080" s="515">
        <f>E1080/C1080</f>
        <v>-126.75949367088607</v>
      </c>
    </row>
    <row r="1081" spans="2:6" ht="15" customHeight="1">
      <c r="B1081" s="515" t="s">
        <v>2498</v>
      </c>
      <c r="D1081" s="1176"/>
    </row>
    <row r="1082" spans="2:6" ht="15" customHeight="1">
      <c r="B1082" s="515">
        <v>4135</v>
      </c>
      <c r="C1082" s="515">
        <v>0</v>
      </c>
      <c r="D1082" s="515">
        <f>C1082/$C$1086</f>
        <v>0</v>
      </c>
    </row>
    <row r="1083" spans="2:6" ht="15" customHeight="1">
      <c r="B1083" s="515" t="s">
        <v>2500</v>
      </c>
    </row>
    <row r="1084" spans="2:6" ht="15" customHeight="1">
      <c r="B1084" s="515">
        <v>4139</v>
      </c>
      <c r="C1084" s="515">
        <v>-15</v>
      </c>
      <c r="D1084" s="515">
        <f>C1084/$C$1086</f>
        <v>0.189873417721519</v>
      </c>
      <c r="E1084" s="515">
        <f>D1084*$E$1087</f>
        <v>1901.3924050632913</v>
      </c>
      <c r="F1084" s="515">
        <f>E1084/C1084</f>
        <v>-126.75949367088609</v>
      </c>
    </row>
    <row r="1085" spans="2:6" ht="15" customHeight="1">
      <c r="B1085" s="515" t="s">
        <v>2505</v>
      </c>
    </row>
    <row r="1086" spans="2:6" ht="15" customHeight="1">
      <c r="C1086" s="515">
        <f>SUBTOTAL(9,C1066:C1085)</f>
        <v>-79</v>
      </c>
      <c r="D1086" s="515">
        <f>SUBTOTAL(9,D1066:D1085)</f>
        <v>1</v>
      </c>
    </row>
    <row r="1087" spans="2:6" ht="15" customHeight="1">
      <c r="E1087" s="515">
        <v>10014</v>
      </c>
      <c r="F1087" s="515" t="s">
        <v>3005</v>
      </c>
    </row>
  </sheetData>
  <autoFilter ref="A1:X1054" xr:uid="{00000000-0009-0000-0000-00000A000000}">
    <filterColumn colId="21">
      <filters>
        <filter val="Frais de déplacement"/>
      </filters>
    </filterColumn>
  </autoFilter>
  <dataValidations count="1">
    <dataValidation type="list" allowBlank="1" showErrorMessage="1" sqref="U1" xr:uid="{00000000-0002-0000-0A00-000000000000}">
      <formula1>$D$1:$D$26</formula1>
    </dataValidation>
  </dataValidations>
  <pageMargins left="0.7" right="0.7" top="0.75" bottom="0.75" header="0" footer="0"/>
  <pageSetup scale="63" orientation="landscape"/>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092"/>
  <sheetViews>
    <sheetView topLeftCell="A131" workbookViewId="0">
      <selection activeCell="E149" sqref="E149"/>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46" t="s">
        <v>1637</v>
      </c>
      <c r="B1" s="946" t="s">
        <v>265</v>
      </c>
      <c r="C1" s="946" t="s">
        <v>1640</v>
      </c>
      <c r="D1" s="946" t="s">
        <v>278</v>
      </c>
      <c r="E1" s="1001" t="s">
        <v>279</v>
      </c>
      <c r="F1" s="1001" t="s">
        <v>1919</v>
      </c>
      <c r="G1" s="1001" t="s">
        <v>1927</v>
      </c>
      <c r="I1" s="162" t="s">
        <v>1640</v>
      </c>
      <c r="K1" s="162" t="s">
        <v>278</v>
      </c>
      <c r="N1" s="187"/>
    </row>
    <row r="2" spans="1:14" ht="15" customHeight="1">
      <c r="A2" s="1143">
        <v>10</v>
      </c>
      <c r="B2" s="169" t="s">
        <v>2202</v>
      </c>
      <c r="C2" s="945"/>
      <c r="D2" s="945"/>
      <c r="E2" s="997"/>
      <c r="F2" s="998"/>
      <c r="G2" s="997" t="e">
        <f>+VLOOKUP(Data_Validation!$A2,BV_Data_An_Cour!$L:$Q,6,0)</f>
        <v>#N/A</v>
      </c>
      <c r="H2" s="165"/>
      <c r="I2" s="164" t="s">
        <v>1642</v>
      </c>
      <c r="K2" s="164">
        <f>Print_Mois!C4</f>
        <v>0</v>
      </c>
      <c r="N2" s="187"/>
    </row>
    <row r="3" spans="1:14" ht="15" customHeight="1">
      <c r="A3" s="1143">
        <v>20</v>
      </c>
      <c r="B3" s="169" t="s">
        <v>2205</v>
      </c>
      <c r="C3" s="945"/>
      <c r="D3" s="945"/>
      <c r="E3" s="997"/>
      <c r="F3" s="998"/>
      <c r="G3" s="997" t="e">
        <f>+VLOOKUP(Data_Validation!$A3,BV_Data_An_Cour!$L:$Q,6,0)</f>
        <v>#N/A</v>
      </c>
      <c r="H3" s="188"/>
      <c r="I3" s="164" t="str">
        <f>Print_Mois!K1</f>
        <v>Véhicules neufs</v>
      </c>
      <c r="K3" s="164" t="s">
        <v>66</v>
      </c>
      <c r="N3" s="187"/>
    </row>
    <row r="4" spans="1:14" ht="15" customHeight="1">
      <c r="A4" s="1143">
        <v>30</v>
      </c>
      <c r="B4" s="169" t="s">
        <v>2207</v>
      </c>
      <c r="C4" s="945"/>
      <c r="D4" s="945"/>
      <c r="E4" s="997"/>
      <c r="F4" s="998"/>
      <c r="G4" s="997" t="e">
        <f>+VLOOKUP(Data_Validation!$A4,BV_Data_An_Cour!$L:$Q,6,0)</f>
        <v>#N/A</v>
      </c>
      <c r="H4" s="188"/>
      <c r="I4" s="164" t="str">
        <f>Print_Mois!K89</f>
        <v>Véhicules usagés</v>
      </c>
      <c r="K4" s="164" t="str">
        <f>Print_Mois!C183</f>
        <v>Ajustement M/O</v>
      </c>
      <c r="M4" s="627" t="s">
        <v>1928</v>
      </c>
      <c r="N4" s="187"/>
    </row>
    <row r="5" spans="1:14" ht="15" customHeight="1">
      <c r="A5" s="1143">
        <v>40</v>
      </c>
      <c r="B5" s="169" t="s">
        <v>2209</v>
      </c>
      <c r="C5" s="945"/>
      <c r="D5" s="945"/>
      <c r="E5" s="997"/>
      <c r="F5" s="998"/>
      <c r="G5" s="997" t="e">
        <f>+VLOOKUP(Data_Validation!$A5,BV_Data_An_Cour!$L:$Q,6,0)</f>
        <v>#N/A</v>
      </c>
      <c r="H5" s="188"/>
      <c r="I5" s="164" t="str">
        <f>Print_Mois!AE401</f>
        <v>TOTAL  DES  REVENUS  ET  DÉPENSES</v>
      </c>
      <c r="K5" s="164" t="s">
        <v>53</v>
      </c>
      <c r="M5" s="628" t="s">
        <v>1929</v>
      </c>
      <c r="N5" s="187"/>
    </row>
    <row r="6" spans="1:14" ht="15" customHeight="1">
      <c r="A6" s="1143">
        <v>50</v>
      </c>
      <c r="B6" s="171" t="s">
        <v>2211</v>
      </c>
      <c r="C6" s="945"/>
      <c r="D6" s="945"/>
      <c r="E6" s="1000"/>
      <c r="F6" s="998"/>
      <c r="G6" s="997" t="e">
        <f>+VLOOKUP(Data_Validation!$A6,BV_Data_An_Cour!$L:$Q,6,0)</f>
        <v>#N/A</v>
      </c>
      <c r="H6" s="188"/>
      <c r="I6" s="164" t="str">
        <f>Print_Mois!K167</f>
        <v>Service</v>
      </c>
      <c r="K6" s="164" t="s">
        <v>55</v>
      </c>
      <c r="M6" s="628" t="s">
        <v>1947</v>
      </c>
    </row>
    <row r="7" spans="1:14" ht="15" customHeight="1">
      <c r="A7" s="1153">
        <v>60</v>
      </c>
      <c r="B7" s="169" t="s">
        <v>2213</v>
      </c>
      <c r="C7" s="945"/>
      <c r="D7" s="945"/>
      <c r="E7" s="1000"/>
      <c r="F7" s="997"/>
      <c r="G7" s="997" t="e">
        <f>+VLOOKUP(Data_Validation!$A7,BV_Data_An_Cour!$L:$Q,6,0)</f>
        <v>#N/A</v>
      </c>
      <c r="H7" s="188"/>
      <c r="I7" s="164" t="str">
        <f>Print_Mois!K235</f>
        <v>Carrosserie</v>
      </c>
      <c r="K7" s="164" t="str">
        <f>Print_Mois!V490</f>
        <v>Amortissement</v>
      </c>
      <c r="M7" s="628" t="s">
        <v>1948</v>
      </c>
    </row>
    <row r="8" spans="1:14" ht="15" customHeight="1">
      <c r="A8" s="1153">
        <v>70</v>
      </c>
      <c r="B8" s="171" t="s">
        <v>2215</v>
      </c>
      <c r="C8" s="945"/>
      <c r="D8" s="945"/>
      <c r="E8" s="997"/>
      <c r="F8" s="998"/>
      <c r="G8" s="997" t="e">
        <f>+VLOOKUP(Data_Validation!$A8,BV_Data_An_Cour!$L:$Q,6,0)</f>
        <v>#N/A</v>
      </c>
      <c r="H8" s="188"/>
      <c r="I8" s="164" t="str">
        <f>Print_Mois!K290</f>
        <v>Pièces</v>
      </c>
      <c r="K8" s="164" t="s">
        <v>68</v>
      </c>
      <c r="M8" s="628" t="s">
        <v>155</v>
      </c>
    </row>
    <row r="9" spans="1:14" ht="15" customHeight="1">
      <c r="A9" s="1143">
        <v>80</v>
      </c>
      <c r="B9" s="171" t="s">
        <v>2217</v>
      </c>
      <c r="C9" s="945"/>
      <c r="D9" s="945"/>
      <c r="E9" s="997"/>
      <c r="F9" s="998"/>
      <c r="G9" s="997" t="e">
        <f>+VLOOKUP(Data_Validation!$A9,BV_Data_An_Cour!$L:$Q,6,0)</f>
        <v>#N/A</v>
      </c>
      <c r="H9" s="188"/>
      <c r="I9" s="164" t="s">
        <v>1646</v>
      </c>
      <c r="K9" s="164" t="str">
        <f>Print_Mois!V456</f>
        <v>Assurances</v>
      </c>
      <c r="M9" s="628" t="s">
        <v>175</v>
      </c>
    </row>
    <row r="10" spans="1:14" ht="15" customHeight="1">
      <c r="A10" s="1143">
        <v>90</v>
      </c>
      <c r="B10" s="171" t="s">
        <v>2219</v>
      </c>
      <c r="C10" s="945"/>
      <c r="D10" s="945"/>
      <c r="E10" s="997"/>
      <c r="F10" s="998"/>
      <c r="G10" s="997" t="e">
        <f>+VLOOKUP(Data_Validation!$A10,BV_Data_An_Cour!$L:$Q,6,0)</f>
        <v>#N/A</v>
      </c>
      <c r="H10" s="188"/>
      <c r="I10" s="164"/>
      <c r="K10" s="164" t="s">
        <v>1647</v>
      </c>
      <c r="M10" s="628" t="s">
        <v>171</v>
      </c>
      <c r="N10" s="187"/>
    </row>
    <row r="11" spans="1:14" ht="15" customHeight="1">
      <c r="A11" s="1143">
        <v>100</v>
      </c>
      <c r="B11" s="169" t="s">
        <v>2221</v>
      </c>
      <c r="C11" s="945"/>
      <c r="D11" s="945"/>
      <c r="E11" s="997"/>
      <c r="F11" s="998"/>
      <c r="G11" s="997" t="e">
        <f>+VLOOKUP(Data_Validation!$A11,BV_Data_An_Cour!$L:$Q,6,0)</f>
        <v>#N/A</v>
      </c>
      <c r="H11" s="188"/>
      <c r="I11" s="164"/>
      <c r="K11" s="164" t="s">
        <v>1648</v>
      </c>
      <c r="M11" s="627" t="s">
        <v>1930</v>
      </c>
      <c r="N11" s="187"/>
    </row>
    <row r="12" spans="1:14" ht="15" customHeight="1">
      <c r="A12" s="1143">
        <v>110</v>
      </c>
      <c r="B12" s="169" t="s">
        <v>2223</v>
      </c>
      <c r="C12" s="945"/>
      <c r="D12" s="945"/>
      <c r="E12" s="997"/>
      <c r="F12" s="998"/>
      <c r="G12" s="997" t="e">
        <f>+VLOOKUP(Data_Validation!$A12,BV_Data_An_Cour!$L:$Q,6,0)</f>
        <v>#N/A</v>
      </c>
      <c r="H12" s="188"/>
      <c r="K12" s="164" t="str">
        <f>Print_Mois!C6</f>
        <v>Autos détail</v>
      </c>
      <c r="M12" s="187" t="s">
        <v>1947</v>
      </c>
    </row>
    <row r="13" spans="1:14" s="570" customFormat="1" ht="15" customHeight="1">
      <c r="A13" s="1143">
        <v>120</v>
      </c>
      <c r="B13" s="169" t="s">
        <v>3050</v>
      </c>
      <c r="C13" s="945"/>
      <c r="D13" s="945"/>
      <c r="E13" s="997"/>
      <c r="F13" s="998"/>
      <c r="G13" s="997" t="e">
        <f>+VLOOKUP(Data_Validation!$A13,BV_Data_An_Cour!$L:$Q,6,0)</f>
        <v>#N/A</v>
      </c>
      <c r="H13" s="188"/>
      <c r="K13" s="164"/>
    </row>
    <row r="14" spans="1:14" ht="15" customHeight="1">
      <c r="A14" s="1143">
        <v>229</v>
      </c>
      <c r="B14" s="169" t="s">
        <v>2225</v>
      </c>
      <c r="C14" s="945"/>
      <c r="D14" s="945"/>
      <c r="E14" s="997"/>
      <c r="F14" s="998"/>
      <c r="G14" s="997" t="e">
        <f>+VLOOKUP(Data_Validation!$A14,BV_Data_An_Cour!$L:$Q,6,0)</f>
        <v>#N/A</v>
      </c>
      <c r="H14" s="188"/>
      <c r="K14" s="164" t="str">
        <f>Print_Mois!C311</f>
        <v>Autostock</v>
      </c>
      <c r="M14" s="187" t="s">
        <v>1948</v>
      </c>
    </row>
    <row r="15" spans="1:14" ht="15" customHeight="1">
      <c r="A15" s="1143">
        <v>230</v>
      </c>
      <c r="B15" s="169" t="s">
        <v>2228</v>
      </c>
      <c r="C15" s="945"/>
      <c r="D15" s="945"/>
      <c r="E15" s="997" t="s">
        <v>1917</v>
      </c>
      <c r="F15" s="998"/>
      <c r="G15" s="997" t="e">
        <f>+VLOOKUP(Data_Validation!$A15,BV_Data_An_Cour!$L:$Q,6,0)</f>
        <v>#N/A</v>
      </c>
      <c r="H15" s="188"/>
      <c r="K15" s="164" t="s">
        <v>26</v>
      </c>
      <c r="N15" s="187"/>
    </row>
    <row r="16" spans="1:14" ht="15" customHeight="1">
      <c r="A16" s="1143">
        <v>234</v>
      </c>
      <c r="B16" s="169" t="s">
        <v>2230</v>
      </c>
      <c r="C16" s="945"/>
      <c r="D16" s="945"/>
      <c r="E16" s="997"/>
      <c r="F16" s="998"/>
      <c r="G16" s="997" t="e">
        <f>+VLOOKUP(Data_Validation!$A16,BV_Data_An_Cour!$L:$Q,6,0)</f>
        <v>#N/A</v>
      </c>
      <c r="H16" s="188"/>
      <c r="K16" s="164" t="s">
        <v>40</v>
      </c>
      <c r="M16" s="634" t="s">
        <v>1949</v>
      </c>
      <c r="N16" s="187"/>
    </row>
    <row r="17" spans="1:14" ht="15" customHeight="1">
      <c r="A17" s="1143">
        <v>236</v>
      </c>
      <c r="B17" s="169" t="s">
        <v>2232</v>
      </c>
      <c r="C17" s="945"/>
      <c r="D17" s="945"/>
      <c r="E17" s="997"/>
      <c r="F17" s="998"/>
      <c r="G17" s="997" t="e">
        <f>+VLOOKUP(Data_Validation!$A17,BV_Data_An_Cour!$L:$Q,6,0)</f>
        <v>#N/A</v>
      </c>
      <c r="H17" s="188"/>
      <c r="K17" s="164" t="s">
        <v>56</v>
      </c>
      <c r="M17" s="570" t="s">
        <v>1947</v>
      </c>
      <c r="N17" s="187"/>
    </row>
    <row r="18" spans="1:14" ht="15" customHeight="1">
      <c r="A18" s="1143">
        <v>238</v>
      </c>
      <c r="B18" s="169" t="s">
        <v>2234</v>
      </c>
      <c r="C18" s="945"/>
      <c r="D18" s="945"/>
      <c r="E18" s="997"/>
      <c r="F18" s="998"/>
      <c r="G18" s="997" t="e">
        <f>+VLOOKUP(Data_Validation!$A18,BV_Data_An_Cour!$L:$Q,6,0)</f>
        <v>#N/A</v>
      </c>
      <c r="H18" s="188"/>
      <c r="K18" s="164" t="s">
        <v>14</v>
      </c>
      <c r="M18" s="570" t="s">
        <v>1948</v>
      </c>
      <c r="N18" s="187"/>
    </row>
    <row r="19" spans="1:14" ht="15" customHeight="1">
      <c r="A19" s="1143">
        <v>243</v>
      </c>
      <c r="B19" s="169" t="s">
        <v>2236</v>
      </c>
      <c r="C19" s="945"/>
      <c r="D19" s="945"/>
      <c r="E19" s="997"/>
      <c r="F19" s="998"/>
      <c r="G19" s="997" t="e">
        <f>+VLOOKUP(Data_Validation!$A19,BV_Data_An_Cour!$L:$Q,6,0)</f>
        <v>#N/A</v>
      </c>
      <c r="H19" s="188"/>
      <c r="K19" s="164" t="s">
        <v>37</v>
      </c>
      <c r="N19" s="187"/>
    </row>
    <row r="20" spans="1:14" ht="15" customHeight="1">
      <c r="A20" s="1143">
        <v>244</v>
      </c>
      <c r="B20" s="169" t="s">
        <v>2239</v>
      </c>
      <c r="C20" s="945"/>
      <c r="D20" s="945"/>
      <c r="E20" s="997"/>
      <c r="F20" s="998"/>
      <c r="G20" s="997" t="e">
        <f>+VLOOKUP(Data_Validation!$A20,BV_Data_An_Cour!$L:$Q,6,0)</f>
        <v>#N/A</v>
      </c>
      <c r="H20" s="188"/>
      <c r="K20" s="164" t="s">
        <v>65</v>
      </c>
      <c r="N20" s="187"/>
    </row>
    <row r="21" spans="1:14" ht="15" customHeight="1">
      <c r="A21" s="1143">
        <v>245</v>
      </c>
      <c r="B21" s="169" t="s">
        <v>2241</v>
      </c>
      <c r="C21" s="945"/>
      <c r="D21" s="945"/>
      <c r="E21" s="997"/>
      <c r="F21" s="998"/>
      <c r="G21" s="997" t="e">
        <f>+VLOOKUP(Data_Validation!$A21,BV_Data_An_Cour!$L:$Q,6,0)</f>
        <v>#N/A</v>
      </c>
      <c r="H21" s="188"/>
      <c r="K21" s="164" t="s">
        <v>50</v>
      </c>
      <c r="N21" s="187"/>
    </row>
    <row r="22" spans="1:14" ht="15" customHeight="1">
      <c r="A22" s="1143">
        <v>246</v>
      </c>
      <c r="B22" s="169" t="s">
        <v>2243</v>
      </c>
      <c r="C22" s="945"/>
      <c r="D22" s="945"/>
      <c r="E22" s="997"/>
      <c r="F22" s="998"/>
      <c r="G22" s="997" t="e">
        <f>+VLOOKUP(Data_Validation!$A22,BV_Data_An_Cour!$L:$Q,6,0)</f>
        <v>#N/A</v>
      </c>
      <c r="H22" s="188"/>
      <c r="K22" s="164" t="s">
        <v>51</v>
      </c>
      <c r="N22" s="187"/>
    </row>
    <row r="23" spans="1:14" ht="15" customHeight="1">
      <c r="A23" s="1143">
        <v>255</v>
      </c>
      <c r="B23" s="169" t="s">
        <v>2245</v>
      </c>
      <c r="C23" s="945"/>
      <c r="D23" s="945"/>
      <c r="E23" s="997"/>
      <c r="F23" s="998"/>
      <c r="G23" s="997" t="e">
        <f>+VLOOKUP(Data_Validation!$A23,BV_Data_An_Cour!$L:$Q,6,0)</f>
        <v>#N/A</v>
      </c>
      <c r="H23" s="188"/>
      <c r="K23" s="164" t="str">
        <f>Print_Mois!V429</f>
        <v>Bénéfices marginaux</v>
      </c>
      <c r="N23" s="187"/>
    </row>
    <row r="24" spans="1:14" ht="15" customHeight="1">
      <c r="A24" s="1143">
        <v>257</v>
      </c>
      <c r="B24" s="169" t="s">
        <v>2247</v>
      </c>
      <c r="C24" s="945"/>
      <c r="D24" s="945"/>
      <c r="E24" s="997"/>
      <c r="F24" s="998"/>
      <c r="G24" s="997" t="e">
        <f>+VLOOKUP(Data_Validation!$A24,BV_Data_An_Cour!$L:$Q,6,0)</f>
        <v>#N/A</v>
      </c>
      <c r="H24" s="188"/>
      <c r="K24" s="164" t="s">
        <v>69</v>
      </c>
      <c r="N24" s="187"/>
    </row>
    <row r="25" spans="1:14" ht="15" customHeight="1">
      <c r="A25" s="1143">
        <v>258</v>
      </c>
      <c r="B25" s="169" t="s">
        <v>2249</v>
      </c>
      <c r="C25" s="945"/>
      <c r="D25" s="945"/>
      <c r="E25" s="997"/>
      <c r="F25" s="998"/>
      <c r="G25" s="997" t="e">
        <f>+VLOOKUP(Data_Validation!$A25,BV_Data_An_Cour!$L:$Q,6,0)</f>
        <v>#N/A</v>
      </c>
      <c r="H25" s="188"/>
      <c r="K25" s="164" t="s">
        <v>1642</v>
      </c>
      <c r="N25" s="187"/>
    </row>
    <row r="26" spans="1:14" ht="15" customHeight="1">
      <c r="A26" s="1143">
        <v>259</v>
      </c>
      <c r="B26" s="169" t="s">
        <v>2251</v>
      </c>
      <c r="C26" s="945"/>
      <c r="D26" s="945"/>
      <c r="E26" s="997"/>
      <c r="F26" s="998"/>
      <c r="G26" s="997" t="e">
        <f>+VLOOKUP(Data_Validation!$A26,BV_Data_An_Cour!$L:$Q,6,0)</f>
        <v>#N/A</v>
      </c>
      <c r="H26" s="188"/>
      <c r="K26" s="164" t="s">
        <v>191</v>
      </c>
      <c r="N26" s="187"/>
    </row>
    <row r="27" spans="1:14" ht="15" customHeight="1">
      <c r="A27" s="1143">
        <v>300</v>
      </c>
      <c r="B27" s="169" t="s">
        <v>2253</v>
      </c>
      <c r="C27" s="945"/>
      <c r="D27" s="945"/>
      <c r="E27" s="997"/>
      <c r="F27" s="998"/>
      <c r="G27" s="997" t="e">
        <f>+VLOOKUP(Data_Validation!$A27,BV_Data_An_Cour!$L:$Q,6,0)</f>
        <v>#N/A</v>
      </c>
      <c r="H27" s="188"/>
      <c r="K27" s="164" t="s">
        <v>90</v>
      </c>
      <c r="N27" s="187"/>
    </row>
    <row r="28" spans="1:14" ht="15" customHeight="1">
      <c r="A28" s="1143">
        <v>301</v>
      </c>
      <c r="B28" s="169" t="s">
        <v>2255</v>
      </c>
      <c r="C28" s="945"/>
      <c r="D28" s="945"/>
      <c r="E28" s="997"/>
      <c r="F28" s="998"/>
      <c r="G28" s="997" t="e">
        <f>+VLOOKUP(Data_Validation!$A28,BV_Data_An_Cour!$L:$Q,6,0)</f>
        <v>#N/A</v>
      </c>
      <c r="H28" s="188"/>
      <c r="K28" s="164" t="s">
        <v>67</v>
      </c>
      <c r="N28" s="187"/>
    </row>
    <row r="29" spans="1:14" ht="15" customHeight="1">
      <c r="A29" s="1143">
        <v>302</v>
      </c>
      <c r="B29" s="169" t="s">
        <v>2257</v>
      </c>
      <c r="C29" s="945"/>
      <c r="D29" s="945"/>
      <c r="E29" s="997"/>
      <c r="F29" s="998"/>
      <c r="G29" s="997" t="e">
        <f>+VLOOKUP(Data_Validation!$A29,BV_Data_An_Cour!$L:$Q,6,0)</f>
        <v>#N/A</v>
      </c>
      <c r="H29" s="188"/>
      <c r="K29" s="164" t="str">
        <f>Print_Mois!C94</f>
        <v>Certifié</v>
      </c>
      <c r="N29" s="187"/>
    </row>
    <row r="30" spans="1:14" ht="15" customHeight="1">
      <c r="A30" s="1143">
        <v>307</v>
      </c>
      <c r="B30" s="169" t="s">
        <v>2259</v>
      </c>
      <c r="C30" s="945"/>
      <c r="D30" s="945"/>
      <c r="E30" s="997"/>
      <c r="F30" s="998"/>
      <c r="G30" s="997" t="e">
        <f>+VLOOKUP(Data_Validation!$A30,BV_Data_An_Cour!$L:$Q,6,0)</f>
        <v>#N/A</v>
      </c>
      <c r="H30" s="188"/>
      <c r="K30" s="164" t="str">
        <f>Print_Mois!V457</f>
        <v>Chauffage, éclairage</v>
      </c>
      <c r="N30" s="187"/>
    </row>
    <row r="31" spans="1:14" ht="15" customHeight="1">
      <c r="A31" s="1143">
        <v>311</v>
      </c>
      <c r="B31" s="169" t="s">
        <v>2261</v>
      </c>
      <c r="C31" s="945"/>
      <c r="D31" s="945"/>
      <c r="E31" s="997"/>
      <c r="F31" s="998"/>
      <c r="G31" s="997" t="e">
        <f>+VLOOKUP(Data_Validation!$A31,BV_Data_An_Cour!$L:$Q,6,0)</f>
        <v>#N/A</v>
      </c>
      <c r="H31" s="188"/>
      <c r="K31" s="164" t="str">
        <f>Print_Mois!C32</f>
        <v>Comm. F&amp;I</v>
      </c>
    </row>
    <row r="32" spans="1:14" ht="15" customHeight="1">
      <c r="A32" s="1143">
        <v>312</v>
      </c>
      <c r="B32" s="169" t="s">
        <v>2264</v>
      </c>
      <c r="C32" s="945"/>
      <c r="D32" s="945"/>
      <c r="E32" s="997"/>
      <c r="F32" s="998"/>
      <c r="G32" s="997" t="e">
        <f>+VLOOKUP(Data_Validation!$A32,BV_Data_An_Cour!$L:$Q,6,0)</f>
        <v>#N/A</v>
      </c>
      <c r="H32" s="188"/>
      <c r="K32" s="164" t="str">
        <f>Print_Mois!C31</f>
        <v>Comm. vendeurs</v>
      </c>
    </row>
    <row r="33" spans="1:11" ht="15" customHeight="1">
      <c r="A33" s="1143">
        <v>313</v>
      </c>
      <c r="B33" s="169" t="s">
        <v>2266</v>
      </c>
      <c r="C33" s="945"/>
      <c r="D33" s="945"/>
      <c r="E33" s="997"/>
      <c r="F33" s="998"/>
      <c r="G33" s="997" t="e">
        <f>+VLOOKUP(Data_Validation!$A33,BV_Data_An_Cour!$L:$Q,6,0)</f>
        <v>#N/A</v>
      </c>
      <c r="H33" s="188"/>
      <c r="K33" s="164" t="s">
        <v>16</v>
      </c>
    </row>
    <row r="34" spans="1:11" ht="15" customHeight="1">
      <c r="A34" s="1143">
        <v>316</v>
      </c>
      <c r="B34" s="169" t="s">
        <v>2268</v>
      </c>
      <c r="C34" s="945"/>
      <c r="D34" s="945"/>
      <c r="E34" s="997"/>
      <c r="F34" s="998"/>
      <c r="G34" s="997" t="e">
        <f>+VLOOKUP(Data_Validation!$A34,BV_Data_An_Cour!$L:$Q,6,0)</f>
        <v>#N/A</v>
      </c>
      <c r="H34" s="188"/>
      <c r="K34" s="551" t="s">
        <v>1921</v>
      </c>
    </row>
    <row r="35" spans="1:11" ht="15" customHeight="1">
      <c r="A35" s="1143">
        <v>350</v>
      </c>
      <c r="B35" s="169" t="s">
        <v>2270</v>
      </c>
      <c r="C35" s="945"/>
      <c r="D35" s="945"/>
      <c r="E35" s="997"/>
      <c r="F35" s="998"/>
      <c r="G35" s="997" t="e">
        <f>+VLOOKUP(Data_Validation!$A35,BV_Data_An_Cour!$L:$Q,6,0)</f>
        <v>#N/A</v>
      </c>
      <c r="H35" s="188"/>
      <c r="K35" s="164" t="s">
        <v>1661</v>
      </c>
    </row>
    <row r="36" spans="1:11" ht="15" customHeight="1">
      <c r="A36" s="1153">
        <v>360</v>
      </c>
      <c r="B36" s="169" t="s">
        <v>2272</v>
      </c>
      <c r="C36" s="945"/>
      <c r="D36" s="945"/>
      <c r="E36" s="997"/>
      <c r="F36" s="998"/>
      <c r="G36" s="997" t="e">
        <f>+VLOOKUP(Data_Validation!$A36,BV_Data_An_Cour!$L:$Q,6,0)</f>
        <v>#N/A</v>
      </c>
      <c r="H36" s="188"/>
      <c r="K36" s="164" t="str">
        <f>Print_Mois!V430</f>
        <v>Csst</v>
      </c>
    </row>
    <row r="37" spans="1:11" ht="15" customHeight="1">
      <c r="A37" s="1143">
        <v>370</v>
      </c>
      <c r="B37" s="169" t="s">
        <v>2274</v>
      </c>
      <c r="C37" s="945"/>
      <c r="D37" s="945"/>
      <c r="E37" s="997"/>
      <c r="F37" s="998"/>
      <c r="G37" s="997" t="e">
        <f>+VLOOKUP(Data_Validation!$A37,BV_Data_An_Cour!$L:$Q,6,0)</f>
        <v>#N/A</v>
      </c>
      <c r="H37" s="188"/>
      <c r="K37" s="164" t="s">
        <v>38</v>
      </c>
    </row>
    <row r="38" spans="1:11" ht="15" customHeight="1">
      <c r="A38" s="1143">
        <v>372</v>
      </c>
      <c r="B38" s="169" t="s">
        <v>2276</v>
      </c>
      <c r="C38" s="945"/>
      <c r="D38" s="945"/>
      <c r="E38" s="997"/>
      <c r="F38" s="998"/>
      <c r="G38" s="997" t="e">
        <f>+VLOOKUP(Data_Validation!$A38,BV_Data_An_Cour!$L:$Q,6,0)</f>
        <v>#N/A</v>
      </c>
      <c r="H38" s="188"/>
      <c r="K38" s="164" t="str">
        <f>Print_Mois!V428</f>
        <v>Déduction à la source</v>
      </c>
    </row>
    <row r="39" spans="1:11" ht="15" customHeight="1">
      <c r="A39" s="1143">
        <v>401</v>
      </c>
      <c r="B39" s="169" t="s">
        <v>2278</v>
      </c>
      <c r="C39" s="945"/>
      <c r="D39" s="945"/>
      <c r="E39" s="997"/>
      <c r="F39" s="998"/>
      <c r="G39" s="997" t="e">
        <f>+VLOOKUP(Data_Validation!$A39,BV_Data_An_Cour!$L:$Q,6,0)</f>
        <v>#N/A</v>
      </c>
      <c r="H39" s="188"/>
      <c r="K39" s="164" t="s">
        <v>22</v>
      </c>
    </row>
    <row r="40" spans="1:11" ht="15" customHeight="1">
      <c r="A40" s="1143">
        <v>402</v>
      </c>
      <c r="B40" s="169" t="s">
        <v>2280</v>
      </c>
      <c r="C40" s="945"/>
      <c r="D40" s="945"/>
      <c r="E40" s="997"/>
      <c r="F40" s="998"/>
      <c r="G40" s="997" t="e">
        <f>+VLOOKUP(Data_Validation!$A40,BV_Data_An_Cour!$L:$Q,6,0)</f>
        <v>#N/A</v>
      </c>
      <c r="H40" s="188"/>
      <c r="K40" s="164" t="s">
        <v>54</v>
      </c>
    </row>
    <row r="41" spans="1:11" ht="15" customHeight="1">
      <c r="A41" s="1143">
        <v>403</v>
      </c>
      <c r="B41" s="169" t="s">
        <v>2282</v>
      </c>
      <c r="C41" s="945"/>
      <c r="D41" s="945"/>
      <c r="E41" s="997"/>
      <c r="F41" s="998"/>
      <c r="G41" s="997" t="e">
        <f>+VLOOKUP(Data_Validation!$A41,BV_Data_An_Cour!$L:$Q,6,0)</f>
        <v>#N/A</v>
      </c>
      <c r="H41" s="188"/>
      <c r="K41" s="164" t="str">
        <f>Print_Mois!V445</f>
        <v>Divers</v>
      </c>
    </row>
    <row r="42" spans="1:11" ht="15" customHeight="1">
      <c r="A42" s="1143">
        <v>404</v>
      </c>
      <c r="B42" s="169" t="s">
        <v>2284</v>
      </c>
      <c r="C42" s="945"/>
      <c r="D42" s="945"/>
      <c r="E42" s="1000"/>
      <c r="F42" s="1000"/>
      <c r="G42" s="1000" t="e">
        <f>+VLOOKUP(Data_Validation!$A42,BV_Data_An_Cour!$L:$Q,6,0)</f>
        <v>#N/A</v>
      </c>
      <c r="H42" s="188"/>
      <c r="K42" s="164" t="s">
        <v>70</v>
      </c>
    </row>
    <row r="43" spans="1:11" ht="15" customHeight="1">
      <c r="A43" s="1143">
        <v>405</v>
      </c>
      <c r="B43" s="169" t="s">
        <v>2286</v>
      </c>
      <c r="C43" s="945"/>
      <c r="D43" s="945"/>
      <c r="E43" s="997"/>
      <c r="F43" s="998"/>
      <c r="G43" s="997" t="e">
        <f>+VLOOKUP(Data_Validation!$A43,BV_Data_An_Cour!$L:$Q,6,0)</f>
        <v>#N/A</v>
      </c>
      <c r="H43" s="188"/>
      <c r="K43" s="164" t="s">
        <v>252</v>
      </c>
    </row>
    <row r="44" spans="1:11" ht="15" customHeight="1">
      <c r="A44" s="1143">
        <v>406</v>
      </c>
      <c r="B44" s="169" t="s">
        <v>2288</v>
      </c>
      <c r="C44" s="945"/>
      <c r="D44" s="945"/>
      <c r="E44" s="997"/>
      <c r="F44" s="998"/>
      <c r="G44" s="997" t="e">
        <f>+VLOOKUP(Data_Validation!$A44,BV_Data_An_Cour!$L:$Q,6,0)</f>
        <v>#N/A</v>
      </c>
      <c r="H44" s="188"/>
      <c r="K44" s="164" t="s">
        <v>30</v>
      </c>
    </row>
    <row r="45" spans="1:11" ht="15" customHeight="1">
      <c r="A45" s="1143">
        <v>407</v>
      </c>
      <c r="B45" s="169" t="s">
        <v>2290</v>
      </c>
      <c r="C45" s="945"/>
      <c r="D45" s="945"/>
      <c r="E45" s="997"/>
      <c r="F45" s="998"/>
      <c r="G45" s="997" t="e">
        <f>+VLOOKUP(Data_Validation!$A45,BV_Data_An_Cour!$L:$Q,6,0)</f>
        <v>#N/A</v>
      </c>
      <c r="H45" s="188"/>
      <c r="K45" s="164" t="s">
        <v>32</v>
      </c>
    </row>
    <row r="46" spans="1:11" ht="15" customHeight="1">
      <c r="A46" s="1143">
        <v>408</v>
      </c>
      <c r="B46" s="169" t="s">
        <v>2292</v>
      </c>
      <c r="C46" s="945"/>
      <c r="D46" s="945"/>
      <c r="E46" s="1000"/>
      <c r="F46" s="1000"/>
      <c r="G46" s="1000" t="e">
        <f>+VLOOKUP(Data_Validation!$A46,BV_Data_An_Cour!$L:$Q,6,0)</f>
        <v>#N/A</v>
      </c>
      <c r="H46" s="188"/>
      <c r="K46" s="164" t="s">
        <v>8</v>
      </c>
    </row>
    <row r="47" spans="1:11" ht="15" customHeight="1">
      <c r="A47" s="1143">
        <v>409</v>
      </c>
      <c r="B47" s="169" t="s">
        <v>2294</v>
      </c>
      <c r="C47" s="945"/>
      <c r="D47" s="945"/>
      <c r="E47" s="997"/>
      <c r="F47" s="998"/>
      <c r="G47" s="997" t="e">
        <f>+VLOOKUP(Data_Validation!$A47,BV_Data_An_Cour!$L:$Q,6,0)</f>
        <v>#N/A</v>
      </c>
      <c r="H47" s="188"/>
      <c r="K47" s="164" t="s">
        <v>62</v>
      </c>
    </row>
    <row r="48" spans="1:11" ht="15" customHeight="1">
      <c r="A48" s="1143">
        <v>410</v>
      </c>
      <c r="B48" s="169" t="s">
        <v>2296</v>
      </c>
      <c r="C48" s="945"/>
      <c r="D48" s="945"/>
      <c r="E48" s="1000"/>
      <c r="F48" s="1000"/>
      <c r="G48" s="1000" t="e">
        <f>+VLOOKUP(Data_Validation!$A48,BV_Data_An_Cour!$L:$Q,6,0)</f>
        <v>#N/A</v>
      </c>
      <c r="H48" s="188"/>
      <c r="K48" s="164" t="str">
        <f>Print_Mois!C35</f>
        <v>Entretien stock</v>
      </c>
    </row>
    <row r="49" spans="1:11" ht="15" customHeight="1">
      <c r="A49" s="1143">
        <v>411</v>
      </c>
      <c r="B49" s="169" t="s">
        <v>2298</v>
      </c>
      <c r="C49" s="945"/>
      <c r="D49" s="945"/>
      <c r="E49" s="997"/>
      <c r="F49" s="998"/>
      <c r="G49" s="997" t="e">
        <f>+VLOOKUP(Data_Validation!$A49,BV_Data_An_Cour!$L:$Q,6,0)</f>
        <v>#N/A</v>
      </c>
      <c r="H49" s="188"/>
      <c r="K49" s="164" t="s">
        <v>59</v>
      </c>
    </row>
    <row r="50" spans="1:11" s="570" customFormat="1" ht="15" customHeight="1">
      <c r="A50" s="1143">
        <v>412</v>
      </c>
      <c r="B50" s="169" t="s">
        <v>3051</v>
      </c>
      <c r="C50" s="945"/>
      <c r="D50" s="945"/>
      <c r="E50" s="997"/>
      <c r="F50" s="998"/>
      <c r="G50" s="997" t="e">
        <f>+VLOOKUP(Data_Validation!$A50,BV_Data_An_Cour!$L:$Q,6,0)</f>
        <v>#N/A</v>
      </c>
      <c r="H50" s="188"/>
      <c r="K50" s="164"/>
    </row>
    <row r="51" spans="1:11" ht="15" customHeight="1">
      <c r="A51" s="1143">
        <v>421</v>
      </c>
      <c r="B51" s="169" t="s">
        <v>2299</v>
      </c>
      <c r="C51" s="945"/>
      <c r="D51" s="945"/>
      <c r="E51" s="997"/>
      <c r="F51" s="998"/>
      <c r="G51" s="997" t="e">
        <f>+VLOOKUP(Data_Validation!$A51,BV_Data_An_Cour!$L:$Q,6,0)</f>
        <v>#N/A</v>
      </c>
      <c r="H51" s="188"/>
      <c r="K51" s="164" t="s">
        <v>57</v>
      </c>
    </row>
    <row r="52" spans="1:11" ht="15" customHeight="1">
      <c r="A52" s="1143">
        <v>422</v>
      </c>
      <c r="B52" s="169" t="s">
        <v>2302</v>
      </c>
      <c r="C52" s="945"/>
      <c r="D52" s="945"/>
      <c r="E52" s="997"/>
      <c r="F52" s="998"/>
      <c r="G52" s="997" t="e">
        <f>+VLOOKUP(Data_Validation!$A52,BV_Data_An_Cour!$L:$Q,6,0)</f>
        <v>#N/A</v>
      </c>
      <c r="H52" s="188"/>
      <c r="K52" s="164" t="s">
        <v>60</v>
      </c>
    </row>
    <row r="53" spans="1:11" ht="15" customHeight="1">
      <c r="A53" s="1143">
        <v>423</v>
      </c>
      <c r="B53" s="169" t="s">
        <v>2304</v>
      </c>
      <c r="C53" s="945"/>
      <c r="D53" s="945"/>
      <c r="E53" s="997"/>
      <c r="F53" s="998"/>
      <c r="G53" s="997" t="e">
        <f>+VLOOKUP(Data_Validation!$A53,BV_Data_An_Cour!$L:$Q,6,0)</f>
        <v>#N/A</v>
      </c>
      <c r="H53" s="188"/>
      <c r="K53" s="164" t="str">
        <f>Print_Mois!C301</f>
        <v>Escomptes</v>
      </c>
    </row>
    <row r="54" spans="1:11" ht="15" customHeight="1">
      <c r="A54" s="1143">
        <v>424</v>
      </c>
      <c r="B54" s="169" t="s">
        <v>2306</v>
      </c>
      <c r="C54" s="945"/>
      <c r="D54" s="945"/>
      <c r="E54" s="997"/>
      <c r="F54" s="998"/>
      <c r="G54" s="997" t="e">
        <f>+VLOOKUP(Data_Validation!$A54,BV_Data_An_Cour!$L:$Q,6,0)</f>
        <v>#N/A</v>
      </c>
      <c r="H54" s="188"/>
      <c r="K54" s="164" t="str">
        <f>Print_Mois!C15</f>
        <v>Ex-Démos et courtoisies</v>
      </c>
    </row>
    <row r="55" spans="1:11" ht="15" customHeight="1">
      <c r="A55" s="1143">
        <v>425</v>
      </c>
      <c r="B55" s="169" t="s">
        <v>2308</v>
      </c>
      <c r="C55" s="945"/>
      <c r="D55" s="945"/>
      <c r="E55" s="997"/>
      <c r="F55" s="998"/>
      <c r="G55" s="997" t="e">
        <f>+VLOOKUP(Data_Validation!$A55,BV_Data_An_Cour!$L:$Q,6,0)</f>
        <v>#N/A</v>
      </c>
      <c r="H55" s="188"/>
      <c r="K55" s="164" t="str">
        <f>Print_Mois!C17</f>
        <v>Flottes</v>
      </c>
    </row>
    <row r="56" spans="1:11" ht="15" customHeight="1">
      <c r="A56" s="1143">
        <v>426</v>
      </c>
      <c r="B56" s="169" t="s">
        <v>2310</v>
      </c>
      <c r="C56" s="945"/>
      <c r="D56" s="945"/>
      <c r="E56" s="997"/>
      <c r="F56" s="998"/>
      <c r="G56" s="997" t="e">
        <f>+VLOOKUP(Data_Validation!$A56,BV_Data_An_Cour!$L:$Q,6,0)</f>
        <v>#N/A</v>
      </c>
      <c r="H56" s="188"/>
      <c r="K56" s="164" t="s">
        <v>1673</v>
      </c>
    </row>
    <row r="57" spans="1:11" ht="15" customHeight="1">
      <c r="A57" s="1143">
        <v>427</v>
      </c>
      <c r="B57" s="169" t="s">
        <v>2312</v>
      </c>
      <c r="C57" s="945"/>
      <c r="D57" s="945"/>
      <c r="E57" s="997"/>
      <c r="F57" s="998"/>
      <c r="G57" s="997" t="e">
        <f>+VLOOKUP(Data_Validation!$A57,BV_Data_An_Cour!$L:$Q,6,0)</f>
        <v>#N/A</v>
      </c>
      <c r="H57" s="188"/>
      <c r="K57" s="164" t="str">
        <f>Print_Mois!V446</f>
        <v>Formation</v>
      </c>
    </row>
    <row r="58" spans="1:11" ht="15" customHeight="1">
      <c r="A58" s="1143">
        <v>428</v>
      </c>
      <c r="B58" s="169" t="s">
        <v>2314</v>
      </c>
      <c r="C58" s="945"/>
      <c r="D58" s="945"/>
      <c r="E58" s="997"/>
      <c r="F58" s="998"/>
      <c r="G58" s="997" t="e">
        <f>+VLOOKUP(Data_Validation!$A58,BV_Data_An_Cour!$L:$Q,6,0)</f>
        <v>#N/A</v>
      </c>
      <c r="H58" s="188"/>
      <c r="K58" s="164" t="str">
        <f>Print_Mois!V440</f>
        <v>Fournitures autres</v>
      </c>
    </row>
    <row r="59" spans="1:11" ht="15" customHeight="1">
      <c r="A59" s="1143">
        <v>429</v>
      </c>
      <c r="B59" s="169" t="s">
        <v>2316</v>
      </c>
      <c r="C59" s="945"/>
      <c r="D59" s="945"/>
      <c r="E59" s="997"/>
      <c r="F59" s="998"/>
      <c r="G59" s="997" t="e">
        <f>+VLOOKUP(Data_Validation!$A59,BV_Data_An_Cour!$L:$Q,6,0)</f>
        <v>#N/A</v>
      </c>
      <c r="H59" s="188"/>
      <c r="K59" s="164" t="s">
        <v>1993</v>
      </c>
    </row>
    <row r="60" spans="1:11" ht="15" customHeight="1">
      <c r="A60" s="1143">
        <v>430</v>
      </c>
      <c r="B60" s="169" t="s">
        <v>2318</v>
      </c>
      <c r="C60" s="945"/>
      <c r="D60" s="945"/>
      <c r="E60" s="997"/>
      <c r="F60" s="998"/>
      <c r="G60" s="997" t="e">
        <f>+VLOOKUP(Data_Validation!$A60,BV_Data_An_Cour!$L:$Q,6,0)</f>
        <v>#N/A</v>
      </c>
      <c r="H60" s="188"/>
      <c r="K60" s="164" t="str">
        <f>Print_Mois!V479</f>
        <v>Frais administration</v>
      </c>
    </row>
    <row r="61" spans="1:11" ht="15" customHeight="1">
      <c r="A61" s="1143">
        <v>431</v>
      </c>
      <c r="B61" s="169" t="s">
        <v>2320</v>
      </c>
      <c r="C61" s="945"/>
      <c r="D61" s="945"/>
      <c r="E61" s="997"/>
      <c r="F61" s="998"/>
      <c r="G61" s="997" t="e">
        <f>+VLOOKUP(Data_Validation!$A61,BV_Data_An_Cour!$L:$Q,6,0)</f>
        <v>#N/A</v>
      </c>
      <c r="H61" s="188"/>
      <c r="K61" s="164" t="s">
        <v>134</v>
      </c>
    </row>
    <row r="62" spans="1:11" s="570" customFormat="1" ht="15" customHeight="1">
      <c r="A62" s="1143">
        <v>432</v>
      </c>
      <c r="B62" s="169" t="s">
        <v>3109</v>
      </c>
      <c r="C62" s="945"/>
      <c r="D62" s="945"/>
      <c r="E62" s="997"/>
      <c r="F62" s="998"/>
      <c r="G62" s="997" t="e">
        <f>+VLOOKUP(Data_Validation!$A62,BV_Data_An_Cour!$L:$Q,6,0)</f>
        <v>#N/A</v>
      </c>
      <c r="H62" s="188"/>
      <c r="K62" s="164"/>
    </row>
    <row r="63" spans="1:11" ht="15" customHeight="1">
      <c r="A63" s="1143">
        <v>500</v>
      </c>
      <c r="B63" s="171" t="s">
        <v>2322</v>
      </c>
      <c r="C63" s="945"/>
      <c r="D63" s="945"/>
      <c r="E63" s="997" t="s">
        <v>1917</v>
      </c>
      <c r="F63" s="997"/>
      <c r="G63" s="997" t="e">
        <f>+VLOOKUP(Data_Validation!$A63,BV_Data_An_Cour!$L:$Q,6,0)</f>
        <v>#N/A</v>
      </c>
      <c r="H63" s="188"/>
      <c r="K63" s="164" t="str">
        <f>Print_Mois!V450</f>
        <v>[...]</v>
      </c>
    </row>
    <row r="64" spans="1:11" ht="15" customHeight="1">
      <c r="A64" s="1143">
        <v>511</v>
      </c>
      <c r="B64" s="171" t="s">
        <v>2324</v>
      </c>
      <c r="C64" s="945"/>
      <c r="D64" s="945"/>
      <c r="E64" s="997" t="s">
        <v>1917</v>
      </c>
      <c r="F64" s="997"/>
      <c r="G64" s="997" t="e">
        <f>+VLOOKUP(Data_Validation!$A64,BV_Data_An_Cour!$L:$Q,6,0)</f>
        <v>#N/A</v>
      </c>
      <c r="H64" s="188"/>
      <c r="K64" s="164" t="str">
        <f>Print_Mois!V437</f>
        <v>Frais de déplacement</v>
      </c>
    </row>
    <row r="65" spans="1:11" ht="15" customHeight="1">
      <c r="A65" s="1143">
        <v>512</v>
      </c>
      <c r="B65" s="169" t="s">
        <v>2325</v>
      </c>
      <c r="C65" s="945"/>
      <c r="D65" s="945"/>
      <c r="E65" s="997" t="s">
        <v>1917</v>
      </c>
      <c r="F65" s="997"/>
      <c r="G65" s="997" t="e">
        <f>+VLOOKUP(Data_Validation!$A65,BV_Data_An_Cour!$L:$Q,6,0)</f>
        <v>#N/A</v>
      </c>
      <c r="H65" s="188"/>
      <c r="K65" s="164" t="str">
        <f>Print_Mois!C33</f>
        <v>Frais de livraison</v>
      </c>
    </row>
    <row r="66" spans="1:11" ht="15" customHeight="1">
      <c r="A66" s="1143">
        <v>514</v>
      </c>
      <c r="B66" s="169" t="s">
        <v>2326</v>
      </c>
      <c r="C66" s="945"/>
      <c r="D66" s="945"/>
      <c r="E66" s="997" t="s">
        <v>1917</v>
      </c>
      <c r="F66" s="997"/>
      <c r="G66" s="997" t="e">
        <f>+VLOOKUP(Data_Validation!$A66,BV_Data_An_Cour!$L:$Q,6,0)</f>
        <v>#N/A</v>
      </c>
      <c r="H66" s="188"/>
      <c r="K66" s="164" t="s">
        <v>1682</v>
      </c>
    </row>
    <row r="67" spans="1:11" ht="15" customHeight="1">
      <c r="A67" s="1143">
        <v>515</v>
      </c>
      <c r="B67" s="171" t="s">
        <v>2328</v>
      </c>
      <c r="C67" s="945"/>
      <c r="D67" s="945"/>
      <c r="E67" s="997" t="s">
        <v>1917</v>
      </c>
      <c r="F67" s="997"/>
      <c r="G67" s="997" t="e">
        <f>+VLOOKUP(Data_Validation!$A67,BV_Data_An_Cour!$L:$Q,6,0)</f>
        <v>#N/A</v>
      </c>
      <c r="H67" s="188"/>
      <c r="K67" s="164" t="s">
        <v>43</v>
      </c>
    </row>
    <row r="68" spans="1:11" ht="15" customHeight="1">
      <c r="A68" s="1143">
        <v>517</v>
      </c>
      <c r="B68" s="169" t="s">
        <v>2330</v>
      </c>
      <c r="C68" s="945"/>
      <c r="D68" s="945"/>
      <c r="E68" s="997" t="s">
        <v>1917</v>
      </c>
      <c r="F68" s="997"/>
      <c r="G68" s="997" t="e">
        <f>+VLOOKUP(Data_Validation!$A68,BV_Data_An_Cour!$L:$Q,6,0)</f>
        <v>#N/A</v>
      </c>
      <c r="H68" s="188"/>
      <c r="K68" s="164" t="str">
        <f>Print_Mois!V444</f>
        <v>Frais postaux</v>
      </c>
    </row>
    <row r="69" spans="1:11" ht="15" customHeight="1">
      <c r="A69" s="1143">
        <v>521</v>
      </c>
      <c r="B69" s="171" t="s">
        <v>2332</v>
      </c>
      <c r="C69" s="945"/>
      <c r="D69" s="945"/>
      <c r="E69" s="997" t="s">
        <v>1917</v>
      </c>
      <c r="F69" s="997"/>
      <c r="G69" s="997" t="e">
        <f>+VLOOKUP(Data_Validation!$A69,BV_Data_An_Cour!$L:$Q,6,0)</f>
        <v>#N/A</v>
      </c>
      <c r="H69" s="188"/>
      <c r="K69" s="164" t="s">
        <v>1684</v>
      </c>
    </row>
    <row r="70" spans="1:11" ht="15" customHeight="1">
      <c r="A70" s="1143">
        <v>522</v>
      </c>
      <c r="B70" s="171" t="s">
        <v>2334</v>
      </c>
      <c r="C70" s="945"/>
      <c r="D70" s="945"/>
      <c r="E70" s="997" t="s">
        <v>1917</v>
      </c>
      <c r="F70" s="997"/>
      <c r="G70" s="997" t="e">
        <f>+VLOOKUP(Data_Validation!$A70,BV_Data_An_Cour!$L:$Q,6,0)</f>
        <v>#N/A</v>
      </c>
      <c r="H70" s="188"/>
      <c r="K70" s="164" t="str">
        <f>Print_Mois!V435</f>
        <v>Frais véhicules de cie</v>
      </c>
    </row>
    <row r="71" spans="1:11" ht="15" customHeight="1">
      <c r="A71" s="1143">
        <v>524</v>
      </c>
      <c r="B71" s="171" t="s">
        <v>2336</v>
      </c>
      <c r="C71" s="945"/>
      <c r="D71" s="945"/>
      <c r="E71" s="997" t="s">
        <v>1917</v>
      </c>
      <c r="F71" s="997"/>
      <c r="G71" s="997" t="e">
        <f>+VLOOKUP(Data_Validation!$A71,BV_Data_An_Cour!$L:$Q,6,0)</f>
        <v>#N/A</v>
      </c>
      <c r="H71" s="188"/>
      <c r="K71" s="164" t="s">
        <v>1685</v>
      </c>
    </row>
    <row r="72" spans="1:11" ht="15" customHeight="1">
      <c r="A72" s="1153">
        <v>527</v>
      </c>
      <c r="B72" s="171" t="s">
        <v>2338</v>
      </c>
      <c r="C72" s="945"/>
      <c r="D72" s="945"/>
      <c r="E72" s="997" t="s">
        <v>1917</v>
      </c>
      <c r="F72" s="997"/>
      <c r="G72" s="997" t="e">
        <f>+VLOOKUP(Data_Validation!$A72,BV_Data_An_Cour!$L:$Q,6,0)</f>
        <v>#N/A</v>
      </c>
      <c r="H72" s="188"/>
      <c r="K72" s="164" t="str">
        <f>Print_Mois!V469</f>
        <v>Holdbacks</v>
      </c>
    </row>
    <row r="73" spans="1:11" ht="15" customHeight="1">
      <c r="A73" s="1143">
        <v>541</v>
      </c>
      <c r="B73" s="171" t="s">
        <v>2340</v>
      </c>
      <c r="C73" s="945"/>
      <c r="D73" s="945"/>
      <c r="E73" s="997" t="s">
        <v>1917</v>
      </c>
      <c r="F73" s="997"/>
      <c r="G73" s="997" t="e">
        <f>+VLOOKUP(Data_Validation!$A73,BV_Data_An_Cour!$L:$Q,6,0)</f>
        <v>#N/A</v>
      </c>
      <c r="H73" s="188"/>
      <c r="K73" s="164" t="str">
        <f>Print_Mois!V458</f>
        <v>Honoraires</v>
      </c>
    </row>
    <row r="74" spans="1:11" ht="15" customHeight="1">
      <c r="A74" s="1143">
        <v>542</v>
      </c>
      <c r="B74" s="169" t="s">
        <v>2343</v>
      </c>
      <c r="C74" s="945"/>
      <c r="D74" s="945"/>
      <c r="E74" s="997" t="s">
        <v>1917</v>
      </c>
      <c r="F74" s="997"/>
      <c r="G74" s="997" t="e">
        <f>+VLOOKUP(Data_Validation!$A74,BV_Data_An_Cour!$L:$Q,6,0)</f>
        <v>#N/A</v>
      </c>
      <c r="H74" s="188"/>
      <c r="K74" s="164" t="str">
        <f>Print_Mois!C307</f>
        <v>Huiles et Graisse</v>
      </c>
    </row>
    <row r="75" spans="1:11" ht="15" customHeight="1">
      <c r="A75" s="1143">
        <v>551</v>
      </c>
      <c r="B75" s="171" t="s">
        <v>2345</v>
      </c>
      <c r="C75" s="945"/>
      <c r="D75" s="945"/>
      <c r="E75" s="997" t="s">
        <v>1917</v>
      </c>
      <c r="F75" s="997"/>
      <c r="G75" s="997" t="e">
        <f>+VLOOKUP(Data_Validation!$A75,BV_Data_An_Cour!$L:$Q,6,0)</f>
        <v>#N/A</v>
      </c>
      <c r="H75" s="188"/>
      <c r="K75" s="164" t="s">
        <v>52</v>
      </c>
    </row>
    <row r="76" spans="1:11" ht="15" customHeight="1">
      <c r="A76" s="1143">
        <v>552</v>
      </c>
      <c r="B76" s="169" t="s">
        <v>2347</v>
      </c>
      <c r="C76" s="945"/>
      <c r="D76" s="945"/>
      <c r="E76" s="997" t="s">
        <v>1917</v>
      </c>
      <c r="F76" s="997"/>
      <c r="G76" s="997" t="e">
        <f>+VLOOKUP(Data_Validation!$A76,BV_Data_An_Cour!$L:$Q,6,0)</f>
        <v>#N/A</v>
      </c>
      <c r="H76" s="188"/>
      <c r="K76" s="164" t="s">
        <v>20</v>
      </c>
    </row>
    <row r="77" spans="1:11" ht="15" customHeight="1">
      <c r="A77" s="1154">
        <v>564</v>
      </c>
      <c r="B77" s="1005" t="s">
        <v>2859</v>
      </c>
      <c r="C77" s="945"/>
      <c r="D77" s="945"/>
      <c r="E77" s="997" t="s">
        <v>1917</v>
      </c>
      <c r="F77" s="998"/>
      <c r="G77" s="997" t="e">
        <f>+VLOOKUP(Data_Validation!$A77,BV_Data_An_Cour!$L:$Q,6,0)</f>
        <v>#N/A</v>
      </c>
      <c r="H77" s="188"/>
      <c r="K77" s="164" t="s">
        <v>48</v>
      </c>
    </row>
    <row r="78" spans="1:11" ht="15" customHeight="1">
      <c r="A78" s="1143">
        <v>614</v>
      </c>
      <c r="B78" s="166" t="s">
        <v>2349</v>
      </c>
      <c r="C78" s="945"/>
      <c r="D78" s="945"/>
      <c r="E78" s="997" t="s">
        <v>1917</v>
      </c>
      <c r="F78" s="997"/>
      <c r="G78" s="997" t="e">
        <f>+VLOOKUP(Data_Validation!$A78,BV_Data_An_Cour!$L:$Q,6,0)</f>
        <v>#N/A</v>
      </c>
      <c r="H78" s="188"/>
      <c r="K78" s="164" t="str">
        <f>Print_Mois!V436</f>
        <v>Informatique</v>
      </c>
    </row>
    <row r="79" spans="1:11" ht="15" customHeight="1">
      <c r="A79" s="1143">
        <v>615</v>
      </c>
      <c r="B79" s="166" t="s">
        <v>2352</v>
      </c>
      <c r="C79" s="945"/>
      <c r="D79" s="945"/>
      <c r="E79" s="997" t="s">
        <v>1917</v>
      </c>
      <c r="F79" s="997"/>
      <c r="G79" s="997" t="e">
        <f>+VLOOKUP(Data_Validation!$A79,BV_Data_An_Cour!$L:$Q,6,0)</f>
        <v>#N/A</v>
      </c>
      <c r="H79" s="188"/>
      <c r="K79" s="164" t="s">
        <v>172</v>
      </c>
    </row>
    <row r="80" spans="1:11" ht="15" customHeight="1">
      <c r="A80" s="1153">
        <v>621</v>
      </c>
      <c r="B80" s="169" t="s">
        <v>2354</v>
      </c>
      <c r="C80" s="945"/>
      <c r="D80" s="945"/>
      <c r="E80" s="997" t="s">
        <v>1917</v>
      </c>
      <c r="F80" s="997"/>
      <c r="G80" s="997" t="e">
        <f>+VLOOKUP(Data_Validation!$A80,BV_Data_An_Cour!$L:$Q,6,0)</f>
        <v>#N/A</v>
      </c>
      <c r="H80" s="188"/>
      <c r="K80" s="164" t="s">
        <v>109</v>
      </c>
    </row>
    <row r="81" spans="1:11" ht="15" customHeight="1">
      <c r="A81" s="1143">
        <v>622</v>
      </c>
      <c r="B81" s="166" t="s">
        <v>2356</v>
      </c>
      <c r="C81" s="945"/>
      <c r="D81" s="945"/>
      <c r="E81" s="997" t="s">
        <v>1917</v>
      </c>
      <c r="F81" s="997"/>
      <c r="G81" s="997" t="e">
        <f>+VLOOKUP(Data_Validation!$A81,BV_Data_An_Cour!$L:$Q,6,0)</f>
        <v>#N/A</v>
      </c>
      <c r="H81" s="188"/>
      <c r="K81" s="164" t="str">
        <f>Print_Mois!V491</f>
        <v>Intérêts sur marge</v>
      </c>
    </row>
    <row r="82" spans="1:11" ht="15" customHeight="1">
      <c r="A82" s="1143">
        <v>624</v>
      </c>
      <c r="B82" s="166" t="s">
        <v>2358</v>
      </c>
      <c r="C82" s="945"/>
      <c r="D82" s="945"/>
      <c r="E82" s="997" t="s">
        <v>1917</v>
      </c>
      <c r="F82" s="997"/>
      <c r="G82" s="997" t="e">
        <f>+VLOOKUP(Data_Validation!$A82,BV_Data_An_Cour!$L:$Q,6,0)</f>
        <v>#N/A</v>
      </c>
      <c r="H82" s="188"/>
      <c r="K82" s="164" t="str">
        <f>Print_Mois!V492</f>
        <v>Intérêts sur prêt</v>
      </c>
    </row>
    <row r="83" spans="1:11" ht="15" customHeight="1">
      <c r="A83" s="1153">
        <v>644</v>
      </c>
      <c r="B83" s="169" t="s">
        <v>2360</v>
      </c>
      <c r="C83" s="945"/>
      <c r="D83" s="945"/>
      <c r="E83" s="997" t="s">
        <v>1917</v>
      </c>
      <c r="F83" s="997"/>
      <c r="G83" s="997" t="e">
        <f>+VLOOKUP(Data_Validation!$A83,BV_Data_An_Cour!$L:$Q,6,0)</f>
        <v>#N/A</v>
      </c>
      <c r="H83" s="188"/>
      <c r="K83" s="164" t="s">
        <v>33</v>
      </c>
    </row>
    <row r="84" spans="1:11" ht="15" customHeight="1">
      <c r="A84" s="1143">
        <v>651</v>
      </c>
      <c r="B84" s="166" t="s">
        <v>2363</v>
      </c>
      <c r="C84" s="945"/>
      <c r="D84" s="945"/>
      <c r="E84" s="997" t="s">
        <v>1917</v>
      </c>
      <c r="F84" s="997"/>
      <c r="G84" s="997" t="e">
        <f>+VLOOKUP(Data_Validation!$A84,BV_Data_An_Cour!$L:$Q,6,0)</f>
        <v>#N/A</v>
      </c>
      <c r="H84" s="188"/>
      <c r="K84" s="164" t="s">
        <v>29</v>
      </c>
    </row>
    <row r="85" spans="1:11" ht="15" customHeight="1">
      <c r="A85" s="1143">
        <v>652</v>
      </c>
      <c r="B85" s="169" t="s">
        <v>2365</v>
      </c>
      <c r="C85" s="945"/>
      <c r="D85" s="945"/>
      <c r="E85" s="997" t="s">
        <v>1917</v>
      </c>
      <c r="F85" s="997"/>
      <c r="G85" s="997" t="e">
        <f>+VLOOKUP(Data_Validation!$A85,BV_Data_An_Cour!$L:$Q,6,0)</f>
        <v>#N/A</v>
      </c>
      <c r="H85" s="188"/>
      <c r="K85" s="164" t="s">
        <v>31</v>
      </c>
    </row>
    <row r="86" spans="1:11" ht="15" customHeight="1">
      <c r="A86" s="1143">
        <v>654</v>
      </c>
      <c r="B86" s="166" t="s">
        <v>2367</v>
      </c>
      <c r="C86" s="945"/>
      <c r="D86" s="945"/>
      <c r="E86" s="997" t="s">
        <v>1917</v>
      </c>
      <c r="F86" s="997"/>
      <c r="G86" s="997" t="e">
        <f>+VLOOKUP(Data_Validation!$A86,BV_Data_An_Cour!$L:$Q,6,0)</f>
        <v>#N/A</v>
      </c>
      <c r="H86" s="188"/>
      <c r="K86" s="164" t="str">
        <f>Print_Mois!V460</f>
        <v>Location équipement</v>
      </c>
    </row>
    <row r="87" spans="1:11" ht="15" customHeight="1">
      <c r="A87" s="1143">
        <v>655</v>
      </c>
      <c r="B87" s="169" t="s">
        <v>2369</v>
      </c>
      <c r="C87" s="945"/>
      <c r="D87" s="945"/>
      <c r="E87" s="997" t="s">
        <v>1917</v>
      </c>
      <c r="F87" s="1000"/>
      <c r="G87" s="1000" t="e">
        <f>+VLOOKUP(Data_Validation!$A87,BV_Data_An_Cour!$L:$Q,6,0)</f>
        <v>#N/A</v>
      </c>
      <c r="H87" s="188"/>
      <c r="K87" s="164" t="str">
        <f>Print_Mois!V452</f>
        <v>Loyer</v>
      </c>
    </row>
    <row r="88" spans="1:11" ht="15" customHeight="1">
      <c r="A88" s="1153">
        <v>657</v>
      </c>
      <c r="B88" s="169" t="s">
        <v>2371</v>
      </c>
      <c r="C88" s="945"/>
      <c r="D88" s="945"/>
      <c r="E88" s="997" t="s">
        <v>1917</v>
      </c>
      <c r="F88" s="997"/>
      <c r="G88" s="997" t="e">
        <f>+VLOOKUP(Data_Validation!$A88,BV_Data_An_Cour!$L:$Q,6,0)</f>
        <v>#N/A</v>
      </c>
      <c r="H88" s="188"/>
      <c r="K88" s="164" t="str">
        <f>Print_Mois!C243</f>
        <v>M/O Carrosserie</v>
      </c>
    </row>
    <row r="89" spans="1:11" ht="15" customHeight="1">
      <c r="A89" s="1153">
        <v>661</v>
      </c>
      <c r="B89" s="166" t="s">
        <v>2373</v>
      </c>
      <c r="C89" s="945"/>
      <c r="D89" s="945"/>
      <c r="E89" s="997" t="s">
        <v>1917</v>
      </c>
      <c r="F89" s="997"/>
      <c r="G89" s="997" t="e">
        <f>+VLOOKUP(Data_Validation!$A89,BV_Data_An_Cour!$L:$Q,6,0)</f>
        <v>#N/A</v>
      </c>
      <c r="H89" s="188"/>
      <c r="K89" s="164" t="str">
        <f>Print_Mois!C171</f>
        <v>M/O Client</v>
      </c>
    </row>
    <row r="90" spans="1:11" ht="15" customHeight="1">
      <c r="A90" s="1143">
        <v>662</v>
      </c>
      <c r="B90" s="169" t="s">
        <v>2375</v>
      </c>
      <c r="C90" s="945"/>
      <c r="D90" s="945"/>
      <c r="E90" s="997" t="s">
        <v>1917</v>
      </c>
      <c r="F90" s="1000"/>
      <c r="G90" s="1000" t="e">
        <f>+VLOOKUP(Data_Validation!$A90,BV_Data_An_Cour!$L:$Q,6,0)</f>
        <v>#N/A</v>
      </c>
      <c r="H90" s="188"/>
      <c r="K90" s="164" t="str">
        <f>Print_Mois!C180</f>
        <v>M/O Esthétique</v>
      </c>
    </row>
    <row r="91" spans="1:11" ht="15" customHeight="1">
      <c r="A91" s="1143">
        <v>664</v>
      </c>
      <c r="B91" s="166" t="s">
        <v>2377</v>
      </c>
      <c r="C91" s="945"/>
      <c r="D91" s="945"/>
      <c r="E91" s="997" t="s">
        <v>1917</v>
      </c>
      <c r="F91" s="997"/>
      <c r="G91" s="997" t="e">
        <f>+VLOOKUP(Data_Validation!$A91,BV_Data_An_Cour!$L:$Q,6,0)</f>
        <v>#N/A</v>
      </c>
      <c r="H91" s="188"/>
      <c r="K91" s="164" t="str">
        <f>+Print_Mois!C246</f>
        <v>M/O Esthétique Carr.</v>
      </c>
    </row>
    <row r="92" spans="1:11" ht="15" customHeight="1">
      <c r="A92" s="1143">
        <v>667</v>
      </c>
      <c r="B92" s="166" t="s">
        <v>2379</v>
      </c>
      <c r="C92" s="945"/>
      <c r="D92" s="945"/>
      <c r="E92" s="997" t="s">
        <v>1917</v>
      </c>
      <c r="F92" s="997"/>
      <c r="G92" s="997" t="e">
        <f>+VLOOKUP(Data_Validation!$A92,BV_Data_An_Cour!$L:$Q,6,0)</f>
        <v>#N/A</v>
      </c>
      <c r="H92" s="188"/>
      <c r="K92" s="164" t="str">
        <f>Print_Mois!C174</f>
        <v>M/O Garantie</v>
      </c>
    </row>
    <row r="93" spans="1:11" ht="15" customHeight="1">
      <c r="A93" s="1143">
        <v>677</v>
      </c>
      <c r="B93" s="171" t="s">
        <v>2381</v>
      </c>
      <c r="C93" s="945"/>
      <c r="D93" s="945"/>
      <c r="E93" s="997" t="s">
        <v>1917</v>
      </c>
      <c r="F93" s="998"/>
      <c r="G93" s="997" t="e">
        <f>+VLOOKUP(Data_Validation!$A93,BV_Data_An_Cour!$L:$Q,6,0)</f>
        <v>#N/A</v>
      </c>
      <c r="H93" s="188"/>
      <c r="K93" s="164" t="str">
        <f>Print_Mois!C177</f>
        <v>M/O Interne</v>
      </c>
    </row>
    <row r="94" spans="1:11" ht="15" customHeight="1">
      <c r="A94" s="1143">
        <v>1102</v>
      </c>
      <c r="B94" s="169" t="s">
        <v>2849</v>
      </c>
      <c r="C94" s="945" t="s">
        <v>1642</v>
      </c>
      <c r="D94" s="945" t="s">
        <v>8</v>
      </c>
      <c r="E94" s="997" t="s">
        <v>1917</v>
      </c>
      <c r="F94" s="998"/>
      <c r="G94" s="997" t="str">
        <f>+VLOOKUP(Data_Validation!$A94,BV_Data_An_Cour!$L:$Q,6,0)</f>
        <v>2-Actifs</v>
      </c>
      <c r="H94" s="188"/>
      <c r="K94" s="164" t="s">
        <v>9</v>
      </c>
    </row>
    <row r="95" spans="1:11" ht="15" customHeight="1">
      <c r="A95" s="1154">
        <v>1103</v>
      </c>
      <c r="B95" s="1005" t="s">
        <v>2883</v>
      </c>
      <c r="C95" s="945" t="s">
        <v>1642</v>
      </c>
      <c r="D95" s="945" t="s">
        <v>8</v>
      </c>
      <c r="E95" s="997" t="s">
        <v>1917</v>
      </c>
      <c r="F95" s="998"/>
      <c r="G95" s="997" t="e">
        <f>+VLOOKUP(Data_Validation!$A95,BV_Data_An_Cour!$L:$Q,6,0)</f>
        <v>#N/A</v>
      </c>
      <c r="H95" s="188"/>
      <c r="K95" s="164" t="s">
        <v>1700</v>
      </c>
    </row>
    <row r="96" spans="1:11" ht="15" customHeight="1">
      <c r="A96" s="1154">
        <v>1104</v>
      </c>
      <c r="B96" s="1005" t="s">
        <v>2884</v>
      </c>
      <c r="C96" s="945" t="s">
        <v>1642</v>
      </c>
      <c r="D96" s="945" t="s">
        <v>8</v>
      </c>
      <c r="E96" s="997" t="s">
        <v>1917</v>
      </c>
      <c r="F96" s="998"/>
      <c r="G96" s="997" t="e">
        <f>+VLOOKUP(Data_Validation!$A96,BV_Data_An_Cour!$L:$Q,6,0)</f>
        <v>#N/A</v>
      </c>
      <c r="H96" s="188"/>
      <c r="K96" s="164" t="s">
        <v>58</v>
      </c>
    </row>
    <row r="97" spans="1:11" ht="15" customHeight="1">
      <c r="A97" s="1154">
        <v>1105</v>
      </c>
      <c r="B97" s="1005" t="s">
        <v>2885</v>
      </c>
      <c r="C97" s="945" t="s">
        <v>1642</v>
      </c>
      <c r="D97" s="945" t="s">
        <v>8</v>
      </c>
      <c r="E97" s="997" t="s">
        <v>1917</v>
      </c>
      <c r="F97" s="998"/>
      <c r="G97" s="997" t="e">
        <f>+VLOOKUP(Data_Validation!$A97,BV_Data_An_Cour!$L:$Q,6,0)</f>
        <v>#N/A</v>
      </c>
      <c r="H97" s="188"/>
      <c r="K97" s="164" t="str">
        <f>Print_Mois!C95</f>
        <v>Non Certifié</v>
      </c>
    </row>
    <row r="98" spans="1:11" ht="15" customHeight="1">
      <c r="A98" s="1143">
        <v>1142</v>
      </c>
      <c r="B98" s="169" t="s">
        <v>2384</v>
      </c>
      <c r="C98" s="945" t="s">
        <v>1642</v>
      </c>
      <c r="D98" s="945" t="s">
        <v>8</v>
      </c>
      <c r="E98" s="997" t="s">
        <v>1917</v>
      </c>
      <c r="F98" s="998"/>
      <c r="G98" s="997" t="e">
        <f>+VLOOKUP(Data_Validation!$A98,BV_Data_An_Cour!$L:$Q,6,0)</f>
        <v>#N/A</v>
      </c>
      <c r="H98" s="188"/>
      <c r="K98" s="164" t="str">
        <f>Print_Mois!C296</f>
        <v>P/A Garantie</v>
      </c>
    </row>
    <row r="99" spans="1:11" ht="15" customHeight="1">
      <c r="A99" s="1143">
        <v>1182</v>
      </c>
      <c r="B99" s="169" t="s">
        <v>2386</v>
      </c>
      <c r="C99" s="945" t="s">
        <v>1642</v>
      </c>
      <c r="D99" s="945" t="s">
        <v>8</v>
      </c>
      <c r="E99" s="997" t="s">
        <v>1917</v>
      </c>
      <c r="F99" s="998"/>
      <c r="G99" s="997" t="str">
        <f>+VLOOKUP(Data_Validation!$A99,BV_Data_An_Cour!$L:$Q,6,0)</f>
        <v>2-Actifs</v>
      </c>
      <c r="H99" s="188"/>
      <c r="K99" s="164" t="str">
        <f>Print_Mois!V442</f>
        <v>Papeterie</v>
      </c>
    </row>
    <row r="100" spans="1:11" ht="15" customHeight="1">
      <c r="A100" s="1143">
        <v>1202</v>
      </c>
      <c r="B100" s="169" t="s">
        <v>2180</v>
      </c>
      <c r="C100" s="945" t="s">
        <v>1642</v>
      </c>
      <c r="D100" s="945" t="s">
        <v>12</v>
      </c>
      <c r="E100" s="997" t="s">
        <v>1917</v>
      </c>
      <c r="F100" s="998"/>
      <c r="G100" s="997" t="str">
        <f>+VLOOKUP(Data_Validation!$A100,BV_Data_An_Cour!$L:$Q,6,0)</f>
        <v>2-Actifs</v>
      </c>
      <c r="H100" s="188"/>
      <c r="K100" s="164" t="str">
        <f>Print_Mois!C295</f>
        <v>Pièces Ro Carrosserie</v>
      </c>
    </row>
    <row r="101" spans="1:11" ht="15" customHeight="1">
      <c r="A101" s="1143">
        <v>1302</v>
      </c>
      <c r="B101" s="169" t="s">
        <v>2024</v>
      </c>
      <c r="C101" s="945" t="s">
        <v>1642</v>
      </c>
      <c r="D101" s="945" t="s">
        <v>13</v>
      </c>
      <c r="E101" s="997" t="s">
        <v>1917</v>
      </c>
      <c r="F101" s="998"/>
      <c r="G101" s="997" t="str">
        <f>+VLOOKUP(Data_Validation!$A101,BV_Data_An_Cour!$L:$Q,6,0)</f>
        <v>2-Actifs</v>
      </c>
      <c r="H101" s="188"/>
      <c r="K101" s="164" t="str">
        <f>Print_Mois!C294</f>
        <v>Pièces Ro Clients</v>
      </c>
    </row>
    <row r="102" spans="1:11" ht="15" customHeight="1">
      <c r="A102" s="1143">
        <v>1303</v>
      </c>
      <c r="B102" s="169" t="s">
        <v>2012</v>
      </c>
      <c r="C102" s="945" t="s">
        <v>1642</v>
      </c>
      <c r="D102" s="945" t="s">
        <v>13</v>
      </c>
      <c r="E102" s="997" t="s">
        <v>1917</v>
      </c>
      <c r="F102" s="998"/>
      <c r="G102" s="997" t="str">
        <f>+VLOOKUP(Data_Validation!$A102,BV_Data_An_Cour!$L:$Q,6,0)</f>
        <v>2-Actifs</v>
      </c>
      <c r="H102" s="188"/>
      <c r="K102" s="164" t="s">
        <v>11</v>
      </c>
    </row>
    <row r="103" spans="1:11" ht="15" customHeight="1">
      <c r="A103" s="1143">
        <v>1304</v>
      </c>
      <c r="B103" s="169" t="s">
        <v>2099</v>
      </c>
      <c r="C103" s="945" t="s">
        <v>1642</v>
      </c>
      <c r="D103" s="945" t="s">
        <v>17</v>
      </c>
      <c r="E103" s="997" t="s">
        <v>1917</v>
      </c>
      <c r="F103" s="998"/>
      <c r="G103" s="997" t="str">
        <f>+VLOOKUP(Data_Validation!$A103,BV_Data_An_Cour!$L:$Q,6,0)</f>
        <v>2-Actifs</v>
      </c>
      <c r="H103" s="188"/>
      <c r="K103" s="164" t="str">
        <f>Print_Mois!V470</f>
        <v>Programme neuf 1</v>
      </c>
    </row>
    <row r="104" spans="1:11" s="570" customFormat="1" ht="15" customHeight="1">
      <c r="A104" s="168">
        <v>1306</v>
      </c>
      <c r="B104" s="169" t="s">
        <v>2974</v>
      </c>
      <c r="C104" s="945" t="s">
        <v>1642</v>
      </c>
      <c r="D104" s="945" t="s">
        <v>23</v>
      </c>
      <c r="E104" s="997" t="s">
        <v>1917</v>
      </c>
      <c r="F104" s="998"/>
      <c r="G104" s="997" t="s">
        <v>293</v>
      </c>
      <c r="H104" s="188"/>
      <c r="K104" s="164" t="s">
        <v>24</v>
      </c>
    </row>
    <row r="105" spans="1:11" s="570" customFormat="1" ht="15" customHeight="1">
      <c r="A105" s="168">
        <v>1307</v>
      </c>
      <c r="B105" s="169" t="s">
        <v>3049</v>
      </c>
      <c r="C105" s="945" t="s">
        <v>1642</v>
      </c>
      <c r="D105" s="945" t="s">
        <v>23</v>
      </c>
      <c r="E105" s="997" t="s">
        <v>1917</v>
      </c>
      <c r="F105" s="998"/>
      <c r="G105" s="997" t="s">
        <v>293</v>
      </c>
      <c r="H105" s="188"/>
      <c r="K105" s="164"/>
    </row>
    <row r="106" spans="1:11" ht="15" customHeight="1">
      <c r="A106" s="1143">
        <v>1305</v>
      </c>
      <c r="B106" s="169" t="s">
        <v>2732</v>
      </c>
      <c r="C106" s="945" t="s">
        <v>1642</v>
      </c>
      <c r="D106" s="945" t="s">
        <v>21</v>
      </c>
      <c r="E106" s="997" t="s">
        <v>1917</v>
      </c>
      <c r="F106" s="998"/>
      <c r="G106" s="997" t="str">
        <f>+VLOOKUP(Data_Validation!$A106,BV_Data_An_Cour!$L:$Q,6,0)</f>
        <v>2-Actifs</v>
      </c>
      <c r="H106" s="188"/>
      <c r="K106" s="164" t="str">
        <f>Print_Mois!V471</f>
        <v>Programme neuf 2</v>
      </c>
    </row>
    <row r="107" spans="1:11" ht="15" customHeight="1">
      <c r="A107" s="1143">
        <v>1312</v>
      </c>
      <c r="B107" s="169" t="s">
        <v>2829</v>
      </c>
      <c r="C107" s="945" t="s">
        <v>1642</v>
      </c>
      <c r="D107" s="945" t="s">
        <v>15</v>
      </c>
      <c r="E107" s="997" t="s">
        <v>1917</v>
      </c>
      <c r="F107" s="998"/>
      <c r="G107" s="997" t="str">
        <f>+VLOOKUP(Data_Validation!$A107,BV_Data_An_Cour!$L:$Q,6,0)</f>
        <v>2-Actifs</v>
      </c>
      <c r="H107" s="188"/>
      <c r="K107" s="164" t="str">
        <f>Print_Mois!V472</f>
        <v>Programme neuf 3</v>
      </c>
    </row>
    <row r="108" spans="1:11" ht="15" customHeight="1">
      <c r="A108" s="1143">
        <v>1332</v>
      </c>
      <c r="B108" s="169" t="s">
        <v>2057</v>
      </c>
      <c r="C108" s="945" t="s">
        <v>1642</v>
      </c>
      <c r="D108" s="945" t="s">
        <v>19</v>
      </c>
      <c r="E108" s="997" t="s">
        <v>1917</v>
      </c>
      <c r="F108" s="998"/>
      <c r="G108" s="997" t="str">
        <f>+VLOOKUP(Data_Validation!$A108,BV_Data_An_Cour!$L:$Q,6,0)</f>
        <v>2-Actifs</v>
      </c>
      <c r="H108" s="188"/>
      <c r="K108" s="164" t="s">
        <v>108</v>
      </c>
    </row>
    <row r="109" spans="1:11" ht="15" customHeight="1">
      <c r="A109" s="1143">
        <v>1340</v>
      </c>
      <c r="B109" s="169" t="s">
        <v>2778</v>
      </c>
      <c r="C109" s="945" t="s">
        <v>1642</v>
      </c>
      <c r="D109" s="945" t="s">
        <v>1931</v>
      </c>
      <c r="E109" s="997" t="s">
        <v>1917</v>
      </c>
      <c r="F109" s="998"/>
      <c r="G109" s="997" t="str">
        <f>+VLOOKUP(Data_Validation!$A109,BV_Data_An_Cour!$L:$Q,6,0)</f>
        <v>2-Actifs</v>
      </c>
      <c r="H109" s="188"/>
      <c r="K109" s="164" t="s">
        <v>121</v>
      </c>
    </row>
    <row r="110" spans="1:11" ht="15" customHeight="1">
      <c r="A110" s="1143">
        <v>1352</v>
      </c>
      <c r="B110" s="169" t="s">
        <v>2017</v>
      </c>
      <c r="C110" s="945" t="s">
        <v>1642</v>
      </c>
      <c r="D110" s="945" t="s">
        <v>15</v>
      </c>
      <c r="E110" s="997" t="s">
        <v>1917</v>
      </c>
      <c r="F110" s="998"/>
      <c r="G110" s="997" t="str">
        <f>+VLOOKUP(Data_Validation!$A110,BV_Data_An_Cour!$L:$Q,6,0)</f>
        <v>2-Actifs</v>
      </c>
      <c r="H110" s="188"/>
      <c r="K110" s="164" t="str">
        <f>Print_Mois!C19</f>
        <v>Rachat bail</v>
      </c>
    </row>
    <row r="111" spans="1:11" ht="15" customHeight="1">
      <c r="A111" s="1154">
        <v>1362</v>
      </c>
      <c r="B111" s="1005" t="s">
        <v>2886</v>
      </c>
      <c r="C111" s="945" t="s">
        <v>1642</v>
      </c>
      <c r="D111" s="945" t="s">
        <v>25</v>
      </c>
      <c r="E111" s="997" t="s">
        <v>1917</v>
      </c>
      <c r="F111" s="998"/>
      <c r="G111" s="997" t="e">
        <f>+VLOOKUP(Data_Validation!$A111,BV_Data_An_Cour!$L:$Q,6,0)</f>
        <v>#N/A</v>
      </c>
      <c r="H111" s="188"/>
      <c r="K111" s="164" t="s">
        <v>25</v>
      </c>
    </row>
    <row r="112" spans="1:11" ht="15" customHeight="1">
      <c r="A112" s="1143">
        <v>1364</v>
      </c>
      <c r="B112" s="169" t="s">
        <v>2616</v>
      </c>
      <c r="C112" s="945" t="s">
        <v>1642</v>
      </c>
      <c r="D112" s="945" t="s">
        <v>1931</v>
      </c>
      <c r="E112" s="997" t="s">
        <v>1917</v>
      </c>
      <c r="F112" s="998"/>
      <c r="G112" s="997" t="e">
        <f>+VLOOKUP(Data_Validation!$A112,BV_Data_An_Cour!$L:$Q,6,0)</f>
        <v>#N/A</v>
      </c>
      <c r="H112" s="188"/>
      <c r="K112" s="164" t="s">
        <v>21</v>
      </c>
    </row>
    <row r="113" spans="1:11" ht="15" customHeight="1">
      <c r="A113" s="1155">
        <v>1372</v>
      </c>
      <c r="B113" s="1120" t="s">
        <v>2817</v>
      </c>
      <c r="C113" s="1121" t="s">
        <v>1642</v>
      </c>
      <c r="D113" s="1121" t="s">
        <v>18</v>
      </c>
      <c r="E113" s="1122" t="s">
        <v>1917</v>
      </c>
      <c r="F113" s="1123"/>
      <c r="G113" s="1122"/>
      <c r="H113" s="188"/>
      <c r="K113" s="164" t="s">
        <v>12</v>
      </c>
    </row>
    <row r="114" spans="1:11" ht="15" customHeight="1">
      <c r="A114" s="1143">
        <v>1399</v>
      </c>
      <c r="B114" s="169" t="s">
        <v>2860</v>
      </c>
      <c r="C114" s="945" t="s">
        <v>1642</v>
      </c>
      <c r="D114" s="945" t="s">
        <v>17</v>
      </c>
      <c r="E114" s="997" t="s">
        <v>1917</v>
      </c>
      <c r="F114" s="998"/>
      <c r="G114" s="999" t="str">
        <f>+VLOOKUP(Data_Validation!$A114,BV_Data_An_Cour!$L:$Q,6,0)</f>
        <v>2-Actifs</v>
      </c>
      <c r="H114" s="188"/>
      <c r="K114" s="164" t="s">
        <v>12</v>
      </c>
    </row>
    <row r="115" spans="1:11" ht="15" customHeight="1">
      <c r="A115" s="1143">
        <v>1402</v>
      </c>
      <c r="B115" s="169" t="s">
        <v>2106</v>
      </c>
      <c r="C115" s="945" t="s">
        <v>1642</v>
      </c>
      <c r="D115" s="945" t="s">
        <v>29</v>
      </c>
      <c r="E115" s="997" t="s">
        <v>1917</v>
      </c>
      <c r="F115" s="998"/>
      <c r="G115" s="997" t="str">
        <f>+VLOOKUP(Data_Validation!$A115,BV_Data_An_Cour!$L:$Q,6,0)</f>
        <v>2-Actifs</v>
      </c>
      <c r="H115" s="188"/>
      <c r="K115" s="164" t="s">
        <v>19</v>
      </c>
    </row>
    <row r="116" spans="1:11" ht="15" customHeight="1">
      <c r="A116" s="1143">
        <v>1403</v>
      </c>
      <c r="B116" s="169" t="s">
        <v>2115</v>
      </c>
      <c r="C116" s="945" t="s">
        <v>1642</v>
      </c>
      <c r="D116" s="945" t="s">
        <v>29</v>
      </c>
      <c r="E116" s="997" t="s">
        <v>1917</v>
      </c>
      <c r="F116" s="998"/>
      <c r="G116" s="997" t="str">
        <f>+VLOOKUP(Data_Validation!$A116,BV_Data_An_Cour!$L:$Q,6,0)</f>
        <v>2-Actifs</v>
      </c>
      <c r="H116" s="188"/>
      <c r="K116" s="164" t="s">
        <v>17</v>
      </c>
    </row>
    <row r="117" spans="1:11" ht="15" customHeight="1">
      <c r="A117" s="1143">
        <v>1413</v>
      </c>
      <c r="B117" s="169" t="s">
        <v>2756</v>
      </c>
      <c r="C117" s="945" t="s">
        <v>1642</v>
      </c>
      <c r="D117" s="945" t="s">
        <v>31</v>
      </c>
      <c r="E117" s="997" t="s">
        <v>1917</v>
      </c>
      <c r="F117" s="998"/>
      <c r="G117" s="997" t="str">
        <f>+VLOOKUP(Data_Validation!$A117,BV_Data_An_Cour!$L:$Q,6,0)</f>
        <v>2-Actifs</v>
      </c>
      <c r="H117" s="188"/>
      <c r="K117" s="164" t="s">
        <v>13</v>
      </c>
    </row>
    <row r="118" spans="1:11" ht="15" customHeight="1">
      <c r="A118" s="1143">
        <v>1416</v>
      </c>
      <c r="B118" s="169" t="s">
        <v>2821</v>
      </c>
      <c r="C118" s="945" t="s">
        <v>1642</v>
      </c>
      <c r="D118" s="945" t="s">
        <v>31</v>
      </c>
      <c r="E118" s="997" t="s">
        <v>1917</v>
      </c>
      <c r="F118" s="998"/>
      <c r="G118" s="997" t="str">
        <f>+VLOOKUP(Data_Validation!$A118,BV_Data_An_Cour!$L:$Q,6,0)</f>
        <v>2-Actifs</v>
      </c>
      <c r="H118" s="188"/>
      <c r="K118" s="164" t="s">
        <v>184</v>
      </c>
    </row>
    <row r="119" spans="1:11" s="570" customFormat="1" ht="15" customHeight="1">
      <c r="A119" s="1117" t="s">
        <v>2893</v>
      </c>
      <c r="B119" s="169" t="s">
        <v>2892</v>
      </c>
      <c r="C119" s="945"/>
      <c r="D119" s="945"/>
      <c r="E119" s="997"/>
      <c r="F119" s="998"/>
      <c r="G119" s="997" t="s">
        <v>1</v>
      </c>
      <c r="H119" s="188"/>
      <c r="K119" s="164" t="s">
        <v>23</v>
      </c>
    </row>
    <row r="120" spans="1:11" ht="15" customHeight="1">
      <c r="A120" s="1143">
        <v>1423</v>
      </c>
      <c r="B120" s="169" t="s">
        <v>2862</v>
      </c>
      <c r="C120" s="945" t="s">
        <v>1642</v>
      </c>
      <c r="D120" s="945" t="s">
        <v>29</v>
      </c>
      <c r="E120" s="997" t="s">
        <v>1917</v>
      </c>
      <c r="F120" s="998"/>
      <c r="G120" s="999" t="str">
        <f>+VLOOKUP(Data_Validation!$A120,BV_Data_An_Cour!$L:$Q,6,0)</f>
        <v>2-Actifs</v>
      </c>
      <c r="H120" s="188"/>
      <c r="K120" s="164" t="str">
        <f>Print_Mois!V459</f>
        <v>Réparation équipement</v>
      </c>
    </row>
    <row r="121" spans="1:11" ht="15" customHeight="1">
      <c r="A121" s="1143">
        <v>1433</v>
      </c>
      <c r="B121" s="169" t="s">
        <v>2864</v>
      </c>
      <c r="C121" s="945" t="s">
        <v>1642</v>
      </c>
      <c r="D121" s="945" t="s">
        <v>29</v>
      </c>
      <c r="E121" s="997" t="s">
        <v>1917</v>
      </c>
      <c r="F121" s="998"/>
      <c r="G121" s="999" t="str">
        <f>+VLOOKUP(Data_Validation!$A121,BV_Data_An_Cour!$L:$Q,6,0)</f>
        <v>2-Actifs</v>
      </c>
      <c r="H121" s="188"/>
      <c r="K121" s="164" t="s">
        <v>1712</v>
      </c>
    </row>
    <row r="122" spans="1:11" ht="15" customHeight="1">
      <c r="A122" s="1143">
        <v>1442</v>
      </c>
      <c r="B122" s="169" t="s">
        <v>2029</v>
      </c>
      <c r="C122" s="945" t="s">
        <v>1642</v>
      </c>
      <c r="D122" s="945" t="s">
        <v>33</v>
      </c>
      <c r="E122" s="997" t="s">
        <v>1917</v>
      </c>
      <c r="F122" s="998"/>
      <c r="G122" s="997" t="str">
        <f>+VLOOKUP(Data_Validation!$A122,BV_Data_An_Cour!$L:$Q,6,0)</f>
        <v>2-Actifs</v>
      </c>
      <c r="H122" s="188"/>
      <c r="K122" s="164" t="str">
        <f>Print_Mois!C23</f>
        <v>Rev. Autres</v>
      </c>
    </row>
    <row r="123" spans="1:11" ht="15" customHeight="1">
      <c r="A123" s="1143">
        <v>1448</v>
      </c>
      <c r="B123" s="169" t="s">
        <v>2866</v>
      </c>
      <c r="C123" s="945" t="s">
        <v>1642</v>
      </c>
      <c r="D123" s="945" t="s">
        <v>33</v>
      </c>
      <c r="E123" s="997" t="s">
        <v>1917</v>
      </c>
      <c r="F123" s="998"/>
      <c r="G123" s="999" t="str">
        <f>+VLOOKUP(Data_Validation!$A123,BV_Data_An_Cour!$L:$Q,6,0)</f>
        <v>2-Actifs</v>
      </c>
      <c r="H123" s="188"/>
      <c r="K123" s="164" t="str">
        <f>Print_Mois!C21</f>
        <v>Rev. Finances</v>
      </c>
    </row>
    <row r="124" spans="1:11" ht="15" customHeight="1">
      <c r="A124" s="1143">
        <v>1452</v>
      </c>
      <c r="B124" s="169" t="s">
        <v>2819</v>
      </c>
      <c r="C124" s="945" t="s">
        <v>1642</v>
      </c>
      <c r="D124" s="945" t="s">
        <v>33</v>
      </c>
      <c r="E124" s="997" t="s">
        <v>1917</v>
      </c>
      <c r="F124" s="998"/>
      <c r="G124" s="997" t="str">
        <f>+VLOOKUP(Data_Validation!$A124,BV_Data_An_Cour!$L:$Q,6,0)</f>
        <v>2-Actifs</v>
      </c>
      <c r="H124" s="188"/>
      <c r="K124" s="164" t="str">
        <f>Print_Mois!C22</f>
        <v>Rev. Protections</v>
      </c>
    </row>
    <row r="125" spans="1:11" ht="15" customHeight="1">
      <c r="A125" s="1143">
        <v>1456</v>
      </c>
      <c r="B125" s="169" t="s">
        <v>2735</v>
      </c>
      <c r="C125" s="945" t="s">
        <v>1642</v>
      </c>
      <c r="D125" s="945" t="s">
        <v>33</v>
      </c>
      <c r="E125" s="997" t="s">
        <v>1917</v>
      </c>
      <c r="F125" s="998"/>
      <c r="G125" s="997" t="str">
        <f>+VLOOKUP(Data_Validation!$A125,BV_Data_An_Cour!$L:$Q,6,0)</f>
        <v>2-Actifs</v>
      </c>
      <c r="H125" s="188"/>
      <c r="K125" s="164" t="str">
        <f>Print_Mois!V468</f>
        <v>Revenus autres</v>
      </c>
    </row>
    <row r="126" spans="1:11" ht="15" customHeight="1">
      <c r="A126" s="1143">
        <v>1472</v>
      </c>
      <c r="B126" s="169" t="s">
        <v>2584</v>
      </c>
      <c r="C126" s="945" t="s">
        <v>1642</v>
      </c>
      <c r="D126" s="945" t="s">
        <v>39</v>
      </c>
      <c r="E126" s="997" t="s">
        <v>1917</v>
      </c>
      <c r="F126" s="998"/>
      <c r="G126" s="997" t="str">
        <f>+VLOOKUP(Data_Validation!$A126,BV_Data_An_Cour!$L:$Q,6,0)</f>
        <v>2-Actifs</v>
      </c>
      <c r="H126" s="188"/>
      <c r="K126" s="164" t="s">
        <v>36</v>
      </c>
    </row>
    <row r="127" spans="1:11" ht="15" customHeight="1">
      <c r="A127" s="1143">
        <v>1474</v>
      </c>
      <c r="B127" s="169" t="s">
        <v>2758</v>
      </c>
      <c r="C127" s="945" t="s">
        <v>1642</v>
      </c>
      <c r="D127" s="945" t="s">
        <v>41</v>
      </c>
      <c r="E127" s="997" t="s">
        <v>1917</v>
      </c>
      <c r="F127" s="998"/>
      <c r="G127" s="997" t="str">
        <f>+VLOOKUP(Data_Validation!$A127,BV_Data_An_Cour!$L:$Q,6,0)</f>
        <v>2-Actifs</v>
      </c>
      <c r="H127" s="188"/>
      <c r="K127" s="164" t="str">
        <f>Print_Mois!V422</f>
        <v>Salaires autres</v>
      </c>
    </row>
    <row r="128" spans="1:11" ht="15" customHeight="1">
      <c r="A128" s="1143">
        <v>1492</v>
      </c>
      <c r="B128" s="169" t="s">
        <v>2137</v>
      </c>
      <c r="C128" s="945" t="s">
        <v>1642</v>
      </c>
      <c r="D128" s="945" t="s">
        <v>33</v>
      </c>
      <c r="E128" s="997" t="s">
        <v>1917</v>
      </c>
      <c r="F128" s="998"/>
      <c r="G128" s="997" t="str">
        <f>+VLOOKUP(Data_Validation!$A128,BV_Data_An_Cour!$L:$Q,6,0)</f>
        <v>2-Actifs</v>
      </c>
      <c r="H128" s="188"/>
      <c r="K128" s="164" t="str">
        <f>Print_Mois!V420</f>
        <v>Salaires cadres</v>
      </c>
    </row>
    <row r="129" spans="1:29" ht="15" customHeight="1">
      <c r="A129" s="168">
        <v>1496</v>
      </c>
      <c r="B129" s="169" t="s">
        <v>2858</v>
      </c>
      <c r="C129" s="945" t="s">
        <v>1642</v>
      </c>
      <c r="D129" s="945" t="s">
        <v>33</v>
      </c>
      <c r="E129" s="997" t="s">
        <v>1917</v>
      </c>
      <c r="F129" s="998"/>
      <c r="G129" s="999" t="e">
        <f>+VLOOKUP(Data_Validation!$A129,BV_Data_An_Cour!$L:$Q,6,0)</f>
        <v>#N/A</v>
      </c>
      <c r="H129" s="188"/>
      <c r="K129" s="164" t="str">
        <f>Print_Mois!C43</f>
        <v>Salaires commis</v>
      </c>
    </row>
    <row r="130" spans="1:29" ht="15" customHeight="1">
      <c r="A130" s="1143">
        <v>1498</v>
      </c>
      <c r="B130" s="169" t="s">
        <v>2686</v>
      </c>
      <c r="C130" s="945" t="s">
        <v>1642</v>
      </c>
      <c r="D130" s="945" t="s">
        <v>33</v>
      </c>
      <c r="E130" s="997" t="s">
        <v>1917</v>
      </c>
      <c r="F130" s="998"/>
      <c r="G130" s="997" t="e">
        <f>+VLOOKUP(Data_Validation!$A130,BV_Data_An_Cour!$L:$Q,6,0)</f>
        <v>#N/A</v>
      </c>
      <c r="H130" s="188"/>
      <c r="K130" s="164" t="str">
        <f>Print_Mois!V421</f>
        <v>Salaires commis</v>
      </c>
    </row>
    <row r="131" spans="1:29" ht="15" customHeight="1">
      <c r="A131" s="1143">
        <v>1502</v>
      </c>
      <c r="B131" s="169" t="s">
        <v>2101</v>
      </c>
      <c r="C131" s="945" t="s">
        <v>1642</v>
      </c>
      <c r="D131" s="945" t="s">
        <v>43</v>
      </c>
      <c r="E131" s="997" t="s">
        <v>1917</v>
      </c>
      <c r="F131" s="998"/>
      <c r="G131" s="997" t="e">
        <f>+VLOOKUP(Data_Validation!$A131,BV_Data_An_Cour!$L:$Q,6,0)</f>
        <v>#N/A</v>
      </c>
      <c r="H131" s="188"/>
      <c r="K131" s="164" t="str">
        <f>Print_Mois!V427</f>
        <v>Salaires en absences</v>
      </c>
    </row>
    <row r="132" spans="1:29" ht="15" customHeight="1">
      <c r="A132" s="1143">
        <v>1504</v>
      </c>
      <c r="B132" s="169" t="s">
        <v>2127</v>
      </c>
      <c r="C132" s="945" t="s">
        <v>1642</v>
      </c>
      <c r="D132" s="945" t="s">
        <v>43</v>
      </c>
      <c r="E132" s="997" t="s">
        <v>1917</v>
      </c>
      <c r="F132" s="998"/>
      <c r="G132" s="997" t="e">
        <f>+VLOOKUP(Data_Validation!$A132,BV_Data_An_Cour!$L:$Q,6,0)</f>
        <v>#N/A</v>
      </c>
      <c r="H132" s="188"/>
      <c r="K132" s="164" t="str">
        <f>Print_Mois!V419</f>
        <v>Salaires propriétaire</v>
      </c>
    </row>
    <row r="133" spans="1:29" ht="15" customHeight="1">
      <c r="A133" s="1153">
        <v>1506</v>
      </c>
      <c r="B133" s="166" t="s">
        <v>2801</v>
      </c>
      <c r="C133" s="945" t="s">
        <v>1642</v>
      </c>
      <c r="D133" s="945" t="s">
        <v>43</v>
      </c>
      <c r="E133" s="997" t="s">
        <v>1917</v>
      </c>
      <c r="F133" s="998"/>
      <c r="G133" s="997" t="e">
        <f>+VLOOKUP(Data_Validation!$A133,BV_Data_An_Cour!$L:$Q,6,0)</f>
        <v>#N/A</v>
      </c>
      <c r="H133" s="188"/>
      <c r="K133" s="164" t="str">
        <f>Print_Mois!V423</f>
        <v>Salaires spécialistes</v>
      </c>
    </row>
    <row r="134" spans="1:29" ht="15" customHeight="1">
      <c r="A134" s="1153">
        <v>1508</v>
      </c>
      <c r="B134" s="166" t="s">
        <v>2389</v>
      </c>
      <c r="C134" s="945" t="s">
        <v>1642</v>
      </c>
      <c r="D134" s="945" t="s">
        <v>43</v>
      </c>
      <c r="E134" s="997" t="s">
        <v>1917</v>
      </c>
      <c r="F134" s="998"/>
      <c r="G134" s="997" t="e">
        <f>+VLOOKUP(Data_Validation!$A134,BV_Data_An_Cour!$L:$Q,6,0)</f>
        <v>#N/A</v>
      </c>
      <c r="H134" s="188"/>
      <c r="K134" s="164" t="str">
        <f>Print_Mois!C34</f>
        <v>Service gratuit 1</v>
      </c>
    </row>
    <row r="135" spans="1:29" ht="15" customHeight="1">
      <c r="A135" s="1153">
        <v>1510</v>
      </c>
      <c r="B135" s="166" t="s">
        <v>2637</v>
      </c>
      <c r="C135" s="945" t="s">
        <v>1642</v>
      </c>
      <c r="D135" s="945" t="s">
        <v>43</v>
      </c>
      <c r="E135" s="997" t="s">
        <v>1917</v>
      </c>
      <c r="F135" s="998"/>
      <c r="G135" s="997" t="str">
        <f>+VLOOKUP(Data_Validation!$A135,BV_Data_An_Cour!$L:$Q,6,0)</f>
        <v>2-Actifs</v>
      </c>
      <c r="H135" s="188"/>
      <c r="K135" s="164" t="str">
        <f>Print_Mois!V434</f>
        <v>Service gratuit 2</v>
      </c>
    </row>
    <row r="136" spans="1:29" ht="15" customHeight="1">
      <c r="A136" s="1143">
        <v>1520</v>
      </c>
      <c r="B136" s="169" t="s">
        <v>2149</v>
      </c>
      <c r="C136" s="945" t="s">
        <v>1642</v>
      </c>
      <c r="D136" s="945" t="s">
        <v>43</v>
      </c>
      <c r="E136" s="997" t="s">
        <v>1917</v>
      </c>
      <c r="F136" s="998"/>
      <c r="G136" s="997" t="str">
        <f>+VLOOKUP(Data_Validation!$A136,BV_Data_An_Cour!$L:$Q,6,0)</f>
        <v>2-Actifs</v>
      </c>
      <c r="H136" s="188"/>
      <c r="I136" s="2"/>
      <c r="J136" s="2"/>
      <c r="K136" s="164" t="str">
        <f>Print_Mois!V438</f>
        <v>Services extérieurs</v>
      </c>
      <c r="L136" s="2"/>
      <c r="M136" s="2"/>
      <c r="P136" s="2"/>
      <c r="Q136" s="2"/>
      <c r="R136" s="2"/>
      <c r="S136" s="2"/>
      <c r="T136" s="2"/>
      <c r="U136" s="2"/>
      <c r="V136" s="2"/>
      <c r="W136" s="2"/>
      <c r="X136" s="2"/>
      <c r="Y136" s="2"/>
      <c r="Z136" s="2"/>
      <c r="AA136" s="2"/>
      <c r="AB136" s="2"/>
      <c r="AC136" s="2"/>
    </row>
    <row r="137" spans="1:29" ht="15" customHeight="1">
      <c r="A137" s="1143">
        <v>1522</v>
      </c>
      <c r="B137" s="169" t="s">
        <v>2391</v>
      </c>
      <c r="C137" s="945" t="s">
        <v>1642</v>
      </c>
      <c r="D137" s="945" t="s">
        <v>43</v>
      </c>
      <c r="E137" s="997" t="s">
        <v>1917</v>
      </c>
      <c r="F137" s="998"/>
      <c r="G137" s="997" t="e">
        <f>+VLOOKUP(Data_Validation!$A137,BV_Data_An_Cour!$L:$Q,6,0)</f>
        <v>#N/A</v>
      </c>
      <c r="H137" s="188"/>
      <c r="K137" s="164" t="s">
        <v>41</v>
      </c>
    </row>
    <row r="138" spans="1:29" ht="15" customHeight="1">
      <c r="A138" s="168">
        <v>1524</v>
      </c>
      <c r="B138" s="169" t="s">
        <v>2852</v>
      </c>
      <c r="C138" s="945" t="s">
        <v>1642</v>
      </c>
      <c r="D138" s="945" t="s">
        <v>43</v>
      </c>
      <c r="E138" s="997" t="s">
        <v>1917</v>
      </c>
      <c r="F138" s="998"/>
      <c r="G138" s="999" t="e">
        <f>+VLOOKUP(Data_Validation!$A138,BV_Data_An_Cour!$L:$Q,6,0)</f>
        <v>#N/A</v>
      </c>
      <c r="H138" s="188"/>
      <c r="K138" s="164" t="str">
        <f>Print_Mois!C187</f>
        <v>Sous-traitement</v>
      </c>
    </row>
    <row r="139" spans="1:29" ht="15" customHeight="1">
      <c r="A139" s="1143">
        <v>1528</v>
      </c>
      <c r="B139" s="169" t="s">
        <v>2121</v>
      </c>
      <c r="C139" s="945" t="s">
        <v>1642</v>
      </c>
      <c r="D139" s="945" t="s">
        <v>40</v>
      </c>
      <c r="E139" s="997" t="s">
        <v>1917</v>
      </c>
      <c r="F139" s="998"/>
      <c r="G139" s="997" t="e">
        <f>+VLOOKUP(Data_Validation!$A139,BV_Data_An_Cour!$L:$Q,6,0)</f>
        <v>#N/A</v>
      </c>
      <c r="H139" s="188"/>
      <c r="K139" s="164" t="s">
        <v>121</v>
      </c>
    </row>
    <row r="140" spans="1:29" ht="15" customHeight="1">
      <c r="A140" s="1143">
        <v>1530</v>
      </c>
      <c r="B140" s="169" t="s">
        <v>2600</v>
      </c>
      <c r="C140" s="945" t="s">
        <v>1642</v>
      </c>
      <c r="D140" s="945" t="s">
        <v>43</v>
      </c>
      <c r="E140" s="997" t="s">
        <v>1917</v>
      </c>
      <c r="F140" s="998"/>
      <c r="G140" s="997" t="e">
        <f>+VLOOKUP(Data_Validation!$A140,BV_Data_An_Cour!$L:$Q,6,0)</f>
        <v>#N/A</v>
      </c>
      <c r="H140" s="188"/>
      <c r="K140" s="164" t="s">
        <v>91</v>
      </c>
    </row>
    <row r="141" spans="1:29" ht="15" customHeight="1">
      <c r="A141" s="1143">
        <v>1532</v>
      </c>
      <c r="B141" s="169" t="s">
        <v>2178</v>
      </c>
      <c r="C141" s="945" t="s">
        <v>1642</v>
      </c>
      <c r="D141" s="945" t="s">
        <v>43</v>
      </c>
      <c r="E141" s="997" t="s">
        <v>1917</v>
      </c>
      <c r="F141" s="998"/>
      <c r="G141" s="997" t="str">
        <f>+VLOOKUP(Data_Validation!$A141,BV_Data_An_Cour!$L:$Q,6,0)</f>
        <v>2-Actifs</v>
      </c>
      <c r="H141" s="188"/>
      <c r="K141" s="164" t="s">
        <v>237</v>
      </c>
    </row>
    <row r="142" spans="1:29" ht="15" customHeight="1">
      <c r="A142" s="1143">
        <v>1534</v>
      </c>
      <c r="B142" s="169" t="s">
        <v>2196</v>
      </c>
      <c r="C142" s="945" t="s">
        <v>1642</v>
      </c>
      <c r="D142" s="945" t="s">
        <v>43</v>
      </c>
      <c r="E142" s="997" t="s">
        <v>1917</v>
      </c>
      <c r="F142" s="998"/>
      <c r="G142" s="997" t="e">
        <f>+VLOOKUP(Data_Validation!$A142,BV_Data_An_Cour!$L:$Q,6,0)</f>
        <v>#N/A</v>
      </c>
      <c r="H142" s="188"/>
      <c r="K142" s="164" t="s">
        <v>239</v>
      </c>
    </row>
    <row r="143" spans="1:29" ht="15" customHeight="1">
      <c r="A143" s="1143">
        <v>1536</v>
      </c>
      <c r="B143" s="169" t="s">
        <v>2393</v>
      </c>
      <c r="C143" s="945" t="s">
        <v>1642</v>
      </c>
      <c r="D143" s="945" t="s">
        <v>43</v>
      </c>
      <c r="E143" s="997" t="s">
        <v>1917</v>
      </c>
      <c r="F143" s="998"/>
      <c r="G143" s="997" t="e">
        <f>+VLOOKUP(Data_Validation!$A143,BV_Data_An_Cour!$L:$Q,6,0)</f>
        <v>#N/A</v>
      </c>
      <c r="H143" s="188"/>
      <c r="K143" s="164" t="str">
        <f>Print_Mois!V455</f>
        <v>Taxe sur le capital</v>
      </c>
    </row>
    <row r="144" spans="1:29" ht="15" customHeight="1">
      <c r="A144" s="1143">
        <v>1538</v>
      </c>
      <c r="B144" s="169" t="s">
        <v>2677</v>
      </c>
      <c r="C144" s="945" t="s">
        <v>1642</v>
      </c>
      <c r="D144" s="945" t="s">
        <v>43</v>
      </c>
      <c r="E144" s="997" t="s">
        <v>1917</v>
      </c>
      <c r="F144" s="998"/>
      <c r="G144" s="997" t="e">
        <f>+VLOOKUP(Data_Validation!$A144,BV_Data_An_Cour!$L:$Q,6,0)</f>
        <v>#N/A</v>
      </c>
      <c r="H144" s="188"/>
      <c r="K144" s="164" t="s">
        <v>18</v>
      </c>
    </row>
    <row r="145" spans="1:11" ht="15" customHeight="1">
      <c r="A145" s="1143">
        <v>1540</v>
      </c>
      <c r="B145" s="169" t="s">
        <v>2780</v>
      </c>
      <c r="C145" s="945" t="s">
        <v>1642</v>
      </c>
      <c r="D145" s="945" t="s">
        <v>43</v>
      </c>
      <c r="E145" s="997" t="s">
        <v>1917</v>
      </c>
      <c r="F145" s="998"/>
      <c r="G145" s="997" t="e">
        <f>+VLOOKUP(Data_Validation!$A145,BV_Data_An_Cour!$L:$Q,6,0)</f>
        <v>#N/A</v>
      </c>
      <c r="H145" s="188"/>
      <c r="K145" s="164" t="str">
        <f>Print_Mois!V443</f>
        <v>Téléphone</v>
      </c>
    </row>
    <row r="146" spans="1:11" ht="15" customHeight="1">
      <c r="A146" s="1143">
        <v>1544</v>
      </c>
      <c r="B146" s="169" t="s">
        <v>2198</v>
      </c>
      <c r="C146" s="945" t="s">
        <v>1642</v>
      </c>
      <c r="D146" s="945" t="s">
        <v>40</v>
      </c>
      <c r="E146" s="997" t="s">
        <v>1917</v>
      </c>
      <c r="F146" s="998"/>
      <c r="G146" s="997" t="str">
        <f>+VLOOKUP(Data_Validation!$A146,BV_Data_An_Cour!$L:$Q,6,0)</f>
        <v>2-Actifs</v>
      </c>
      <c r="H146" s="188"/>
      <c r="K146" s="164" t="s">
        <v>39</v>
      </c>
    </row>
    <row r="147" spans="1:11" ht="15" customHeight="1">
      <c r="A147" s="1143">
        <v>1546</v>
      </c>
      <c r="B147" s="169" t="s">
        <v>2183</v>
      </c>
      <c r="C147" s="945" t="s">
        <v>1642</v>
      </c>
      <c r="D147" s="945" t="s">
        <v>40</v>
      </c>
      <c r="E147" s="997" t="s">
        <v>1917</v>
      </c>
      <c r="F147" s="998"/>
      <c r="G147" s="997" t="e">
        <f>+VLOOKUP(Data_Validation!$A147,BV_Data_An_Cour!$L:$Q,6,0)</f>
        <v>#N/A</v>
      </c>
      <c r="H147" s="188"/>
      <c r="K147" s="164" t="s">
        <v>128</v>
      </c>
    </row>
    <row r="148" spans="1:11" ht="15" customHeight="1">
      <c r="A148" s="1143">
        <v>1552</v>
      </c>
      <c r="B148" s="169" t="s">
        <v>2119</v>
      </c>
      <c r="C148" s="945" t="s">
        <v>1642</v>
      </c>
      <c r="D148" s="945" t="s">
        <v>43</v>
      </c>
      <c r="E148" s="997" t="s">
        <v>1917</v>
      </c>
      <c r="F148" s="998"/>
      <c r="G148" s="997" t="str">
        <f>+VLOOKUP(Data_Validation!$A148,BV_Data_An_Cour!$L:$Q,6,0)</f>
        <v>2-Actifs</v>
      </c>
      <c r="H148" s="188"/>
      <c r="K148" s="164" t="str">
        <f>Print_Mois!C99</f>
        <v>Ventes au Gros</v>
      </c>
    </row>
    <row r="149" spans="1:11" s="570" customFormat="1" ht="15" customHeight="1">
      <c r="A149" s="1143">
        <v>1553</v>
      </c>
      <c r="B149" s="169" t="s">
        <v>3107</v>
      </c>
      <c r="C149" s="945" t="s">
        <v>1642</v>
      </c>
      <c r="D149" s="945" t="s">
        <v>43</v>
      </c>
      <c r="E149" s="997" t="s">
        <v>1917</v>
      </c>
      <c r="F149" s="998"/>
      <c r="G149" s="997" t="str">
        <f>+VLOOKUP(Data_Validation!$A149,BV_Data_An_Cour!$L:$Q,6,0)</f>
        <v>2-Actifs</v>
      </c>
      <c r="H149" s="188"/>
      <c r="K149" s="164"/>
    </row>
    <row r="150" spans="1:11" ht="15" customHeight="1">
      <c r="A150" s="1143">
        <v>1582</v>
      </c>
      <c r="B150" s="169" t="s">
        <v>2113</v>
      </c>
      <c r="C150" s="945" t="s">
        <v>1642</v>
      </c>
      <c r="D150" s="945" t="s">
        <v>43</v>
      </c>
      <c r="E150" s="997" t="s">
        <v>1917</v>
      </c>
      <c r="F150" s="998"/>
      <c r="G150" s="997" t="str">
        <f>+VLOOKUP(Data_Validation!$A150,BV_Data_An_Cour!$L:$Q,6,0)</f>
        <v>2-Actifs</v>
      </c>
      <c r="H150" s="188"/>
      <c r="K150" s="164" t="str">
        <f>Print_Mois!C299</f>
        <v>Ventes de Gros</v>
      </c>
    </row>
    <row r="151" spans="1:11" ht="15" customHeight="1">
      <c r="A151" s="1143">
        <v>1584</v>
      </c>
      <c r="B151" s="169" t="s">
        <v>2139</v>
      </c>
      <c r="C151" s="945" t="s">
        <v>1642</v>
      </c>
      <c r="D151" s="945" t="s">
        <v>43</v>
      </c>
      <c r="E151" s="997" t="s">
        <v>1917</v>
      </c>
      <c r="F151" s="998"/>
      <c r="G151" s="997" t="e">
        <f>+VLOOKUP(Data_Validation!$A151,BV_Data_An_Cour!$L:$Q,6,0)</f>
        <v>#N/A</v>
      </c>
      <c r="H151" s="188"/>
      <c r="K151" s="164" t="s">
        <v>181</v>
      </c>
    </row>
    <row r="152" spans="1:11" ht="15" customHeight="1">
      <c r="A152" s="1143">
        <v>1586</v>
      </c>
      <c r="B152" s="169" t="s">
        <v>2174</v>
      </c>
      <c r="C152" s="945" t="s">
        <v>1642</v>
      </c>
      <c r="D152" s="945" t="s">
        <v>43</v>
      </c>
      <c r="E152" s="997" t="s">
        <v>1917</v>
      </c>
      <c r="F152" s="998"/>
      <c r="G152" s="997" t="str">
        <f>+VLOOKUP(Data_Validation!$A152,BV_Data_An_Cour!$L:$Q,6,0)</f>
        <v>2-Actifs</v>
      </c>
      <c r="H152" s="188"/>
      <c r="K152" s="164" t="str">
        <f>Print_Mois!C297</f>
        <v>Ventes Internes</v>
      </c>
    </row>
    <row r="153" spans="1:11" s="570" customFormat="1" ht="15" customHeight="1">
      <c r="A153" s="168">
        <v>1591</v>
      </c>
      <c r="B153" s="169" t="s">
        <v>2976</v>
      </c>
      <c r="C153" s="945" t="s">
        <v>1642</v>
      </c>
      <c r="D153" s="945" t="s">
        <v>43</v>
      </c>
      <c r="E153" s="997" t="s">
        <v>1917</v>
      </c>
      <c r="F153" s="998"/>
      <c r="G153" s="997" t="s">
        <v>293</v>
      </c>
      <c r="H153" s="188"/>
      <c r="K153" s="164"/>
    </row>
    <row r="154" spans="1:11" ht="15" customHeight="1">
      <c r="A154" s="1143">
        <v>1592</v>
      </c>
      <c r="B154" s="169" t="s">
        <v>2798</v>
      </c>
      <c r="C154" s="945" t="s">
        <v>1642</v>
      </c>
      <c r="D154" s="945" t="s">
        <v>43</v>
      </c>
      <c r="E154" s="997" t="s">
        <v>1917</v>
      </c>
      <c r="F154" s="998"/>
      <c r="G154" s="997" t="str">
        <f>+VLOOKUP(Data_Validation!$A154,BV_Data_An_Cour!$L:$Q,6,0)</f>
        <v>2-Actifs</v>
      </c>
      <c r="H154" s="188"/>
      <c r="K154" s="164" t="str">
        <f>Print_Mois!C306</f>
        <v>Ventes Pneus</v>
      </c>
    </row>
    <row r="155" spans="1:11" ht="15" customHeight="1">
      <c r="A155" s="1143">
        <v>1593</v>
      </c>
      <c r="B155" s="169" t="s">
        <v>478</v>
      </c>
      <c r="C155" s="945" t="s">
        <v>1642</v>
      </c>
      <c r="D155" s="945" t="s">
        <v>43</v>
      </c>
      <c r="E155" s="997" t="s">
        <v>1917</v>
      </c>
      <c r="F155" s="998"/>
      <c r="G155" s="997" t="e">
        <f>+VLOOKUP(Data_Validation!$A155,BV_Data_An_Cour!$L:$Q,6,0)</f>
        <v>#N/A</v>
      </c>
      <c r="H155" s="188"/>
    </row>
    <row r="156" spans="1:11" ht="15" customHeight="1">
      <c r="A156" s="1143">
        <v>1594</v>
      </c>
      <c r="B156" s="169" t="s">
        <v>2571</v>
      </c>
      <c r="C156" s="945" t="s">
        <v>1642</v>
      </c>
      <c r="D156" s="945" t="s">
        <v>43</v>
      </c>
      <c r="E156" s="997" t="s">
        <v>1917</v>
      </c>
      <c r="F156" s="998"/>
      <c r="G156" s="997" t="e">
        <f>+VLOOKUP(Data_Validation!$A156,BV_Data_An_Cour!$L:$Q,6,0)</f>
        <v>#N/A</v>
      </c>
      <c r="H156" s="188"/>
    </row>
    <row r="157" spans="1:11" ht="15" customHeight="1">
      <c r="A157" s="1143">
        <v>1595</v>
      </c>
      <c r="B157" s="169" t="s">
        <v>2569</v>
      </c>
      <c r="C157" s="945" t="s">
        <v>1642</v>
      </c>
      <c r="D157" s="945" t="s">
        <v>43</v>
      </c>
      <c r="E157" s="997" t="s">
        <v>1917</v>
      </c>
      <c r="F157" s="998"/>
      <c r="G157" s="997" t="e">
        <f>+VLOOKUP(Data_Validation!$A157,BV_Data_An_Cour!$L:$Q,6,0)</f>
        <v>#N/A</v>
      </c>
      <c r="H157" s="188"/>
    </row>
    <row r="158" spans="1:11" ht="15" customHeight="1">
      <c r="A158" s="1143">
        <v>1732</v>
      </c>
      <c r="B158" s="169" t="s">
        <v>2395</v>
      </c>
      <c r="C158" s="945" t="s">
        <v>1642</v>
      </c>
      <c r="D158" s="945" t="s">
        <v>53</v>
      </c>
      <c r="E158" s="997" t="s">
        <v>1917</v>
      </c>
      <c r="F158" s="998"/>
      <c r="G158" s="997" t="str">
        <f>+VLOOKUP(Data_Validation!$A158,BV_Data_An_Cour!$L:$Q,6,0)</f>
        <v>2-Actifs</v>
      </c>
      <c r="H158" s="188"/>
    </row>
    <row r="159" spans="1:11" ht="15" customHeight="1">
      <c r="A159" s="1143">
        <v>1733</v>
      </c>
      <c r="B159" s="169" t="s">
        <v>2153</v>
      </c>
      <c r="C159" s="945" t="s">
        <v>1642</v>
      </c>
      <c r="D159" s="945" t="s">
        <v>53</v>
      </c>
      <c r="E159" s="997" t="s">
        <v>1917</v>
      </c>
      <c r="F159" s="998"/>
      <c r="G159" s="997" t="str">
        <f>+VLOOKUP(Data_Validation!$A159,BV_Data_An_Cour!$L:$Q,6,0)</f>
        <v>2-Actifs</v>
      </c>
      <c r="H159" s="188"/>
    </row>
    <row r="160" spans="1:11" ht="15" customHeight="1">
      <c r="A160" s="1143">
        <v>1742</v>
      </c>
      <c r="B160" s="169" t="s">
        <v>2397</v>
      </c>
      <c r="C160" s="945" t="s">
        <v>1642</v>
      </c>
      <c r="D160" s="945" t="s">
        <v>57</v>
      </c>
      <c r="E160" s="997" t="s">
        <v>1917</v>
      </c>
      <c r="F160" s="998"/>
      <c r="G160" s="997" t="str">
        <f>+VLOOKUP(Data_Validation!$A160,BV_Data_An_Cour!$L:$Q,6,0)</f>
        <v>2-Actifs</v>
      </c>
      <c r="H160" s="188"/>
    </row>
    <row r="161" spans="1:11" ht="15" customHeight="1">
      <c r="A161" s="1143">
        <v>1743</v>
      </c>
      <c r="B161" s="169" t="s">
        <v>2123</v>
      </c>
      <c r="C161" s="945" t="s">
        <v>1642</v>
      </c>
      <c r="D161" s="945" t="s">
        <v>57</v>
      </c>
      <c r="E161" s="997" t="s">
        <v>1917</v>
      </c>
      <c r="F161" s="998"/>
      <c r="G161" s="997" t="str">
        <f>+VLOOKUP(Data_Validation!$A161,BV_Data_An_Cour!$L:$Q,6,0)</f>
        <v>2-Actifs</v>
      </c>
      <c r="H161" s="165"/>
    </row>
    <row r="162" spans="1:11" ht="15" customHeight="1">
      <c r="A162" s="1143">
        <v>1744</v>
      </c>
      <c r="B162" s="169" t="s">
        <v>2399</v>
      </c>
      <c r="C162" s="945" t="s">
        <v>1642</v>
      </c>
      <c r="D162" s="945" t="s">
        <v>57</v>
      </c>
      <c r="E162" s="997" t="s">
        <v>1917</v>
      </c>
      <c r="F162" s="998"/>
      <c r="G162" s="997" t="str">
        <f>+VLOOKUP(Data_Validation!$A162,BV_Data_An_Cour!$L:$Q,6,0)</f>
        <v>2-Actifs</v>
      </c>
      <c r="H162" s="165"/>
    </row>
    <row r="163" spans="1:11" ht="15" customHeight="1">
      <c r="A163" s="1143">
        <v>1745</v>
      </c>
      <c r="B163" s="169" t="s">
        <v>2194</v>
      </c>
      <c r="C163" s="945" t="s">
        <v>1642</v>
      </c>
      <c r="D163" s="945" t="s">
        <v>57</v>
      </c>
      <c r="E163" s="997" t="s">
        <v>1917</v>
      </c>
      <c r="F163" s="998"/>
      <c r="G163" s="997" t="str">
        <f>+VLOOKUP(Data_Validation!$A163,BV_Data_An_Cour!$L:$Q,6,0)</f>
        <v>2-Actifs</v>
      </c>
      <c r="H163" s="165"/>
    </row>
    <row r="164" spans="1:11" ht="15" customHeight="1">
      <c r="A164" s="1143">
        <v>1760</v>
      </c>
      <c r="B164" s="169" t="s">
        <v>2401</v>
      </c>
      <c r="C164" s="945" t="s">
        <v>1642</v>
      </c>
      <c r="D164" s="945" t="s">
        <v>60</v>
      </c>
      <c r="E164" s="997" t="s">
        <v>1917</v>
      </c>
      <c r="F164" s="998"/>
      <c r="G164" s="997" t="e">
        <f>+VLOOKUP(Data_Validation!$A164,BV_Data_An_Cour!$L:$Q,6,0)</f>
        <v>#N/A</v>
      </c>
      <c r="H164" s="165"/>
    </row>
    <row r="165" spans="1:11" ht="15" customHeight="1">
      <c r="A165" s="1143">
        <v>1761</v>
      </c>
      <c r="B165" s="169" t="s">
        <v>2565</v>
      </c>
      <c r="C165" s="945" t="s">
        <v>1642</v>
      </c>
      <c r="D165" s="945" t="s">
        <v>60</v>
      </c>
      <c r="E165" s="997" t="s">
        <v>1917</v>
      </c>
      <c r="F165" s="998"/>
      <c r="G165" s="997" t="e">
        <f>+VLOOKUP(Data_Validation!$A165,BV_Data_An_Cour!$L:$Q,6,0)</f>
        <v>#N/A</v>
      </c>
      <c r="H165" s="165"/>
    </row>
    <row r="166" spans="1:11" ht="15" customHeight="1">
      <c r="A166" s="1143">
        <v>1762</v>
      </c>
      <c r="B166" s="169" t="s">
        <v>2403</v>
      </c>
      <c r="C166" s="945" t="s">
        <v>1642</v>
      </c>
      <c r="D166" s="945" t="s">
        <v>58</v>
      </c>
      <c r="E166" s="997" t="s">
        <v>1917</v>
      </c>
      <c r="F166" s="998"/>
      <c r="G166" s="997" t="str">
        <f>+VLOOKUP(Data_Validation!$A166,BV_Data_An_Cour!$L:$Q,6,0)</f>
        <v>2-Actifs</v>
      </c>
      <c r="H166" s="165"/>
    </row>
    <row r="167" spans="1:11" ht="15" customHeight="1">
      <c r="A167" s="1143">
        <v>1763</v>
      </c>
      <c r="B167" s="169" t="s">
        <v>2160</v>
      </c>
      <c r="C167" s="945" t="s">
        <v>1642</v>
      </c>
      <c r="D167" s="945" t="s">
        <v>58</v>
      </c>
      <c r="E167" s="997" t="s">
        <v>1917</v>
      </c>
      <c r="F167" s="998"/>
      <c r="G167" s="997" t="str">
        <f>+VLOOKUP(Data_Validation!$A167,BV_Data_An_Cour!$L:$Q,6,0)</f>
        <v>2-Actifs</v>
      </c>
      <c r="H167" s="165"/>
    </row>
    <row r="168" spans="1:11" ht="15" customHeight="1">
      <c r="A168" s="1143">
        <v>1772</v>
      </c>
      <c r="B168" s="169" t="s">
        <v>2405</v>
      </c>
      <c r="C168" s="945" t="s">
        <v>1642</v>
      </c>
      <c r="D168" s="945" t="s">
        <v>57</v>
      </c>
      <c r="E168" s="997" t="s">
        <v>1917</v>
      </c>
      <c r="F168" s="998"/>
      <c r="G168" s="997" t="str">
        <f>+VLOOKUP(Data_Validation!$A168,BV_Data_An_Cour!$L:$Q,6,0)</f>
        <v>2-Actifs</v>
      </c>
      <c r="H168" s="165"/>
    </row>
    <row r="169" spans="1:11" ht="15" customHeight="1">
      <c r="A169" s="1143">
        <v>1773</v>
      </c>
      <c r="B169" s="169" t="s">
        <v>2407</v>
      </c>
      <c r="C169" s="945" t="s">
        <v>1642</v>
      </c>
      <c r="D169" s="945" t="s">
        <v>57</v>
      </c>
      <c r="E169" s="997" t="s">
        <v>1917</v>
      </c>
      <c r="F169" s="998"/>
      <c r="G169" s="997" t="str">
        <f>+VLOOKUP(Data_Validation!$A169,BV_Data_An_Cour!$L:$Q,6,0)</f>
        <v>2-Actifs</v>
      </c>
      <c r="H169" s="165"/>
    </row>
    <row r="170" spans="1:11" ht="15" customHeight="1">
      <c r="A170" s="1143">
        <v>1786</v>
      </c>
      <c r="B170" s="169" t="s">
        <v>2563</v>
      </c>
      <c r="C170" s="945" t="s">
        <v>1642</v>
      </c>
      <c r="D170" s="945" t="s">
        <v>59</v>
      </c>
      <c r="E170" s="997" t="s">
        <v>1917</v>
      </c>
      <c r="F170" s="998"/>
      <c r="G170" s="997" t="str">
        <f>+VLOOKUP(Data_Validation!$A170,BV_Data_An_Cour!$L:$Q,6,0)</f>
        <v>2-Actifs</v>
      </c>
      <c r="H170" s="165"/>
    </row>
    <row r="171" spans="1:11" ht="15" customHeight="1">
      <c r="A171" s="1143">
        <v>1787</v>
      </c>
      <c r="B171" s="169" t="s">
        <v>2151</v>
      </c>
      <c r="C171" s="945" t="s">
        <v>1642</v>
      </c>
      <c r="D171" s="945" t="s">
        <v>59</v>
      </c>
      <c r="E171" s="997" t="s">
        <v>1917</v>
      </c>
      <c r="F171" s="998"/>
      <c r="G171" s="997" t="str">
        <f>+VLOOKUP(Data_Validation!$A171,BV_Data_An_Cour!$L:$Q,6,0)</f>
        <v>2-Actifs</v>
      </c>
      <c r="H171" s="165"/>
    </row>
    <row r="172" spans="1:11" ht="15" customHeight="1">
      <c r="A172" s="1143">
        <v>1792</v>
      </c>
      <c r="B172" s="169" t="s">
        <v>822</v>
      </c>
      <c r="C172" s="945" t="s">
        <v>1642</v>
      </c>
      <c r="D172" s="945" t="s">
        <v>62</v>
      </c>
      <c r="E172" s="997" t="s">
        <v>1917</v>
      </c>
      <c r="F172" s="998"/>
      <c r="G172" s="997" t="str">
        <f>+VLOOKUP(Data_Validation!$A172,BV_Data_An_Cour!$L:$Q,6,0)</f>
        <v>2-Actifs</v>
      </c>
      <c r="H172" s="165"/>
    </row>
    <row r="173" spans="1:11" ht="15" customHeight="1">
      <c r="A173" s="1143">
        <v>1793</v>
      </c>
      <c r="B173" s="169" t="s">
        <v>2192</v>
      </c>
      <c r="C173" s="945" t="s">
        <v>1642</v>
      </c>
      <c r="D173" s="945" t="s">
        <v>62</v>
      </c>
      <c r="E173" s="997" t="s">
        <v>1917</v>
      </c>
      <c r="F173" s="998"/>
      <c r="G173" s="997" t="str">
        <f>+VLOOKUP(Data_Validation!$A173,BV_Data_An_Cour!$L:$Q,6,0)</f>
        <v>2-Actifs</v>
      </c>
      <c r="H173" s="165"/>
      <c r="K173" s="2"/>
    </row>
    <row r="174" spans="1:11" ht="15" customHeight="1">
      <c r="A174" s="1143">
        <v>1804</v>
      </c>
      <c r="B174" s="169" t="s">
        <v>2410</v>
      </c>
      <c r="C174" s="945" t="s">
        <v>1642</v>
      </c>
      <c r="D174" s="945" t="s">
        <v>65</v>
      </c>
      <c r="E174" s="997" t="s">
        <v>1917</v>
      </c>
      <c r="F174" s="998"/>
      <c r="G174" s="997" t="str">
        <f>+VLOOKUP(Data_Validation!$A174,BV_Data_An_Cour!$L:$Q,6,0)</f>
        <v>2-Actifs</v>
      </c>
      <c r="H174" s="165"/>
    </row>
    <row r="175" spans="1:11" ht="15" customHeight="1">
      <c r="A175" s="1143">
        <v>1806</v>
      </c>
      <c r="B175" s="169" t="s">
        <v>2747</v>
      </c>
      <c r="C175" s="945" t="s">
        <v>1642</v>
      </c>
      <c r="D175" s="945" t="s">
        <v>25</v>
      </c>
      <c r="E175" s="997" t="s">
        <v>1917</v>
      </c>
      <c r="F175" s="998"/>
      <c r="G175" s="997" t="str">
        <f>+VLOOKUP(Data_Validation!$A175,BV_Data_An_Cour!$L:$Q,6,0)</f>
        <v>2-Actifs</v>
      </c>
      <c r="H175" s="165"/>
    </row>
    <row r="176" spans="1:11" ht="15" customHeight="1">
      <c r="A176" s="1143">
        <v>2101</v>
      </c>
      <c r="B176" s="169" t="s">
        <v>2841</v>
      </c>
      <c r="C176" s="945" t="s">
        <v>1642</v>
      </c>
      <c r="D176" s="945" t="s">
        <v>30</v>
      </c>
      <c r="E176" s="997" t="s">
        <v>1917</v>
      </c>
      <c r="F176" s="998"/>
      <c r="G176" s="997" t="str">
        <f>+VLOOKUP(Data_Validation!$A176,BV_Data_An_Cour!$L:$Q,6,0)</f>
        <v>3-Passifs</v>
      </c>
      <c r="H176" s="165"/>
    </row>
    <row r="177" spans="1:8" ht="15" customHeight="1">
      <c r="A177" s="1143">
        <v>2103</v>
      </c>
      <c r="B177" s="169" t="s">
        <v>2033</v>
      </c>
      <c r="C177" s="945" t="s">
        <v>1642</v>
      </c>
      <c r="D177" s="945" t="s">
        <v>32</v>
      </c>
      <c r="E177" s="997" t="s">
        <v>1917</v>
      </c>
      <c r="F177" s="998"/>
      <c r="G177" s="997" t="str">
        <f>+VLOOKUP(Data_Validation!$A177,BV_Data_An_Cour!$L:$Q,6,0)</f>
        <v>3-Passifs</v>
      </c>
      <c r="H177" s="165"/>
    </row>
    <row r="178" spans="1:8" ht="15" customHeight="1">
      <c r="A178" s="1143">
        <v>2131</v>
      </c>
      <c r="B178" s="169" t="s">
        <v>2412</v>
      </c>
      <c r="C178" s="945" t="s">
        <v>1642</v>
      </c>
      <c r="D178" s="945" t="s">
        <v>11</v>
      </c>
      <c r="E178" s="997" t="s">
        <v>1917</v>
      </c>
      <c r="F178" s="998"/>
      <c r="G178" s="997" t="str">
        <f>+VLOOKUP(Data_Validation!$A178,BV_Data_An_Cour!$L:$Q,6,0)</f>
        <v>3-Passifs</v>
      </c>
      <c r="H178" s="165"/>
    </row>
    <row r="179" spans="1:8" ht="15" customHeight="1">
      <c r="A179" s="1153">
        <v>2220</v>
      </c>
      <c r="B179" s="169" t="s">
        <v>2200</v>
      </c>
      <c r="C179" s="945" t="s">
        <v>1642</v>
      </c>
      <c r="D179" s="945" t="s">
        <v>18</v>
      </c>
      <c r="E179" s="997" t="s">
        <v>1917</v>
      </c>
      <c r="F179" s="997"/>
      <c r="G179" s="997" t="str">
        <f>+VLOOKUP(Data_Validation!$A179,BV_Data_An_Cour!$L:$Q,6,0)</f>
        <v>3-Passifs</v>
      </c>
      <c r="H179" s="165"/>
    </row>
    <row r="180" spans="1:8" ht="15" customHeight="1">
      <c r="A180" s="1153">
        <v>2221</v>
      </c>
      <c r="B180" s="169" t="s">
        <v>2053</v>
      </c>
      <c r="C180" s="945" t="s">
        <v>1642</v>
      </c>
      <c r="D180" s="945" t="s">
        <v>18</v>
      </c>
      <c r="E180" s="997" t="s">
        <v>1917</v>
      </c>
      <c r="F180" s="997"/>
      <c r="G180" s="997" t="str">
        <f>+VLOOKUP(Data_Validation!$A180,BV_Data_An_Cour!$L:$Q,6,0)</f>
        <v>3-Passifs</v>
      </c>
      <c r="H180" s="165"/>
    </row>
    <row r="181" spans="1:8" ht="15" customHeight="1">
      <c r="A181" s="1153">
        <v>2222</v>
      </c>
      <c r="B181" s="169" t="s">
        <v>2791</v>
      </c>
      <c r="C181" s="945" t="s">
        <v>1642</v>
      </c>
      <c r="D181" s="945" t="s">
        <v>18</v>
      </c>
      <c r="E181" s="997" t="s">
        <v>1917</v>
      </c>
      <c r="F181" s="997"/>
      <c r="G181" s="997" t="str">
        <f>+VLOOKUP(Data_Validation!$A181,BV_Data_An_Cour!$L:$Q,6,0)</f>
        <v>3-Passifs</v>
      </c>
      <c r="H181" s="165"/>
    </row>
    <row r="182" spans="1:8" ht="15" customHeight="1">
      <c r="A182" s="1153">
        <v>2223</v>
      </c>
      <c r="B182" s="169" t="s">
        <v>2808</v>
      </c>
      <c r="C182" s="945" t="s">
        <v>1642</v>
      </c>
      <c r="D182" s="945" t="s">
        <v>18</v>
      </c>
      <c r="E182" s="997" t="s">
        <v>1917</v>
      </c>
      <c r="F182" s="997"/>
      <c r="G182" s="997" t="str">
        <f>+VLOOKUP(Data_Validation!$A182,BV_Data_An_Cour!$L:$Q,6,0)</f>
        <v>3-Passifs</v>
      </c>
      <c r="H182" s="165"/>
    </row>
    <row r="183" spans="1:8" ht="15" customHeight="1">
      <c r="A183" s="1153">
        <v>2224</v>
      </c>
      <c r="B183" s="169" t="s">
        <v>2061</v>
      </c>
      <c r="C183" s="945" t="s">
        <v>1642</v>
      </c>
      <c r="D183" s="945" t="s">
        <v>18</v>
      </c>
      <c r="E183" s="997" t="s">
        <v>1917</v>
      </c>
      <c r="F183" s="997"/>
      <c r="G183" s="997" t="str">
        <f>+VLOOKUP(Data_Validation!$A183,BV_Data_An_Cour!$L:$Q,6,0)</f>
        <v>3-Passifs</v>
      </c>
      <c r="H183" s="165"/>
    </row>
    <row r="184" spans="1:8" ht="15" customHeight="1">
      <c r="A184" s="1153">
        <v>2225</v>
      </c>
      <c r="B184" s="169" t="s">
        <v>2611</v>
      </c>
      <c r="C184" s="945" t="s">
        <v>1642</v>
      </c>
      <c r="D184" s="945" t="s">
        <v>18</v>
      </c>
      <c r="E184" s="997" t="s">
        <v>1917</v>
      </c>
      <c r="F184" s="997"/>
      <c r="G184" s="997" t="str">
        <f>+VLOOKUP(Data_Validation!$A184,BV_Data_An_Cour!$L:$Q,6,0)</f>
        <v>3-Passifs</v>
      </c>
      <c r="H184" s="165"/>
    </row>
    <row r="185" spans="1:8" ht="15" customHeight="1">
      <c r="A185" s="1153">
        <v>2281</v>
      </c>
      <c r="B185" s="169" t="s">
        <v>2813</v>
      </c>
      <c r="C185" s="945" t="s">
        <v>1642</v>
      </c>
      <c r="D185" s="945" t="s">
        <v>26</v>
      </c>
      <c r="E185" s="997" t="s">
        <v>1917</v>
      </c>
      <c r="F185" s="997"/>
      <c r="G185" s="997" t="str">
        <f>+VLOOKUP(Data_Validation!$A185,BV_Data_An_Cour!$L:$Q,6,0)</f>
        <v>3-Passifs</v>
      </c>
      <c r="H185" s="165"/>
    </row>
    <row r="186" spans="1:8" ht="15" customHeight="1">
      <c r="A186" s="1153">
        <v>2283</v>
      </c>
      <c r="B186" s="169" t="s">
        <v>2170</v>
      </c>
      <c r="C186" s="945" t="s">
        <v>1642</v>
      </c>
      <c r="D186" s="945" t="s">
        <v>26</v>
      </c>
      <c r="E186" s="997" t="s">
        <v>1917</v>
      </c>
      <c r="F186" s="997"/>
      <c r="G186" s="997" t="str">
        <f>+VLOOKUP(Data_Validation!$A186,BV_Data_An_Cour!$L:$Q,6,0)</f>
        <v>3-Passifs</v>
      </c>
      <c r="H186" s="165"/>
    </row>
    <row r="187" spans="1:8" ht="15" customHeight="1">
      <c r="A187" s="1143">
        <v>2285</v>
      </c>
      <c r="B187" s="169" t="s">
        <v>2767</v>
      </c>
      <c r="C187" s="945" t="s">
        <v>1642</v>
      </c>
      <c r="D187" s="945" t="s">
        <v>26</v>
      </c>
      <c r="E187" s="997" t="s">
        <v>1917</v>
      </c>
      <c r="F187" s="998"/>
      <c r="G187" s="997" t="str">
        <f>+VLOOKUP(Data_Validation!$A187,BV_Data_An_Cour!$L:$Q,6,0)</f>
        <v>3-Passifs</v>
      </c>
      <c r="H187" s="165"/>
    </row>
    <row r="188" spans="1:8" ht="15" customHeight="1">
      <c r="A188" s="1143">
        <v>2287</v>
      </c>
      <c r="B188" s="169" t="s">
        <v>2741</v>
      </c>
      <c r="C188" s="945" t="s">
        <v>1642</v>
      </c>
      <c r="D188" s="945" t="s">
        <v>26</v>
      </c>
      <c r="E188" s="997" t="s">
        <v>1917</v>
      </c>
      <c r="F188" s="998"/>
      <c r="G188" s="997" t="str">
        <f>+VLOOKUP(Data_Validation!$A188,BV_Data_An_Cour!$L:$Q,6,0)</f>
        <v>3-Passifs</v>
      </c>
      <c r="H188" s="165"/>
    </row>
    <row r="189" spans="1:8" ht="15" customHeight="1">
      <c r="A189" s="1143">
        <v>2291</v>
      </c>
      <c r="B189" s="169" t="s">
        <v>2006</v>
      </c>
      <c r="C189" s="945" t="s">
        <v>1642</v>
      </c>
      <c r="D189" s="945" t="s">
        <v>16</v>
      </c>
      <c r="E189" s="997" t="s">
        <v>1917</v>
      </c>
      <c r="F189" s="998"/>
      <c r="G189" s="997" t="str">
        <f>+VLOOKUP(Data_Validation!$A189,BV_Data_An_Cour!$L:$Q,6,0)</f>
        <v>3-Passifs</v>
      </c>
      <c r="H189" s="165"/>
    </row>
    <row r="190" spans="1:8" ht="15" customHeight="1">
      <c r="A190" s="1143">
        <v>2292</v>
      </c>
      <c r="B190" s="169" t="s">
        <v>2046</v>
      </c>
      <c r="C190" s="945" t="s">
        <v>1642</v>
      </c>
      <c r="D190" s="945" t="s">
        <v>26</v>
      </c>
      <c r="E190" s="997" t="s">
        <v>1917</v>
      </c>
      <c r="F190" s="998"/>
      <c r="G190" s="997" t="str">
        <f>+VLOOKUP(Data_Validation!$A190,BV_Data_An_Cour!$L:$Q,6,0)</f>
        <v>3-Passifs</v>
      </c>
      <c r="H190" s="165"/>
    </row>
    <row r="191" spans="1:8" ht="15" customHeight="1">
      <c r="A191" s="1143">
        <v>2293</v>
      </c>
      <c r="B191" s="169" t="s">
        <v>2129</v>
      </c>
      <c r="C191" s="945" t="s">
        <v>1642</v>
      </c>
      <c r="D191" s="945" t="s">
        <v>40</v>
      </c>
      <c r="E191" s="997" t="s">
        <v>1917</v>
      </c>
      <c r="F191" s="998"/>
      <c r="G191" s="997" t="e">
        <f>+VLOOKUP(Data_Validation!$A191,BV_Data_An_Cour!$L:$Q,6,0)</f>
        <v>#N/A</v>
      </c>
      <c r="H191" s="165"/>
    </row>
    <row r="192" spans="1:8" ht="15" customHeight="1">
      <c r="A192" s="1143">
        <v>2295</v>
      </c>
      <c r="B192" s="169" t="s">
        <v>2414</v>
      </c>
      <c r="C192" s="945" t="s">
        <v>1642</v>
      </c>
      <c r="D192" s="945" t="s">
        <v>40</v>
      </c>
      <c r="E192" s="997" t="s">
        <v>1917</v>
      </c>
      <c r="F192" s="998"/>
      <c r="G192" s="997" t="e">
        <f>+VLOOKUP(Data_Validation!$A192,BV_Data_An_Cour!$L:$Q,6,0)</f>
        <v>#N/A</v>
      </c>
      <c r="H192" s="165"/>
    </row>
    <row r="193" spans="1:8" s="570" customFormat="1" ht="15" customHeight="1">
      <c r="A193" s="168">
        <v>2296</v>
      </c>
      <c r="B193" s="169" t="s">
        <v>2975</v>
      </c>
      <c r="C193" s="945" t="s">
        <v>1642</v>
      </c>
      <c r="D193" s="945" t="s">
        <v>24</v>
      </c>
      <c r="E193" s="997" t="s">
        <v>1917</v>
      </c>
      <c r="F193" s="998"/>
      <c r="G193" s="997" t="s">
        <v>282</v>
      </c>
      <c r="H193" s="165"/>
    </row>
    <row r="194" spans="1:8" ht="15" customHeight="1">
      <c r="A194" s="1143">
        <v>2297</v>
      </c>
      <c r="B194" s="169" t="s">
        <v>2143</v>
      </c>
      <c r="C194" s="945" t="s">
        <v>1642</v>
      </c>
      <c r="D194" s="945" t="s">
        <v>40</v>
      </c>
      <c r="E194" s="997" t="s">
        <v>1917</v>
      </c>
      <c r="F194" s="998"/>
      <c r="G194" s="997" t="str">
        <f>+VLOOKUP(Data_Validation!$A194,BV_Data_An_Cour!$L:$Q,6,0)</f>
        <v>3-Passifs</v>
      </c>
      <c r="H194" s="165"/>
    </row>
    <row r="195" spans="1:8" ht="15" customHeight="1">
      <c r="A195" s="1143">
        <v>2315</v>
      </c>
      <c r="B195" s="169" t="s">
        <v>2705</v>
      </c>
      <c r="C195" s="945" t="s">
        <v>1642</v>
      </c>
      <c r="D195" s="945" t="s">
        <v>38</v>
      </c>
      <c r="E195" s="997" t="s">
        <v>1917</v>
      </c>
      <c r="F195" s="998"/>
      <c r="G195" s="997" t="str">
        <f>+VLOOKUP(Data_Validation!$A195,BV_Data_An_Cour!$L:$Q,6,0)</f>
        <v>3-Passifs</v>
      </c>
      <c r="H195" s="165"/>
    </row>
    <row r="196" spans="1:8" ht="15" customHeight="1">
      <c r="A196" s="1143">
        <v>2335</v>
      </c>
      <c r="B196" s="169" t="s">
        <v>2157</v>
      </c>
      <c r="C196" s="945" t="s">
        <v>1642</v>
      </c>
      <c r="D196" s="945" t="s">
        <v>38</v>
      </c>
      <c r="E196" s="997" t="s">
        <v>1917</v>
      </c>
      <c r="F196" s="998"/>
      <c r="G196" s="997" t="str">
        <f>+VLOOKUP(Data_Validation!$A196,BV_Data_An_Cour!$L:$Q,6,0)</f>
        <v>3-Passifs</v>
      </c>
      <c r="H196" s="165"/>
    </row>
    <row r="197" spans="1:8" ht="15" customHeight="1">
      <c r="A197" s="1143">
        <v>2342</v>
      </c>
      <c r="B197" s="169" t="s">
        <v>2744</v>
      </c>
      <c r="C197" s="945" t="s">
        <v>1642</v>
      </c>
      <c r="D197" s="945" t="s">
        <v>38</v>
      </c>
      <c r="E197" s="997" t="s">
        <v>1917</v>
      </c>
      <c r="F197" s="998"/>
      <c r="G197" s="997" t="str">
        <f>+VLOOKUP(Data_Validation!$A197,BV_Data_An_Cour!$L:$Q,6,0)</f>
        <v>3-Passifs</v>
      </c>
      <c r="H197" s="165"/>
    </row>
    <row r="198" spans="1:8" ht="15" customHeight="1">
      <c r="A198" s="1143">
        <v>2343</v>
      </c>
      <c r="B198" s="169" t="s">
        <v>2577</v>
      </c>
      <c r="C198" s="945" t="s">
        <v>1642</v>
      </c>
      <c r="D198" s="945" t="s">
        <v>38</v>
      </c>
      <c r="E198" s="997" t="s">
        <v>1917</v>
      </c>
      <c r="F198" s="998"/>
      <c r="G198" s="997" t="str">
        <f>+VLOOKUP(Data_Validation!$A198,BV_Data_An_Cour!$L:$Q,6,0)</f>
        <v>3-Passifs</v>
      </c>
      <c r="H198" s="165"/>
    </row>
    <row r="199" spans="1:8" ht="15" customHeight="1">
      <c r="A199" s="1143">
        <v>2344</v>
      </c>
      <c r="B199" s="169" t="s">
        <v>536</v>
      </c>
      <c r="C199" s="945" t="s">
        <v>1642</v>
      </c>
      <c r="D199" s="945" t="s">
        <v>38</v>
      </c>
      <c r="E199" s="997" t="s">
        <v>1917</v>
      </c>
      <c r="F199" s="998"/>
      <c r="G199" s="997" t="str">
        <f>+VLOOKUP(Data_Validation!$A199,BV_Data_An_Cour!$L:$Q,6,0)</f>
        <v>3-Passifs</v>
      </c>
      <c r="H199" s="165"/>
    </row>
    <row r="200" spans="1:8" ht="15" customHeight="1">
      <c r="A200" s="1143">
        <v>2401</v>
      </c>
      <c r="B200" s="169" t="s">
        <v>2190</v>
      </c>
      <c r="C200" s="945" t="s">
        <v>1642</v>
      </c>
      <c r="D200" s="945" t="s">
        <v>22</v>
      </c>
      <c r="E200" s="997" t="s">
        <v>1917</v>
      </c>
      <c r="F200" s="998"/>
      <c r="G200" s="997" t="str">
        <f>+VLOOKUP(Data_Validation!$A200,BV_Data_An_Cour!$L:$Q,6,0)</f>
        <v>3-Passifs</v>
      </c>
      <c r="H200" s="165"/>
    </row>
    <row r="201" spans="1:8" ht="15" customHeight="1">
      <c r="A201" s="1143">
        <v>2501</v>
      </c>
      <c r="B201" s="169" t="s">
        <v>2595</v>
      </c>
      <c r="C201" s="945" t="s">
        <v>1642</v>
      </c>
      <c r="D201" s="945" t="s">
        <v>36</v>
      </c>
      <c r="E201" s="997" t="s">
        <v>1917</v>
      </c>
      <c r="F201" s="998"/>
      <c r="G201" s="997" t="str">
        <f>+VLOOKUP(Data_Validation!$A201,BV_Data_An_Cour!$L:$Q,6,0)</f>
        <v>3-Passifs</v>
      </c>
      <c r="H201" s="165"/>
    </row>
    <row r="202" spans="1:8" s="570" customFormat="1" ht="15" customHeight="1">
      <c r="A202" s="1156">
        <v>2502</v>
      </c>
      <c r="B202" s="169" t="s">
        <v>2919</v>
      </c>
      <c r="C202" s="945" t="s">
        <v>1642</v>
      </c>
      <c r="D202" s="945" t="s">
        <v>36</v>
      </c>
      <c r="E202" s="997" t="s">
        <v>1917</v>
      </c>
      <c r="F202" s="998"/>
      <c r="G202" s="997" t="s">
        <v>282</v>
      </c>
      <c r="H202" s="165"/>
    </row>
    <row r="203" spans="1:8" ht="15" customHeight="1">
      <c r="A203" s="1143">
        <v>2503</v>
      </c>
      <c r="B203" s="169" t="s">
        <v>2055</v>
      </c>
      <c r="C203" s="945" t="s">
        <v>1642</v>
      </c>
      <c r="D203" s="945" t="s">
        <v>36</v>
      </c>
      <c r="E203" s="997" t="s">
        <v>1917</v>
      </c>
      <c r="F203" s="998"/>
      <c r="G203" s="997" t="str">
        <f>+VLOOKUP(Data_Validation!$A203,BV_Data_An_Cour!$L:$Q,6,0)</f>
        <v>3-Passifs</v>
      </c>
      <c r="H203" s="165"/>
    </row>
    <row r="204" spans="1:8" ht="15" customHeight="1">
      <c r="A204" s="1143">
        <v>2505</v>
      </c>
      <c r="B204" s="169" t="s">
        <v>2095</v>
      </c>
      <c r="C204" s="945" t="s">
        <v>1642</v>
      </c>
      <c r="D204" s="945" t="s">
        <v>36</v>
      </c>
      <c r="E204" s="997" t="s">
        <v>1917</v>
      </c>
      <c r="F204" s="998"/>
      <c r="G204" s="997" t="str">
        <f>+VLOOKUP(Data_Validation!$A204,BV_Data_An_Cour!$L:$Q,6,0)</f>
        <v>3-Passifs</v>
      </c>
      <c r="H204" s="165"/>
    </row>
    <row r="205" spans="1:8" ht="15" customHeight="1">
      <c r="A205" s="1143">
        <v>2507</v>
      </c>
      <c r="B205" s="169" t="s">
        <v>2416</v>
      </c>
      <c r="C205" s="945" t="s">
        <v>1642</v>
      </c>
      <c r="D205" s="945" t="s">
        <v>36</v>
      </c>
      <c r="E205" s="997" t="s">
        <v>1917</v>
      </c>
      <c r="F205" s="998"/>
      <c r="G205" s="997" t="e">
        <f>+VLOOKUP(Data_Validation!$A205,BV_Data_An_Cour!$L:$Q,6,0)</f>
        <v>#N/A</v>
      </c>
      <c r="H205" s="165"/>
    </row>
    <row r="206" spans="1:8" ht="15" customHeight="1">
      <c r="A206" s="1143">
        <v>2509</v>
      </c>
      <c r="B206" s="169" t="s">
        <v>2091</v>
      </c>
      <c r="C206" s="945" t="s">
        <v>1642</v>
      </c>
      <c r="D206" s="945" t="s">
        <v>36</v>
      </c>
      <c r="E206" s="997" t="s">
        <v>1917</v>
      </c>
      <c r="F206" s="998"/>
      <c r="G206" s="997" t="str">
        <f>+VLOOKUP(Data_Validation!$A206,BV_Data_An_Cour!$L:$Q,6,0)</f>
        <v>3-Passifs</v>
      </c>
      <c r="H206" s="165"/>
    </row>
    <row r="207" spans="1:8" ht="15" customHeight="1">
      <c r="A207" s="1143">
        <v>2511</v>
      </c>
      <c r="B207" s="169" t="s">
        <v>2185</v>
      </c>
      <c r="C207" s="945" t="s">
        <v>1642</v>
      </c>
      <c r="D207" s="945" t="s">
        <v>36</v>
      </c>
      <c r="E207" s="997" t="s">
        <v>1917</v>
      </c>
      <c r="F207" s="998"/>
      <c r="G207" s="997" t="str">
        <f>+VLOOKUP(Data_Validation!$A207,BV_Data_An_Cour!$L:$Q,6,0)</f>
        <v>3-Passifs</v>
      </c>
      <c r="H207" s="165"/>
    </row>
    <row r="208" spans="1:8" s="570" customFormat="1" ht="15" customHeight="1">
      <c r="A208" s="1143">
        <v>2561</v>
      </c>
      <c r="B208" s="169" t="s">
        <v>3052</v>
      </c>
      <c r="C208" s="945" t="s">
        <v>1642</v>
      </c>
      <c r="D208" s="945" t="s">
        <v>40</v>
      </c>
      <c r="E208" s="997" t="s">
        <v>1917</v>
      </c>
      <c r="F208" s="998"/>
      <c r="G208" s="997" t="str">
        <f>+VLOOKUP(Data_Validation!$A208,BV_Data_An_Cour!$L:$Q,6,0)</f>
        <v>3-Passifs</v>
      </c>
      <c r="H208" s="165"/>
    </row>
    <row r="209" spans="1:8" s="570" customFormat="1" ht="15" customHeight="1">
      <c r="A209" s="1143">
        <v>2562</v>
      </c>
      <c r="B209" s="169" t="s">
        <v>3106</v>
      </c>
      <c r="C209" s="945" t="s">
        <v>1642</v>
      </c>
      <c r="D209" s="945" t="s">
        <v>40</v>
      </c>
      <c r="E209" s="997" t="s">
        <v>1917</v>
      </c>
      <c r="F209" s="998"/>
      <c r="G209" s="997" t="str">
        <f>+VLOOKUP(Data_Validation!$A209,BV_Data_An_Cour!$L:$Q,6,0)</f>
        <v>3-Passifs</v>
      </c>
      <c r="H209" s="165"/>
    </row>
    <row r="210" spans="1:8" ht="15" customHeight="1">
      <c r="A210" s="1143">
        <v>2801</v>
      </c>
      <c r="B210" s="169" t="s">
        <v>2684</v>
      </c>
      <c r="C210" s="945" t="s">
        <v>1642</v>
      </c>
      <c r="D210" s="945" t="s">
        <v>54</v>
      </c>
      <c r="E210" s="997" t="s">
        <v>1917</v>
      </c>
      <c r="F210" s="998"/>
      <c r="G210" s="997" t="str">
        <f>+VLOOKUP(Data_Validation!$A210,BV_Data_An_Cour!$L:$Q,6,0)</f>
        <v>3-Passifs</v>
      </c>
      <c r="H210" s="165"/>
    </row>
    <row r="211" spans="1:8" ht="15" customHeight="1">
      <c r="A211" s="1143">
        <v>2901</v>
      </c>
      <c r="B211" s="169" t="s">
        <v>827</v>
      </c>
      <c r="C211" s="945" t="s">
        <v>1642</v>
      </c>
      <c r="D211" s="945" t="s">
        <v>40</v>
      </c>
      <c r="E211" s="997" t="s">
        <v>1917</v>
      </c>
      <c r="F211" s="998"/>
      <c r="G211" s="997" t="str">
        <f>+VLOOKUP(Data_Validation!$A211,BV_Data_An_Cour!$L:$Q,6,0)</f>
        <v>3-Passifs</v>
      </c>
      <c r="H211" s="165"/>
    </row>
    <row r="212" spans="1:8" ht="15" customHeight="1">
      <c r="A212" s="1143">
        <v>3001</v>
      </c>
      <c r="B212" s="169" t="s">
        <v>2418</v>
      </c>
      <c r="C212" s="945" t="s">
        <v>1642</v>
      </c>
      <c r="D212" s="945" t="s">
        <v>67</v>
      </c>
      <c r="E212" s="997" t="s">
        <v>1917</v>
      </c>
      <c r="F212" s="998"/>
      <c r="G212" s="997" t="str">
        <f>+VLOOKUP(Data_Validation!$A212,BV_Data_An_Cour!$L:$Q,6,0)</f>
        <v>4-Valeur nette</v>
      </c>
    </row>
    <row r="213" spans="1:8" ht="15" customHeight="1">
      <c r="A213" s="1143">
        <v>3003</v>
      </c>
      <c r="B213" s="169" t="s">
        <v>2420</v>
      </c>
      <c r="C213" s="945" t="s">
        <v>1642</v>
      </c>
      <c r="D213" s="945" t="s">
        <v>68</v>
      </c>
      <c r="E213" s="997" t="s">
        <v>1917</v>
      </c>
      <c r="F213" s="998"/>
      <c r="G213" s="997" t="str">
        <f>+VLOOKUP(Data_Validation!$A213,BV_Data_An_Cour!$L:$Q,6,0)</f>
        <v>4-Valeur nette</v>
      </c>
      <c r="H213" s="165"/>
    </row>
    <row r="214" spans="1:8" ht="15" customHeight="1">
      <c r="A214" s="1143">
        <v>3007</v>
      </c>
      <c r="B214" s="169" t="s">
        <v>2422</v>
      </c>
      <c r="C214" s="945" t="s">
        <v>1642</v>
      </c>
      <c r="D214" s="945" t="s">
        <v>67</v>
      </c>
      <c r="E214" s="997"/>
      <c r="F214" s="998"/>
      <c r="G214" s="997" t="str">
        <f>+VLOOKUP(Data_Validation!$A214,BV_Data_An_Cour!$L:$Q,6,0)</f>
        <v>4-Valeur nette</v>
      </c>
      <c r="H214" s="165"/>
    </row>
    <row r="215" spans="1:8" ht="15" customHeight="1">
      <c r="A215" s="1143">
        <v>3201</v>
      </c>
      <c r="B215" s="169" t="s">
        <v>2424</v>
      </c>
      <c r="C215" s="945" t="s">
        <v>1642</v>
      </c>
      <c r="D215" s="945" t="s">
        <v>69</v>
      </c>
      <c r="E215" s="997" t="s">
        <v>1917</v>
      </c>
      <c r="F215" s="998"/>
      <c r="G215" s="997" t="str">
        <f>+VLOOKUP(Data_Validation!$A215,BV_Data_An_Cour!$L:$Q,6,0)</f>
        <v>4-Valeur nette</v>
      </c>
      <c r="H215" s="165"/>
    </row>
    <row r="216" spans="1:8" ht="15" customHeight="1">
      <c r="A216" s="1143">
        <v>4100</v>
      </c>
      <c r="B216" s="169" t="s">
        <v>2022</v>
      </c>
      <c r="C216" s="945" t="s">
        <v>75</v>
      </c>
      <c r="D216" s="945" t="s">
        <v>96</v>
      </c>
      <c r="E216" s="997" t="s">
        <v>1917</v>
      </c>
      <c r="F216" s="998" t="s">
        <v>1920</v>
      </c>
      <c r="G216" s="997" t="str">
        <f>+VLOOKUP(Data_Validation!$A216,BV_Data_An_Cour!$L:$Q,6,0)</f>
        <v>5-Ventes</v>
      </c>
      <c r="H216" s="165"/>
    </row>
    <row r="217" spans="1:8" s="570" customFormat="1" ht="15" customHeight="1">
      <c r="A217" s="1156">
        <v>4200</v>
      </c>
      <c r="B217" s="169" t="s">
        <v>2907</v>
      </c>
      <c r="C217" s="945" t="s">
        <v>75</v>
      </c>
      <c r="D217" s="945" t="s">
        <v>96</v>
      </c>
      <c r="E217" s="997" t="s">
        <v>1917</v>
      </c>
      <c r="F217" s="998" t="s">
        <v>1920</v>
      </c>
      <c r="G217" s="997" t="s">
        <v>285</v>
      </c>
      <c r="H217" s="165"/>
    </row>
    <row r="218" spans="1:8" ht="15" customHeight="1">
      <c r="A218" s="1143">
        <v>4101</v>
      </c>
      <c r="B218" s="169" t="s">
        <v>2426</v>
      </c>
      <c r="C218" s="945" t="s">
        <v>75</v>
      </c>
      <c r="D218" s="945" t="s">
        <v>89</v>
      </c>
      <c r="E218" s="997" t="s">
        <v>1917</v>
      </c>
      <c r="F218" s="998" t="s">
        <v>1920</v>
      </c>
      <c r="G218" s="997" t="e">
        <f>+VLOOKUP(Data_Validation!$A218,BV_Data_An_Cour!$L:$Q,6,0)</f>
        <v>#N/A</v>
      </c>
      <c r="H218" s="165"/>
    </row>
    <row r="219" spans="1:8" ht="15" customHeight="1">
      <c r="A219" s="1143">
        <v>4105</v>
      </c>
      <c r="B219" s="169" t="s">
        <v>2428</v>
      </c>
      <c r="C219" s="945" t="s">
        <v>75</v>
      </c>
      <c r="D219" s="945" t="s">
        <v>89</v>
      </c>
      <c r="E219" s="997" t="s">
        <v>1917</v>
      </c>
      <c r="F219" s="998" t="s">
        <v>1920</v>
      </c>
      <c r="G219" s="997" t="e">
        <f>+VLOOKUP(Data_Validation!$A219,BV_Data_An_Cour!$L:$Q,6,0)</f>
        <v>#N/A</v>
      </c>
      <c r="H219" s="165"/>
    </row>
    <row r="220" spans="1:8" ht="15" customHeight="1">
      <c r="A220" s="1143">
        <v>4107</v>
      </c>
      <c r="B220" s="169" t="s">
        <v>2015</v>
      </c>
      <c r="C220" s="945" t="s">
        <v>75</v>
      </c>
      <c r="D220" s="945" t="s">
        <v>89</v>
      </c>
      <c r="E220" s="997" t="s">
        <v>1917</v>
      </c>
      <c r="F220" s="998" t="s">
        <v>1920</v>
      </c>
      <c r="G220" s="997" t="e">
        <f>+VLOOKUP(Data_Validation!$A220,BV_Data_An_Cour!$L:$Q,6,0)</f>
        <v>#N/A</v>
      </c>
      <c r="H220" s="165"/>
    </row>
    <row r="221" spans="1:8" ht="15" customHeight="1">
      <c r="A221" s="1143">
        <v>4109</v>
      </c>
      <c r="B221" s="169" t="s">
        <v>2430</v>
      </c>
      <c r="C221" s="945" t="s">
        <v>75</v>
      </c>
      <c r="D221" s="945" t="s">
        <v>89</v>
      </c>
      <c r="E221" s="997" t="s">
        <v>1917</v>
      </c>
      <c r="F221" s="998" t="s">
        <v>1920</v>
      </c>
      <c r="G221" s="997" t="str">
        <f>+VLOOKUP(Data_Validation!$A221,BV_Data_An_Cour!$L:$Q,6,0)</f>
        <v>5-Ventes</v>
      </c>
      <c r="H221" s="165"/>
    </row>
    <row r="222" spans="1:8" ht="15" customHeight="1">
      <c r="A222" s="1143">
        <v>4111</v>
      </c>
      <c r="B222" s="169" t="s">
        <v>2010</v>
      </c>
      <c r="C222" s="945" t="s">
        <v>75</v>
      </c>
      <c r="D222" s="945" t="s">
        <v>89</v>
      </c>
      <c r="E222" s="997" t="s">
        <v>1917</v>
      </c>
      <c r="F222" s="998" t="s">
        <v>1920</v>
      </c>
      <c r="G222" s="997" t="e">
        <f>+VLOOKUP(Data_Validation!$A222,BV_Data_An_Cour!$L:$Q,6,0)</f>
        <v>#N/A</v>
      </c>
      <c r="H222" s="165"/>
    </row>
    <row r="223" spans="1:8" ht="15" customHeight="1">
      <c r="A223" s="1143">
        <v>4113</v>
      </c>
      <c r="B223" s="169" t="s">
        <v>2432</v>
      </c>
      <c r="C223" s="945" t="s">
        <v>75</v>
      </c>
      <c r="D223" s="945" t="s">
        <v>89</v>
      </c>
      <c r="E223" s="997" t="s">
        <v>1917</v>
      </c>
      <c r="F223" s="998" t="s">
        <v>1920</v>
      </c>
      <c r="G223" s="997" t="e">
        <f>+VLOOKUP(Data_Validation!$A223,BV_Data_An_Cour!$L:$Q,6,0)</f>
        <v>#N/A</v>
      </c>
      <c r="H223" s="165"/>
    </row>
    <row r="224" spans="1:8" ht="15" customHeight="1">
      <c r="A224" s="1143">
        <v>4115</v>
      </c>
      <c r="B224" s="169" t="s">
        <v>2434</v>
      </c>
      <c r="C224" s="945" t="s">
        <v>75</v>
      </c>
      <c r="D224" s="945" t="s">
        <v>89</v>
      </c>
      <c r="E224" s="997" t="s">
        <v>1917</v>
      </c>
      <c r="F224" s="998" t="s">
        <v>1920</v>
      </c>
      <c r="G224" s="997" t="e">
        <f>+VLOOKUP(Data_Validation!$A224,BV_Data_An_Cour!$L:$Q,6,0)</f>
        <v>#N/A</v>
      </c>
      <c r="H224" s="165"/>
    </row>
    <row r="225" spans="1:8" s="570" customFormat="1" ht="15" customHeight="1">
      <c r="A225" s="1153">
        <v>4118</v>
      </c>
      <c r="B225" s="169" t="s">
        <v>2914</v>
      </c>
      <c r="C225" s="945" t="s">
        <v>75</v>
      </c>
      <c r="D225" s="945" t="s">
        <v>90</v>
      </c>
      <c r="E225" s="997" t="s">
        <v>1917</v>
      </c>
      <c r="F225" s="998" t="s">
        <v>1920</v>
      </c>
      <c r="G225" s="997" t="str">
        <f>+VLOOKUP(Data_Validation!$A225,BV_Data_An_Cour!$L:$Q,6,0)</f>
        <v>5-Ventes</v>
      </c>
      <c r="H225" s="165"/>
    </row>
    <row r="226" spans="1:8" ht="15" customHeight="1">
      <c r="A226" s="1153">
        <v>4119</v>
      </c>
      <c r="B226" s="169" t="s">
        <v>1999</v>
      </c>
      <c r="C226" s="945" t="s">
        <v>75</v>
      </c>
      <c r="D226" s="945" t="s">
        <v>90</v>
      </c>
      <c r="E226" s="997" t="s">
        <v>1917</v>
      </c>
      <c r="F226" s="998" t="s">
        <v>1920</v>
      </c>
      <c r="G226" s="997" t="str">
        <f>+VLOOKUP(Data_Validation!$A226,BV_Data_An_Cour!$L:$Q,6,0)</f>
        <v>5-Ventes</v>
      </c>
      <c r="H226" s="165"/>
    </row>
    <row r="227" spans="1:8" ht="15" customHeight="1">
      <c r="A227" s="1143">
        <v>4127</v>
      </c>
      <c r="B227" s="169" t="s">
        <v>2027</v>
      </c>
      <c r="C227" s="945" t="s">
        <v>75</v>
      </c>
      <c r="D227" s="945" t="s">
        <v>89</v>
      </c>
      <c r="E227" s="997" t="s">
        <v>1917</v>
      </c>
      <c r="F227" s="998" t="s">
        <v>1920</v>
      </c>
      <c r="G227" s="997" t="str">
        <f>+VLOOKUP(Data_Validation!$A227,BV_Data_An_Cour!$L:$Q,6,0)</f>
        <v>5-Ventes</v>
      </c>
      <c r="H227" s="165"/>
    </row>
    <row r="228" spans="1:8" ht="15" customHeight="1">
      <c r="A228" s="1143">
        <v>4131</v>
      </c>
      <c r="B228" s="169" t="s">
        <v>1995</v>
      </c>
      <c r="C228" s="945" t="s">
        <v>75</v>
      </c>
      <c r="D228" s="945" t="s">
        <v>90</v>
      </c>
      <c r="E228" s="997" t="s">
        <v>1917</v>
      </c>
      <c r="F228" s="998" t="s">
        <v>1920</v>
      </c>
      <c r="G228" s="997" t="str">
        <f>+VLOOKUP(Data_Validation!$A228,BV_Data_An_Cour!$L:$Q,6,0)</f>
        <v>5-Ventes</v>
      </c>
      <c r="H228" s="165"/>
    </row>
    <row r="229" spans="1:8" ht="15" customHeight="1">
      <c r="A229" s="1143">
        <v>4135</v>
      </c>
      <c r="B229" s="169" t="s">
        <v>2025</v>
      </c>
      <c r="C229" s="945" t="s">
        <v>75</v>
      </c>
      <c r="D229" s="945" t="s">
        <v>89</v>
      </c>
      <c r="E229" s="997" t="s">
        <v>1917</v>
      </c>
      <c r="F229" s="998" t="s">
        <v>1920</v>
      </c>
      <c r="G229" s="997" t="e">
        <f>+VLOOKUP(Data_Validation!$A229,BV_Data_An_Cour!$L:$Q,6,0)</f>
        <v>#N/A</v>
      </c>
    </row>
    <row r="230" spans="1:8" ht="15" customHeight="1">
      <c r="A230" s="1143">
        <v>4137</v>
      </c>
      <c r="B230" s="169" t="s">
        <v>2436</v>
      </c>
      <c r="C230" s="945" t="s">
        <v>75</v>
      </c>
      <c r="D230" s="945" t="s">
        <v>95</v>
      </c>
      <c r="E230" s="997" t="s">
        <v>1917</v>
      </c>
      <c r="F230" s="998" t="s">
        <v>1920</v>
      </c>
      <c r="G230" s="997" t="e">
        <f>+VLOOKUP(Data_Validation!$A230,BV_Data_An_Cour!$L:$Q,6,0)</f>
        <v>#N/A</v>
      </c>
      <c r="H230" s="165"/>
    </row>
    <row r="231" spans="1:8" ht="15" customHeight="1">
      <c r="A231" s="1143">
        <v>4139</v>
      </c>
      <c r="B231" s="169" t="s">
        <v>2001</v>
      </c>
      <c r="C231" s="945" t="s">
        <v>75</v>
      </c>
      <c r="D231" s="945" t="s">
        <v>94</v>
      </c>
      <c r="E231" s="997" t="s">
        <v>1917</v>
      </c>
      <c r="F231" s="998" t="s">
        <v>1920</v>
      </c>
      <c r="G231" s="997" t="str">
        <f>+VLOOKUP(Data_Validation!$A231,BV_Data_An_Cour!$L:$Q,6,0)</f>
        <v>5-Ventes</v>
      </c>
      <c r="H231" s="165"/>
    </row>
    <row r="232" spans="1:8" ht="15" customHeight="1">
      <c r="A232" s="1143">
        <v>4201</v>
      </c>
      <c r="B232" s="169" t="s">
        <v>1997</v>
      </c>
      <c r="C232" s="945" t="s">
        <v>144</v>
      </c>
      <c r="D232" s="945" t="s">
        <v>146</v>
      </c>
      <c r="E232" s="997" t="s">
        <v>1917</v>
      </c>
      <c r="F232" s="998" t="s">
        <v>1920</v>
      </c>
      <c r="G232" s="997" t="str">
        <f>+VLOOKUP(Data_Validation!$A232,BV_Data_An_Cour!$L:$Q,6,0)</f>
        <v>5-Ventes</v>
      </c>
      <c r="H232" s="165"/>
    </row>
    <row r="233" spans="1:8" ht="15" customHeight="1">
      <c r="A233" s="1143">
        <v>4211</v>
      </c>
      <c r="B233" s="169" t="s">
        <v>2438</v>
      </c>
      <c r="C233" s="945" t="s">
        <v>144</v>
      </c>
      <c r="D233" s="945" t="s">
        <v>147</v>
      </c>
      <c r="E233" s="997" t="s">
        <v>1917</v>
      </c>
      <c r="F233" s="998" t="s">
        <v>1920</v>
      </c>
      <c r="G233" s="997" t="e">
        <f>+VLOOKUP(Data_Validation!$A233,BV_Data_An_Cour!$L:$Q,6,0)</f>
        <v>#N/A</v>
      </c>
      <c r="H233" s="165"/>
    </row>
    <row r="234" spans="1:8" ht="15" customHeight="1">
      <c r="A234" s="1143">
        <v>4285</v>
      </c>
      <c r="B234" s="169" t="s">
        <v>2035</v>
      </c>
      <c r="C234" s="945" t="s">
        <v>144</v>
      </c>
      <c r="D234" s="945" t="s">
        <v>147</v>
      </c>
      <c r="E234" s="997" t="s">
        <v>1917</v>
      </c>
      <c r="F234" s="998" t="s">
        <v>1920</v>
      </c>
      <c r="G234" s="997" t="e">
        <f>+VLOOKUP(Data_Validation!$A234,BV_Data_An_Cour!$L:$Q,6,0)</f>
        <v>#N/A</v>
      </c>
      <c r="H234" s="165"/>
    </row>
    <row r="235" spans="1:8" ht="15" customHeight="1">
      <c r="A235" s="1143">
        <v>4291</v>
      </c>
      <c r="B235" s="169" t="s">
        <v>2003</v>
      </c>
      <c r="C235" s="945" t="s">
        <v>144</v>
      </c>
      <c r="D235" s="945" t="s">
        <v>150</v>
      </c>
      <c r="E235" s="997" t="s">
        <v>1917</v>
      </c>
      <c r="F235" s="998" t="s">
        <v>1920</v>
      </c>
      <c r="G235" s="997" t="str">
        <f>+VLOOKUP(Data_Validation!$A235,BV_Data_An_Cour!$L:$Q,6,0)</f>
        <v>5-Ventes</v>
      </c>
      <c r="H235" s="165"/>
    </row>
    <row r="236" spans="1:8" ht="15" customHeight="1">
      <c r="A236" s="1143">
        <v>4401</v>
      </c>
      <c r="B236" s="169" t="s">
        <v>2008</v>
      </c>
      <c r="C236" s="945" t="s">
        <v>155</v>
      </c>
      <c r="D236" s="945" t="s">
        <v>159</v>
      </c>
      <c r="E236" s="997" t="s">
        <v>1917</v>
      </c>
      <c r="F236" s="998" t="s">
        <v>1920</v>
      </c>
      <c r="G236" s="997" t="str">
        <f>+VLOOKUP(Data_Validation!$A236,BV_Data_An_Cour!$L:$Q,6,0)</f>
        <v>5-Ventes</v>
      </c>
      <c r="H236" s="165"/>
    </row>
    <row r="237" spans="1:8" ht="15" customHeight="1">
      <c r="A237" s="1143">
        <v>4402</v>
      </c>
      <c r="B237" s="169" t="s">
        <v>2188</v>
      </c>
      <c r="C237" s="945" t="s">
        <v>155</v>
      </c>
      <c r="D237" s="945" t="s">
        <v>163</v>
      </c>
      <c r="E237" s="997" t="s">
        <v>1917</v>
      </c>
      <c r="F237" s="998" t="s">
        <v>1920</v>
      </c>
      <c r="G237" s="997" t="str">
        <f>+VLOOKUP(Data_Validation!$A237,BV_Data_An_Cour!$L:$Q,6,0)</f>
        <v>5-Ventes</v>
      </c>
      <c r="H237" s="165"/>
    </row>
    <row r="238" spans="1:8" ht="15" customHeight="1">
      <c r="A238" s="1143">
        <v>4403</v>
      </c>
      <c r="B238" s="169" t="s">
        <v>2038</v>
      </c>
      <c r="C238" s="945" t="s">
        <v>155</v>
      </c>
      <c r="D238" s="945" t="s">
        <v>161</v>
      </c>
      <c r="E238" s="997" t="s">
        <v>1917</v>
      </c>
      <c r="F238" s="998" t="s">
        <v>1920</v>
      </c>
      <c r="G238" s="997" t="str">
        <f>+VLOOKUP(Data_Validation!$A238,BV_Data_An_Cour!$L:$Q,6,0)</f>
        <v>5-Ventes</v>
      </c>
      <c r="H238" s="165"/>
    </row>
    <row r="239" spans="1:8" ht="15" customHeight="1">
      <c r="A239" s="1153">
        <v>4405</v>
      </c>
      <c r="B239" s="169" t="s">
        <v>2048</v>
      </c>
      <c r="C239" s="945" t="s">
        <v>155</v>
      </c>
      <c r="D239" s="945" t="s">
        <v>162</v>
      </c>
      <c r="E239" s="997" t="s">
        <v>1917</v>
      </c>
      <c r="F239" s="998" t="s">
        <v>1920</v>
      </c>
      <c r="G239" s="997" t="str">
        <f>+VLOOKUP(Data_Validation!$A239,BV_Data_An_Cour!$L:$Q,6,0)</f>
        <v>5-Ventes</v>
      </c>
      <c r="H239" s="165"/>
    </row>
    <row r="240" spans="1:8" ht="15" customHeight="1">
      <c r="A240" s="1153">
        <v>4411</v>
      </c>
      <c r="B240" s="166" t="s">
        <v>2623</v>
      </c>
      <c r="C240" s="945" t="s">
        <v>155</v>
      </c>
      <c r="D240" s="945" t="s">
        <v>159</v>
      </c>
      <c r="E240" s="997" t="s">
        <v>1917</v>
      </c>
      <c r="F240" s="998" t="s">
        <v>1920</v>
      </c>
      <c r="G240" s="997" t="e">
        <f>+VLOOKUP(Data_Validation!$A240,BV_Data_An_Cour!$L:$Q,6,0)</f>
        <v>#N/A</v>
      </c>
      <c r="H240" s="165"/>
    </row>
    <row r="241" spans="1:8" ht="15" customHeight="1">
      <c r="A241" s="1143">
        <v>4451</v>
      </c>
      <c r="B241" s="169" t="s">
        <v>2068</v>
      </c>
      <c r="C241" s="945" t="s">
        <v>175</v>
      </c>
      <c r="D241" s="945" t="s">
        <v>187</v>
      </c>
      <c r="E241" s="997" t="s">
        <v>1917</v>
      </c>
      <c r="F241" s="998" t="s">
        <v>1920</v>
      </c>
      <c r="G241" s="997" t="str">
        <f>+VLOOKUP(Data_Validation!$A241,BV_Data_An_Cour!$L:$Q,6,0)</f>
        <v>5-Ventes</v>
      </c>
      <c r="H241" s="165"/>
    </row>
    <row r="242" spans="1:8" ht="15" customHeight="1">
      <c r="A242" s="1143">
        <v>4491</v>
      </c>
      <c r="B242" s="169" t="s">
        <v>2141</v>
      </c>
      <c r="C242" s="945" t="s">
        <v>155</v>
      </c>
      <c r="D242" s="945" t="s">
        <v>167</v>
      </c>
      <c r="E242" s="997" t="s">
        <v>1917</v>
      </c>
      <c r="F242" s="998" t="s">
        <v>1920</v>
      </c>
      <c r="G242" s="997" t="str">
        <f>+VLOOKUP(Data_Validation!$A242,BV_Data_An_Cour!$L:$Q,6,0)</f>
        <v>5-Ventes</v>
      </c>
      <c r="H242" s="165"/>
    </row>
    <row r="243" spans="1:8" ht="15" customHeight="1">
      <c r="A243" s="1143">
        <v>4493</v>
      </c>
      <c r="B243" s="169" t="s">
        <v>2164</v>
      </c>
      <c r="C243" s="945" t="s">
        <v>155</v>
      </c>
      <c r="D243" s="945" t="s">
        <v>167</v>
      </c>
      <c r="E243" s="997" t="s">
        <v>1917</v>
      </c>
      <c r="F243" s="998" t="s">
        <v>1920</v>
      </c>
      <c r="G243" s="997" t="str">
        <f>+VLOOKUP(Data_Validation!$A243,BV_Data_An_Cour!$L:$Q,6,0)</f>
        <v>5-Ventes</v>
      </c>
      <c r="H243" s="165"/>
    </row>
    <row r="244" spans="1:8" ht="15" customHeight="1">
      <c r="A244" s="1143">
        <v>4495</v>
      </c>
      <c r="B244" s="169" t="s">
        <v>2083</v>
      </c>
      <c r="C244" s="945" t="s">
        <v>155</v>
      </c>
      <c r="D244" s="945" t="s">
        <v>167</v>
      </c>
      <c r="E244" s="997" t="s">
        <v>1917</v>
      </c>
      <c r="F244" s="998" t="s">
        <v>1920</v>
      </c>
      <c r="G244" s="997" t="str">
        <f>+VLOOKUP(Data_Validation!$A244,BV_Data_An_Cour!$L:$Q,6,0)</f>
        <v>5-Ventes</v>
      </c>
      <c r="H244" s="165"/>
    </row>
    <row r="245" spans="1:8" ht="15" customHeight="1">
      <c r="A245" s="1143">
        <v>4591</v>
      </c>
      <c r="B245" s="169" t="s">
        <v>2066</v>
      </c>
      <c r="C245" s="945" t="s">
        <v>171</v>
      </c>
      <c r="D245" s="945" t="s">
        <v>172</v>
      </c>
      <c r="E245" s="997" t="s">
        <v>1917</v>
      </c>
      <c r="F245" s="998" t="s">
        <v>1920</v>
      </c>
      <c r="G245" s="997" t="str">
        <f>+VLOOKUP(Data_Validation!$A245,BV_Data_An_Cour!$L:$Q,6,0)</f>
        <v>5-Ventes</v>
      </c>
      <c r="H245" s="165"/>
    </row>
    <row r="246" spans="1:8" ht="15" customHeight="1">
      <c r="A246" s="1143">
        <v>4593</v>
      </c>
      <c r="B246" s="169" t="s">
        <v>2064</v>
      </c>
      <c r="C246" s="945" t="s">
        <v>171</v>
      </c>
      <c r="D246" s="945" t="s">
        <v>172</v>
      </c>
      <c r="E246" s="997" t="s">
        <v>1917</v>
      </c>
      <c r="F246" s="998" t="s">
        <v>1920</v>
      </c>
      <c r="G246" s="997" t="str">
        <f>+VLOOKUP(Data_Validation!$A246,BV_Data_An_Cour!$L:$Q,6,0)</f>
        <v>5-Ventes</v>
      </c>
      <c r="H246" s="165"/>
    </row>
    <row r="247" spans="1:8" ht="15" customHeight="1">
      <c r="A247" s="1143">
        <v>4595</v>
      </c>
      <c r="B247" s="169" t="s">
        <v>2097</v>
      </c>
      <c r="C247" s="945" t="s">
        <v>171</v>
      </c>
      <c r="D247" s="945" t="s">
        <v>172</v>
      </c>
      <c r="E247" s="997" t="s">
        <v>1917</v>
      </c>
      <c r="F247" s="998" t="s">
        <v>1920</v>
      </c>
      <c r="G247" s="997" t="str">
        <f>+VLOOKUP(Data_Validation!$A247,BV_Data_An_Cour!$L:$Q,6,0)</f>
        <v>5-Ventes</v>
      </c>
      <c r="H247" s="165"/>
    </row>
    <row r="248" spans="1:8" ht="15" customHeight="1">
      <c r="A248" s="1143">
        <v>4701</v>
      </c>
      <c r="B248" s="169" t="s">
        <v>2020</v>
      </c>
      <c r="C248" s="945" t="s">
        <v>175</v>
      </c>
      <c r="D248" s="945" t="s">
        <v>177</v>
      </c>
      <c r="E248" s="997" t="s">
        <v>1917</v>
      </c>
      <c r="F248" s="998" t="s">
        <v>1920</v>
      </c>
      <c r="G248" s="997" t="str">
        <f>+VLOOKUP(Data_Validation!$A248,BV_Data_An_Cour!$L:$Q,6,0)</f>
        <v>5-Ventes</v>
      </c>
      <c r="H248" s="165"/>
    </row>
    <row r="249" spans="1:8" ht="15" customHeight="1">
      <c r="A249" s="1143">
        <v>4702</v>
      </c>
      <c r="B249" s="169" t="s">
        <v>2147</v>
      </c>
      <c r="C249" s="945" t="s">
        <v>155</v>
      </c>
      <c r="D249" s="945" t="s">
        <v>159</v>
      </c>
      <c r="E249" s="997" t="s">
        <v>1917</v>
      </c>
      <c r="F249" s="998" t="s">
        <v>1920</v>
      </c>
      <c r="G249" s="997" t="str">
        <f>+VLOOKUP(Data_Validation!$A249,BV_Data_An_Cour!$L:$Q,6,0)</f>
        <v>5-Ventes</v>
      </c>
      <c r="H249" s="165"/>
    </row>
    <row r="250" spans="1:8" ht="15" customHeight="1">
      <c r="A250" s="1143">
        <v>4703</v>
      </c>
      <c r="B250" s="169" t="s">
        <v>2040</v>
      </c>
      <c r="C250" s="945" t="s">
        <v>175</v>
      </c>
      <c r="D250" s="945" t="s">
        <v>179</v>
      </c>
      <c r="E250" s="997" t="s">
        <v>1917</v>
      </c>
      <c r="F250" s="998" t="s">
        <v>1920</v>
      </c>
      <c r="G250" s="997" t="str">
        <f>+VLOOKUP(Data_Validation!$A250,BV_Data_An_Cour!$L:$Q,6,0)</f>
        <v>5-Ventes</v>
      </c>
      <c r="H250" s="165"/>
    </row>
    <row r="251" spans="1:8" ht="15" customHeight="1">
      <c r="A251" s="1143">
        <v>4705</v>
      </c>
      <c r="B251" s="169" t="s">
        <v>2044</v>
      </c>
      <c r="C251" s="945" t="s">
        <v>175</v>
      </c>
      <c r="D251" s="945" t="s">
        <v>180</v>
      </c>
      <c r="E251" s="997" t="s">
        <v>1917</v>
      </c>
      <c r="F251" s="998" t="s">
        <v>1920</v>
      </c>
      <c r="G251" s="997" t="str">
        <f>+VLOOKUP(Data_Validation!$A251,BV_Data_An_Cour!$L:$Q,6,0)</f>
        <v>5-Ventes</v>
      </c>
      <c r="H251" s="165"/>
    </row>
    <row r="252" spans="1:8" ht="15" customHeight="1">
      <c r="A252" s="1143">
        <v>4706</v>
      </c>
      <c r="B252" s="169" t="s">
        <v>2147</v>
      </c>
      <c r="C252" s="945" t="s">
        <v>155</v>
      </c>
      <c r="D252" s="945" t="s">
        <v>162</v>
      </c>
      <c r="E252" s="997" t="s">
        <v>1917</v>
      </c>
      <c r="F252" s="998" t="s">
        <v>1920</v>
      </c>
      <c r="G252" s="997" t="str">
        <f>+VLOOKUP(Data_Validation!$A252,BV_Data_An_Cour!$L:$Q,6,0)</f>
        <v>5-Ventes</v>
      </c>
      <c r="H252" s="165"/>
    </row>
    <row r="253" spans="1:8" ht="15" customHeight="1">
      <c r="A253" s="1143">
        <v>4711</v>
      </c>
      <c r="B253" s="169" t="s">
        <v>2111</v>
      </c>
      <c r="C253" s="945" t="s">
        <v>175</v>
      </c>
      <c r="D253" s="945" t="s">
        <v>177</v>
      </c>
      <c r="E253" s="997" t="s">
        <v>1917</v>
      </c>
      <c r="F253" s="998" t="s">
        <v>1920</v>
      </c>
      <c r="G253" s="997" t="str">
        <f>+VLOOKUP(Data_Validation!$A253,BV_Data_An_Cour!$L:$Q,6,0)</f>
        <v>5-Ventes</v>
      </c>
      <c r="H253" s="165"/>
    </row>
    <row r="254" spans="1:8" s="570" customFormat="1" ht="15" customHeight="1">
      <c r="A254" s="168">
        <v>4715</v>
      </c>
      <c r="B254" s="169" t="s">
        <v>2937</v>
      </c>
      <c r="C254" s="945" t="s">
        <v>175</v>
      </c>
      <c r="D254" s="945" t="s">
        <v>180</v>
      </c>
      <c r="E254" s="997" t="s">
        <v>1917</v>
      </c>
      <c r="F254" s="998" t="s">
        <v>1920</v>
      </c>
      <c r="G254" s="997" t="e">
        <f>+VLOOKUP(Data_Validation!$A254,BV_Data_An_Cour!$L:$Q,6,0)</f>
        <v>#N/A</v>
      </c>
      <c r="H254" s="165"/>
    </row>
    <row r="255" spans="1:8" ht="15" customHeight="1">
      <c r="A255" s="1153">
        <v>4721</v>
      </c>
      <c r="B255" s="169" t="s">
        <v>2111</v>
      </c>
      <c r="C255" s="945" t="s">
        <v>175</v>
      </c>
      <c r="D255" s="945" t="s">
        <v>177</v>
      </c>
      <c r="E255" s="997" t="s">
        <v>1917</v>
      </c>
      <c r="F255" s="998" t="s">
        <v>1920</v>
      </c>
      <c r="G255" s="997" t="e">
        <f>+VLOOKUP(Data_Validation!$A255,BV_Data_An_Cour!$L:$Q,6,0)</f>
        <v>#N/A</v>
      </c>
      <c r="H255" s="165"/>
    </row>
    <row r="256" spans="1:8" ht="15" customHeight="1">
      <c r="A256" s="1143">
        <v>4731</v>
      </c>
      <c r="B256" s="169" t="s">
        <v>2104</v>
      </c>
      <c r="C256" s="945" t="s">
        <v>175</v>
      </c>
      <c r="D256" s="945" t="s">
        <v>178</v>
      </c>
      <c r="E256" s="997" t="s">
        <v>1917</v>
      </c>
      <c r="F256" s="998" t="s">
        <v>1920</v>
      </c>
      <c r="G256" s="997" t="str">
        <f>+VLOOKUP(Data_Validation!$A256,BV_Data_An_Cour!$L:$Q,6,0)</f>
        <v>5-Ventes</v>
      </c>
      <c r="H256" s="165"/>
    </row>
    <row r="257" spans="1:8" ht="15" customHeight="1">
      <c r="A257" s="1143">
        <v>4733</v>
      </c>
      <c r="B257" s="171" t="s">
        <v>2087</v>
      </c>
      <c r="C257" s="945" t="s">
        <v>175</v>
      </c>
      <c r="D257" s="945" t="s">
        <v>178</v>
      </c>
      <c r="E257" s="997" t="s">
        <v>1917</v>
      </c>
      <c r="F257" s="998" t="s">
        <v>1920</v>
      </c>
      <c r="G257" s="997" t="str">
        <f>+VLOOKUP(Data_Validation!$A257,BV_Data_An_Cour!$L:$Q,6,0)</f>
        <v>5-Ventes</v>
      </c>
      <c r="H257" s="165"/>
    </row>
    <row r="258" spans="1:8" ht="15" customHeight="1">
      <c r="A258" s="1153">
        <v>4735</v>
      </c>
      <c r="B258" s="171" t="s">
        <v>2162</v>
      </c>
      <c r="C258" s="945" t="s">
        <v>175</v>
      </c>
      <c r="D258" s="945" t="s">
        <v>178</v>
      </c>
      <c r="E258" s="997" t="s">
        <v>1917</v>
      </c>
      <c r="F258" s="998" t="s">
        <v>1920</v>
      </c>
      <c r="G258" s="997" t="str">
        <f>+VLOOKUP(Data_Validation!$A258,BV_Data_An_Cour!$L:$Q,6,0)</f>
        <v>5-Ventes</v>
      </c>
      <c r="H258" s="165"/>
    </row>
    <row r="259" spans="1:8" ht="15" customHeight="1">
      <c r="A259" s="1143">
        <v>4761</v>
      </c>
      <c r="B259" s="171" t="s">
        <v>2079</v>
      </c>
      <c r="C259" s="945" t="s">
        <v>175</v>
      </c>
      <c r="D259" s="945" t="s">
        <v>181</v>
      </c>
      <c r="E259" s="997" t="s">
        <v>1917</v>
      </c>
      <c r="F259" s="998" t="s">
        <v>1920</v>
      </c>
      <c r="G259" s="997" t="str">
        <f>+VLOOKUP(Data_Validation!$A259,BV_Data_An_Cour!$L:$Q,6,0)</f>
        <v>5-Ventes</v>
      </c>
      <c r="H259" s="165"/>
    </row>
    <row r="260" spans="1:8" ht="15" customHeight="1">
      <c r="A260" s="1143">
        <v>4763</v>
      </c>
      <c r="B260" s="171" t="s">
        <v>2042</v>
      </c>
      <c r="C260" s="945" t="s">
        <v>175</v>
      </c>
      <c r="D260" s="945" t="s">
        <v>182</v>
      </c>
      <c r="E260" s="997" t="s">
        <v>1917</v>
      </c>
      <c r="F260" s="998" t="s">
        <v>1920</v>
      </c>
      <c r="G260" s="997" t="str">
        <f>+VLOOKUP(Data_Validation!$A260,BV_Data_An_Cour!$L:$Q,6,0)</f>
        <v>5-Ventes</v>
      </c>
      <c r="H260" s="165"/>
    </row>
    <row r="261" spans="1:8" ht="15" customHeight="1">
      <c r="A261" s="1143">
        <v>4781</v>
      </c>
      <c r="B261" s="171" t="s">
        <v>2031</v>
      </c>
      <c r="C261" s="945" t="s">
        <v>175</v>
      </c>
      <c r="D261" s="945" t="s">
        <v>186</v>
      </c>
      <c r="E261" s="997" t="s">
        <v>1917</v>
      </c>
      <c r="F261" s="998" t="s">
        <v>1920</v>
      </c>
      <c r="G261" s="997" t="str">
        <f>+VLOOKUP(Data_Validation!$A261,BV_Data_An_Cour!$L:$Q,6,0)</f>
        <v>5-Ventes</v>
      </c>
      <c r="H261" s="165"/>
    </row>
    <row r="262" spans="1:8" ht="15" customHeight="1">
      <c r="A262" s="1143">
        <v>4785</v>
      </c>
      <c r="B262" s="171" t="s">
        <v>2117</v>
      </c>
      <c r="C262" s="945" t="s">
        <v>175</v>
      </c>
      <c r="D262" s="945" t="s">
        <v>186</v>
      </c>
      <c r="E262" s="997" t="s">
        <v>1917</v>
      </c>
      <c r="F262" s="998" t="s">
        <v>1920</v>
      </c>
      <c r="G262" s="997" t="str">
        <f>+VLOOKUP(Data_Validation!$A262,BV_Data_An_Cour!$L:$Q,6,0)</f>
        <v>5-Ventes</v>
      </c>
      <c r="H262" s="165"/>
    </row>
    <row r="263" spans="1:8" ht="15" customHeight="1">
      <c r="A263" s="1153">
        <v>5100</v>
      </c>
      <c r="B263" s="171" t="s">
        <v>2835</v>
      </c>
      <c r="C263" s="945" t="s">
        <v>75</v>
      </c>
      <c r="D263" s="945" t="s">
        <v>96</v>
      </c>
      <c r="E263" s="997" t="s">
        <v>1917</v>
      </c>
      <c r="F263" s="998"/>
      <c r="G263" s="997" t="str">
        <f>+VLOOKUP(Data_Validation!$A263,BV_Data_An_Cour!$L:$Q,6,0)</f>
        <v>6-Coût des ventes</v>
      </c>
      <c r="H263" s="165"/>
    </row>
    <row r="264" spans="1:8" ht="15" customHeight="1">
      <c r="A264" s="1143">
        <v>5101</v>
      </c>
      <c r="B264" s="171" t="s">
        <v>2441</v>
      </c>
      <c r="C264" s="945" t="s">
        <v>75</v>
      </c>
      <c r="D264" s="945" t="s">
        <v>89</v>
      </c>
      <c r="E264" s="997" t="s">
        <v>1917</v>
      </c>
      <c r="F264" s="997"/>
      <c r="G264" s="997" t="e">
        <f>+VLOOKUP(Data_Validation!$A264,BV_Data_An_Cour!$L:$Q,6,0)</f>
        <v>#N/A</v>
      </c>
      <c r="H264" s="165"/>
    </row>
    <row r="265" spans="1:8" ht="15" customHeight="1">
      <c r="A265" s="1143">
        <v>5105</v>
      </c>
      <c r="B265" s="169" t="s">
        <v>2443</v>
      </c>
      <c r="C265" s="945" t="s">
        <v>75</v>
      </c>
      <c r="D265" s="945" t="s">
        <v>89</v>
      </c>
      <c r="E265" s="997" t="s">
        <v>1917</v>
      </c>
      <c r="F265" s="997"/>
      <c r="G265" s="997" t="e">
        <f>+VLOOKUP(Data_Validation!$A265,BV_Data_An_Cour!$L:$Q,6,0)</f>
        <v>#N/A</v>
      </c>
      <c r="H265" s="165"/>
    </row>
    <row r="266" spans="1:8" ht="15" customHeight="1">
      <c r="A266" s="1143">
        <v>5107</v>
      </c>
      <c r="B266" s="171" t="s">
        <v>2837</v>
      </c>
      <c r="C266" s="945" t="s">
        <v>75</v>
      </c>
      <c r="D266" s="945" t="s">
        <v>89</v>
      </c>
      <c r="E266" s="997" t="s">
        <v>1917</v>
      </c>
      <c r="F266" s="997"/>
      <c r="G266" s="997" t="e">
        <f>+VLOOKUP(Data_Validation!$A266,BV_Data_An_Cour!$L:$Q,6,0)</f>
        <v>#N/A</v>
      </c>
      <c r="H266" s="165"/>
    </row>
    <row r="267" spans="1:8" ht="15" customHeight="1">
      <c r="A267" s="1143">
        <v>5109</v>
      </c>
      <c r="B267" s="169" t="s">
        <v>2445</v>
      </c>
      <c r="C267" s="945" t="s">
        <v>75</v>
      </c>
      <c r="D267" s="945" t="s">
        <v>89</v>
      </c>
      <c r="E267" s="997" t="s">
        <v>1917</v>
      </c>
      <c r="F267" s="997"/>
      <c r="G267" s="997" t="str">
        <f>+VLOOKUP(Data_Validation!$A267,BV_Data_An_Cour!$L:$Q,6,0)</f>
        <v>6-Coût des ventes</v>
      </c>
      <c r="H267" s="165"/>
    </row>
    <row r="268" spans="1:8" ht="15" customHeight="1">
      <c r="A268" s="1143">
        <v>5111</v>
      </c>
      <c r="B268" s="169" t="s">
        <v>2839</v>
      </c>
      <c r="C268" s="945" t="s">
        <v>75</v>
      </c>
      <c r="D268" s="945" t="s">
        <v>89</v>
      </c>
      <c r="E268" s="997" t="s">
        <v>1917</v>
      </c>
      <c r="F268" s="997"/>
      <c r="G268" s="997" t="e">
        <f>+VLOOKUP(Data_Validation!$A268,BV_Data_An_Cour!$L:$Q,6,0)</f>
        <v>#N/A</v>
      </c>
      <c r="H268" s="165"/>
    </row>
    <row r="269" spans="1:8" ht="15" customHeight="1">
      <c r="A269" s="1143">
        <v>5113</v>
      </c>
      <c r="B269" s="171" t="s">
        <v>2447</v>
      </c>
      <c r="C269" s="945" t="s">
        <v>75</v>
      </c>
      <c r="D269" s="945" t="s">
        <v>89</v>
      </c>
      <c r="E269" s="997" t="s">
        <v>1917</v>
      </c>
      <c r="F269" s="997"/>
      <c r="G269" s="997" t="e">
        <f>+VLOOKUP(Data_Validation!$A269,BV_Data_An_Cour!$L:$Q,6,0)</f>
        <v>#N/A</v>
      </c>
      <c r="H269" s="165"/>
    </row>
    <row r="270" spans="1:8" ht="15" customHeight="1">
      <c r="A270" s="1143">
        <v>5115</v>
      </c>
      <c r="B270" s="169" t="s">
        <v>2449</v>
      </c>
      <c r="C270" s="945" t="s">
        <v>75</v>
      </c>
      <c r="D270" s="945" t="s">
        <v>89</v>
      </c>
      <c r="E270" s="997" t="s">
        <v>1917</v>
      </c>
      <c r="F270" s="997"/>
      <c r="G270" s="997" t="e">
        <f>+VLOOKUP(Data_Validation!$A270,BV_Data_An_Cour!$L:$Q,6,0)</f>
        <v>#N/A</v>
      </c>
      <c r="H270" s="165"/>
    </row>
    <row r="271" spans="1:8" s="570" customFormat="1" ht="15" customHeight="1">
      <c r="A271" s="1143">
        <v>5118</v>
      </c>
      <c r="B271" s="171" t="s">
        <v>2913</v>
      </c>
      <c r="C271" s="945" t="s">
        <v>75</v>
      </c>
      <c r="D271" s="945" t="s">
        <v>90</v>
      </c>
      <c r="E271" s="997" t="s">
        <v>1917</v>
      </c>
      <c r="F271" s="997"/>
      <c r="G271" s="997" t="e">
        <f>+VLOOKUP(Data_Validation!$A270,BV_Data_An_Cour!$L:$Q,6,0)</f>
        <v>#N/A</v>
      </c>
      <c r="H271" s="165"/>
    </row>
    <row r="272" spans="1:8" ht="15" customHeight="1">
      <c r="A272" s="1143">
        <v>5119</v>
      </c>
      <c r="B272" s="171" t="s">
        <v>2845</v>
      </c>
      <c r="C272" s="945" t="s">
        <v>75</v>
      </c>
      <c r="D272" s="945" t="s">
        <v>90</v>
      </c>
      <c r="E272" s="997" t="s">
        <v>1917</v>
      </c>
      <c r="F272" s="997"/>
      <c r="G272" s="997" t="str">
        <f>+VLOOKUP(Data_Validation!$A272,BV_Data_An_Cour!$L:$Q,6,0)</f>
        <v>6-Coût des ventes</v>
      </c>
      <c r="H272" s="165"/>
    </row>
    <row r="273" spans="1:8" ht="15" customHeight="1">
      <c r="A273" s="1157">
        <v>5127</v>
      </c>
      <c r="B273" s="169" t="s">
        <v>2831</v>
      </c>
      <c r="C273" s="945" t="s">
        <v>75</v>
      </c>
      <c r="D273" s="945" t="s">
        <v>89</v>
      </c>
      <c r="E273" s="997" t="s">
        <v>1917</v>
      </c>
      <c r="F273" s="997"/>
      <c r="G273" s="997" t="str">
        <f>+VLOOKUP(Data_Validation!$A273,BV_Data_An_Cour!$L:$Q,6,0)</f>
        <v>6-Coût des ventes</v>
      </c>
      <c r="H273" s="165"/>
    </row>
    <row r="274" spans="1:8" ht="15" customHeight="1">
      <c r="A274" s="1143">
        <v>5131</v>
      </c>
      <c r="B274" s="169" t="s">
        <v>2850</v>
      </c>
      <c r="C274" s="945" t="s">
        <v>75</v>
      </c>
      <c r="D274" s="945" t="s">
        <v>90</v>
      </c>
      <c r="E274" s="997" t="s">
        <v>1917</v>
      </c>
      <c r="F274" s="997"/>
      <c r="G274" s="997" t="str">
        <f>+VLOOKUP(Data_Validation!$A274,BV_Data_An_Cour!$L:$Q,6,0)</f>
        <v>6-Coût des ventes</v>
      </c>
      <c r="H274" s="165"/>
    </row>
    <row r="275" spans="1:8" ht="15" customHeight="1">
      <c r="A275" s="1158">
        <v>5135</v>
      </c>
      <c r="B275" s="1009" t="s">
        <v>2833</v>
      </c>
      <c r="C275" s="1010" t="s">
        <v>75</v>
      </c>
      <c r="D275" s="945" t="s">
        <v>89</v>
      </c>
      <c r="E275" s="997" t="s">
        <v>1917</v>
      </c>
      <c r="F275" s="997"/>
      <c r="G275" s="997" t="e">
        <f>+VLOOKUP(Data_Validation!$A275,BV_Data_An_Cour!$L:$Q,6,0)</f>
        <v>#N/A</v>
      </c>
      <c r="H275" s="165"/>
    </row>
    <row r="276" spans="1:8" ht="15" customHeight="1">
      <c r="A276" s="1158">
        <v>5137</v>
      </c>
      <c r="B276" s="1012" t="s">
        <v>2451</v>
      </c>
      <c r="C276" s="945" t="s">
        <v>75</v>
      </c>
      <c r="D276" s="945" t="s">
        <v>95</v>
      </c>
      <c r="E276" s="997" t="s">
        <v>1917</v>
      </c>
      <c r="F276" s="997"/>
      <c r="G276" s="997" t="e">
        <f>+VLOOKUP(Data_Validation!$A276,BV_Data_An_Cour!$L:$Q,6,0)</f>
        <v>#N/A</v>
      </c>
      <c r="H276" s="165"/>
    </row>
    <row r="277" spans="1:8" ht="15" customHeight="1">
      <c r="A277" s="1158">
        <v>5139</v>
      </c>
      <c r="B277" s="1013" t="s">
        <v>2451</v>
      </c>
      <c r="C277" s="945" t="s">
        <v>75</v>
      </c>
      <c r="D277" s="945" t="s">
        <v>94</v>
      </c>
      <c r="E277" s="997" t="s">
        <v>1917</v>
      </c>
      <c r="F277" s="997"/>
      <c r="G277" s="997" t="str">
        <f>+VLOOKUP(Data_Validation!$A277,BV_Data_An_Cour!$L:$Q,6,0)</f>
        <v>6-Coût des ventes</v>
      </c>
      <c r="H277" s="165"/>
    </row>
    <row r="278" spans="1:8" ht="15" customHeight="1">
      <c r="A278" s="1158">
        <v>5201</v>
      </c>
      <c r="B278" s="1013" t="s">
        <v>2847</v>
      </c>
      <c r="C278" s="945" t="s">
        <v>144</v>
      </c>
      <c r="D278" s="945" t="s">
        <v>146</v>
      </c>
      <c r="E278" s="997" t="s">
        <v>1917</v>
      </c>
      <c r="F278" s="997"/>
      <c r="G278" s="997" t="str">
        <f>+VLOOKUP(Data_Validation!$A278,BV_Data_An_Cour!$L:$Q,6,0)</f>
        <v>6-Coût des ventes</v>
      </c>
      <c r="H278" s="165"/>
    </row>
    <row r="279" spans="1:8" ht="15" customHeight="1">
      <c r="A279" s="1158">
        <v>5203</v>
      </c>
      <c r="B279" s="1014" t="s">
        <v>2825</v>
      </c>
      <c r="C279" s="1010" t="s">
        <v>144</v>
      </c>
      <c r="D279" s="945" t="s">
        <v>146</v>
      </c>
      <c r="E279" s="997" t="s">
        <v>1917</v>
      </c>
      <c r="F279" s="997"/>
      <c r="G279" s="997" t="str">
        <f>+VLOOKUP(Data_Validation!$A279,BV_Data_An_Cour!$L:$Q,6,0)</f>
        <v>6-Coût des ventes</v>
      </c>
      <c r="H279" s="165"/>
    </row>
    <row r="280" spans="1:8" ht="15" customHeight="1">
      <c r="A280" s="1143">
        <v>5211</v>
      </c>
      <c r="B280" s="171" t="s">
        <v>2613</v>
      </c>
      <c r="C280" s="945" t="s">
        <v>144</v>
      </c>
      <c r="D280" s="945" t="s">
        <v>147</v>
      </c>
      <c r="E280" s="997" t="s">
        <v>1917</v>
      </c>
      <c r="F280" s="997"/>
      <c r="G280" s="997" t="e">
        <f>+VLOOKUP(Data_Validation!$A280,BV_Data_An_Cour!$L:$Q,6,0)</f>
        <v>#N/A</v>
      </c>
      <c r="H280" s="165"/>
    </row>
    <row r="281" spans="1:8" ht="15" customHeight="1">
      <c r="A281" s="1143">
        <v>5213</v>
      </c>
      <c r="B281" s="169" t="s">
        <v>2453</v>
      </c>
      <c r="C281" s="945" t="s">
        <v>144</v>
      </c>
      <c r="D281" s="945" t="s">
        <v>147</v>
      </c>
      <c r="E281" s="997" t="s">
        <v>1917</v>
      </c>
      <c r="F281" s="997"/>
      <c r="G281" s="997" t="e">
        <f>+VLOOKUP(Data_Validation!$A281,BV_Data_An_Cour!$L:$Q,6,0)</f>
        <v>#N/A</v>
      </c>
      <c r="H281" s="165"/>
    </row>
    <row r="282" spans="1:8" ht="15" customHeight="1">
      <c r="A282" s="1143">
        <v>5285</v>
      </c>
      <c r="B282" s="169" t="s">
        <v>2035</v>
      </c>
      <c r="C282" s="945" t="s">
        <v>144</v>
      </c>
      <c r="D282" s="945" t="s">
        <v>147</v>
      </c>
      <c r="E282" s="997" t="s">
        <v>1917</v>
      </c>
      <c r="F282" s="997"/>
      <c r="G282" s="997" t="e">
        <f>+VLOOKUP(Data_Validation!$A282,BV_Data_An_Cour!$L:$Q,6,0)</f>
        <v>#N/A</v>
      </c>
      <c r="H282" s="165"/>
    </row>
    <row r="283" spans="1:8" ht="15" customHeight="1">
      <c r="A283" s="1153">
        <v>5286</v>
      </c>
      <c r="B283" s="171" t="s">
        <v>2667</v>
      </c>
      <c r="C283" s="945" t="s">
        <v>144</v>
      </c>
      <c r="D283" s="945" t="s">
        <v>147</v>
      </c>
      <c r="E283" s="997" t="s">
        <v>1917</v>
      </c>
      <c r="F283" s="997"/>
      <c r="G283" s="997" t="e">
        <f>+VLOOKUP(Data_Validation!$A283,BV_Data_An_Cour!$L:$Q,6,0)</f>
        <v>#N/A</v>
      </c>
      <c r="H283" s="165"/>
    </row>
    <row r="284" spans="1:8" ht="15" customHeight="1">
      <c r="A284" s="1143">
        <v>5291</v>
      </c>
      <c r="B284" s="171" t="s">
        <v>2003</v>
      </c>
      <c r="C284" s="945" t="s">
        <v>144</v>
      </c>
      <c r="D284" s="945" t="s">
        <v>150</v>
      </c>
      <c r="E284" s="997" t="s">
        <v>1917</v>
      </c>
      <c r="F284" s="997"/>
      <c r="G284" s="997" t="str">
        <f>+VLOOKUP(Data_Validation!$A284,BV_Data_An_Cour!$L:$Q,6,0)</f>
        <v>6-Coût des ventes</v>
      </c>
      <c r="H284" s="165"/>
    </row>
    <row r="285" spans="1:8" ht="15" customHeight="1">
      <c r="A285" s="1143">
        <v>5401</v>
      </c>
      <c r="B285" s="169" t="s">
        <v>2823</v>
      </c>
      <c r="C285" s="945" t="s">
        <v>155</v>
      </c>
      <c r="D285" s="945" t="s">
        <v>159</v>
      </c>
      <c r="E285" s="997" t="s">
        <v>1917</v>
      </c>
      <c r="F285" s="997"/>
      <c r="G285" s="997" t="str">
        <f>+VLOOKUP(Data_Validation!$A285,BV_Data_An_Cour!$L:$Q,6,0)</f>
        <v>6-Coût des ventes</v>
      </c>
      <c r="H285" s="165"/>
    </row>
    <row r="286" spans="1:8" ht="15" customHeight="1">
      <c r="A286" s="1143">
        <v>5402</v>
      </c>
      <c r="B286" s="171" t="s">
        <v>2561</v>
      </c>
      <c r="C286" s="945" t="s">
        <v>155</v>
      </c>
      <c r="D286" s="945" t="s">
        <v>163</v>
      </c>
      <c r="E286" s="997" t="s">
        <v>1917</v>
      </c>
      <c r="F286" s="997"/>
      <c r="G286" s="997" t="str">
        <f>+VLOOKUP(Data_Validation!$A286,BV_Data_An_Cour!$L:$Q,6,0)</f>
        <v>6-Coût des ventes</v>
      </c>
      <c r="H286" s="165"/>
    </row>
    <row r="287" spans="1:8" ht="15" customHeight="1">
      <c r="A287" s="1143">
        <v>5403</v>
      </c>
      <c r="B287" s="171" t="s">
        <v>2786</v>
      </c>
      <c r="C287" s="945" t="s">
        <v>155</v>
      </c>
      <c r="D287" s="945" t="s">
        <v>161</v>
      </c>
      <c r="E287" s="997" t="s">
        <v>1917</v>
      </c>
      <c r="F287" s="997"/>
      <c r="G287" s="997" t="str">
        <f>+VLOOKUP(Data_Validation!$A287,BV_Data_An_Cour!$L:$Q,6,0)</f>
        <v>6-Coût des ventes</v>
      </c>
      <c r="H287" s="165"/>
    </row>
    <row r="288" spans="1:8" ht="15" customHeight="1">
      <c r="A288" s="1143">
        <v>5405</v>
      </c>
      <c r="B288" s="171" t="s">
        <v>2772</v>
      </c>
      <c r="C288" s="945" t="s">
        <v>155</v>
      </c>
      <c r="D288" s="945" t="s">
        <v>162</v>
      </c>
      <c r="E288" s="997" t="s">
        <v>1917</v>
      </c>
      <c r="F288" s="997"/>
      <c r="G288" s="997" t="str">
        <f>+VLOOKUP(Data_Validation!$A288,BV_Data_An_Cour!$L:$Q,6,0)</f>
        <v>6-Coût des ventes</v>
      </c>
      <c r="H288" s="165"/>
    </row>
    <row r="289" spans="1:8" ht="15" customHeight="1">
      <c r="A289" s="1143">
        <v>5416</v>
      </c>
      <c r="B289" s="171" t="s">
        <v>2720</v>
      </c>
      <c r="C289" s="945" t="s">
        <v>155</v>
      </c>
      <c r="D289" s="945" t="s">
        <v>164</v>
      </c>
      <c r="E289" s="997" t="s">
        <v>1917</v>
      </c>
      <c r="F289" s="997"/>
      <c r="G289" s="997" t="str">
        <f>+VLOOKUP(Data_Validation!$A289,BV_Data_An_Cour!$L:$Q,6,0)</f>
        <v>6-Coût des ventes</v>
      </c>
      <c r="H289" s="165"/>
    </row>
    <row r="290" spans="1:8" ht="15" customHeight="1">
      <c r="A290" s="1143">
        <v>5451</v>
      </c>
      <c r="B290" s="171" t="s">
        <v>2068</v>
      </c>
      <c r="C290" s="945" t="s">
        <v>175</v>
      </c>
      <c r="D290" s="945" t="s">
        <v>187</v>
      </c>
      <c r="E290" s="997" t="s">
        <v>1917</v>
      </c>
      <c r="F290" s="997"/>
      <c r="G290" s="997" t="str">
        <f>+VLOOKUP(Data_Validation!$A290,BV_Data_An_Cour!$L:$Q,6,0)</f>
        <v>6-Coût des ventes</v>
      </c>
      <c r="H290" s="165"/>
    </row>
    <row r="291" spans="1:8" ht="15" customHeight="1">
      <c r="A291" s="1143">
        <v>5491</v>
      </c>
      <c r="B291" s="171" t="s">
        <v>2141</v>
      </c>
      <c r="C291" s="945" t="s">
        <v>155</v>
      </c>
      <c r="D291" s="945" t="s">
        <v>167</v>
      </c>
      <c r="E291" s="997" t="s">
        <v>1917</v>
      </c>
      <c r="F291" s="997"/>
      <c r="G291" s="997" t="str">
        <f>+VLOOKUP(Data_Validation!$A291,BV_Data_An_Cour!$L:$Q,6,0)</f>
        <v>6-Coût des ventes</v>
      </c>
      <c r="H291" s="165"/>
    </row>
    <row r="292" spans="1:8" ht="15" customHeight="1">
      <c r="A292" s="1143">
        <v>5493</v>
      </c>
      <c r="B292" s="169" t="s">
        <v>2682</v>
      </c>
      <c r="C292" s="945" t="s">
        <v>155</v>
      </c>
      <c r="D292" s="945" t="s">
        <v>167</v>
      </c>
      <c r="E292" s="997" t="s">
        <v>1917</v>
      </c>
      <c r="F292" s="1000"/>
      <c r="G292" s="1000" t="str">
        <f>+VLOOKUP(Data_Validation!$A292,BV_Data_An_Cour!$L:$Q,6,0)</f>
        <v>6-Coût des ventes</v>
      </c>
      <c r="H292" s="165"/>
    </row>
    <row r="293" spans="1:8" ht="15" customHeight="1">
      <c r="A293" s="1143">
        <v>5495</v>
      </c>
      <c r="B293" s="171" t="s">
        <v>2784</v>
      </c>
      <c r="C293" s="945" t="s">
        <v>155</v>
      </c>
      <c r="D293" s="945" t="s">
        <v>167</v>
      </c>
      <c r="E293" s="997" t="s">
        <v>1917</v>
      </c>
      <c r="F293" s="997"/>
      <c r="G293" s="997" t="str">
        <f>+VLOOKUP(Data_Validation!$A293,BV_Data_An_Cour!$L:$Q,6,0)</f>
        <v>6-Coût des ventes</v>
      </c>
      <c r="H293" s="165"/>
    </row>
    <row r="294" spans="1:8" ht="15" customHeight="1">
      <c r="A294" s="1143">
        <v>5591</v>
      </c>
      <c r="B294" s="171" t="s">
        <v>2793</v>
      </c>
      <c r="C294" s="945" t="s">
        <v>171</v>
      </c>
      <c r="D294" s="945" t="s">
        <v>172</v>
      </c>
      <c r="E294" s="997" t="s">
        <v>1917</v>
      </c>
      <c r="F294" s="997"/>
      <c r="G294" s="997" t="str">
        <f>+VLOOKUP(Data_Validation!$A294,BV_Data_An_Cour!$L:$Q,6,0)</f>
        <v>6-Coût des ventes</v>
      </c>
      <c r="H294" s="165"/>
    </row>
    <row r="295" spans="1:8" ht="15" customHeight="1">
      <c r="A295" s="1143">
        <v>5593</v>
      </c>
      <c r="B295" s="171" t="s">
        <v>2803</v>
      </c>
      <c r="C295" s="945" t="s">
        <v>171</v>
      </c>
      <c r="D295" s="945" t="s">
        <v>172</v>
      </c>
      <c r="E295" s="997" t="s">
        <v>1917</v>
      </c>
      <c r="F295" s="997"/>
      <c r="G295" s="997" t="str">
        <f>+VLOOKUP(Data_Validation!$A295,BV_Data_An_Cour!$L:$Q,6,0)</f>
        <v>6-Coût des ventes</v>
      </c>
      <c r="H295" s="165"/>
    </row>
    <row r="296" spans="1:8" ht="15" customHeight="1">
      <c r="A296" s="1143">
        <v>5595</v>
      </c>
      <c r="B296" s="171" t="s">
        <v>2762</v>
      </c>
      <c r="C296" s="945" t="s">
        <v>171</v>
      </c>
      <c r="D296" s="945" t="s">
        <v>172</v>
      </c>
      <c r="E296" s="997" t="s">
        <v>1917</v>
      </c>
      <c r="F296" s="997"/>
      <c r="G296" s="997" t="str">
        <f>+VLOOKUP(Data_Validation!$A296,BV_Data_An_Cour!$L:$Q,6,0)</f>
        <v>6-Coût des ventes</v>
      </c>
      <c r="H296" s="165"/>
    </row>
    <row r="297" spans="1:8" ht="15" customHeight="1">
      <c r="A297" s="1143">
        <v>5701</v>
      </c>
      <c r="B297" s="171" t="s">
        <v>2827</v>
      </c>
      <c r="C297" s="945" t="s">
        <v>175</v>
      </c>
      <c r="D297" s="945" t="s">
        <v>177</v>
      </c>
      <c r="E297" s="997" t="s">
        <v>1917</v>
      </c>
      <c r="F297" s="997"/>
      <c r="G297" s="997" t="str">
        <f>+VLOOKUP(Data_Validation!$A297,BV_Data_An_Cour!$L:$Q,6,0)</f>
        <v>6-Coût des ventes</v>
      </c>
      <c r="H297" s="165"/>
    </row>
    <row r="298" spans="1:8" ht="15" customHeight="1">
      <c r="A298" s="1143">
        <v>5702</v>
      </c>
      <c r="B298" s="171" t="s">
        <v>2653</v>
      </c>
      <c r="C298" s="945" t="s">
        <v>155</v>
      </c>
      <c r="D298" s="945" t="s">
        <v>159</v>
      </c>
      <c r="E298" s="997" t="s">
        <v>1917</v>
      </c>
      <c r="F298" s="997"/>
      <c r="G298" s="997" t="str">
        <f>+VLOOKUP(Data_Validation!$A298,BV_Data_An_Cour!$L:$Q,6,0)</f>
        <v>6-Coût des ventes</v>
      </c>
      <c r="H298" s="165"/>
    </row>
    <row r="299" spans="1:8" ht="15" customHeight="1">
      <c r="A299" s="1143">
        <v>5703</v>
      </c>
      <c r="B299" s="169" t="s">
        <v>2809</v>
      </c>
      <c r="C299" s="945" t="s">
        <v>175</v>
      </c>
      <c r="D299" s="945" t="s">
        <v>179</v>
      </c>
      <c r="E299" s="997" t="s">
        <v>1917</v>
      </c>
      <c r="F299" s="997"/>
      <c r="G299" s="997" t="str">
        <f>+VLOOKUP(Data_Validation!$A299,BV_Data_An_Cour!$L:$Q,6,0)</f>
        <v>6-Coût des ventes</v>
      </c>
      <c r="H299" s="165"/>
    </row>
    <row r="300" spans="1:8" ht="15" customHeight="1">
      <c r="A300" s="1143">
        <v>5705</v>
      </c>
      <c r="B300" s="171" t="s">
        <v>2806</v>
      </c>
      <c r="C300" s="945" t="s">
        <v>175</v>
      </c>
      <c r="D300" s="945" t="s">
        <v>180</v>
      </c>
      <c r="E300" s="997" t="s">
        <v>1917</v>
      </c>
      <c r="F300" s="997"/>
      <c r="G300" s="997" t="str">
        <f>+VLOOKUP(Data_Validation!$A300,BV_Data_An_Cour!$L:$Q,6,0)</f>
        <v>6-Coût des ventes</v>
      </c>
      <c r="H300" s="165"/>
    </row>
    <row r="301" spans="1:8" ht="15" customHeight="1">
      <c r="A301" s="1143">
        <v>5706</v>
      </c>
      <c r="B301" s="169" t="s">
        <v>2653</v>
      </c>
      <c r="C301" s="945" t="s">
        <v>155</v>
      </c>
      <c r="D301" s="945" t="s">
        <v>162</v>
      </c>
      <c r="E301" s="997" t="s">
        <v>1917</v>
      </c>
      <c r="F301" s="997"/>
      <c r="G301" s="997" t="str">
        <f>+VLOOKUP(Data_Validation!$A301,BV_Data_An_Cour!$L:$Q,6,0)</f>
        <v>6-Coût des ventes</v>
      </c>
      <c r="H301" s="165"/>
    </row>
    <row r="302" spans="1:8" ht="15" customHeight="1">
      <c r="A302" s="1143">
        <v>5711</v>
      </c>
      <c r="B302" s="171" t="s">
        <v>2455</v>
      </c>
      <c r="C302" s="945" t="s">
        <v>175</v>
      </c>
      <c r="D302" s="945" t="s">
        <v>177</v>
      </c>
      <c r="E302" s="997" t="s">
        <v>1917</v>
      </c>
      <c r="F302" s="997"/>
      <c r="G302" s="997" t="str">
        <f>+VLOOKUP(Data_Validation!$A302,BV_Data_An_Cour!$L:$Q,6,0)</f>
        <v>6-Coût des ventes</v>
      </c>
      <c r="H302" s="165"/>
    </row>
    <row r="303" spans="1:8" s="570" customFormat="1" ht="15" customHeight="1">
      <c r="A303" s="1143">
        <v>5715</v>
      </c>
      <c r="B303" s="171" t="s">
        <v>2940</v>
      </c>
      <c r="C303" s="945" t="s">
        <v>175</v>
      </c>
      <c r="D303" s="945" t="s">
        <v>180</v>
      </c>
      <c r="E303" s="997" t="s">
        <v>1917</v>
      </c>
      <c r="F303" s="997"/>
      <c r="G303" s="997" t="e">
        <f>+VLOOKUP(Data_Validation!$A303,BV_Data_An_Cour!$L:$Q,6,0)</f>
        <v>#N/A</v>
      </c>
      <c r="H303" s="165"/>
    </row>
    <row r="304" spans="1:8" ht="15" customHeight="1">
      <c r="A304" s="1143">
        <v>5721</v>
      </c>
      <c r="B304" s="169" t="s">
        <v>2455</v>
      </c>
      <c r="C304" s="945" t="s">
        <v>175</v>
      </c>
      <c r="D304" s="945" t="s">
        <v>177</v>
      </c>
      <c r="E304" s="997" t="s">
        <v>1917</v>
      </c>
      <c r="F304" s="997"/>
      <c r="G304" s="997" t="e">
        <f>+VLOOKUP(Data_Validation!$A304,BV_Data_An_Cour!$L:$Q,6,0)</f>
        <v>#N/A</v>
      </c>
      <c r="H304" s="165"/>
    </row>
    <row r="305" spans="1:8" ht="15" customHeight="1">
      <c r="A305" s="1143">
        <v>5731</v>
      </c>
      <c r="B305" s="171" t="s">
        <v>2749</v>
      </c>
      <c r="C305" s="945" t="s">
        <v>175</v>
      </c>
      <c r="D305" s="945" t="s">
        <v>178</v>
      </c>
      <c r="E305" s="997" t="s">
        <v>1917</v>
      </c>
      <c r="F305" s="997"/>
      <c r="G305" s="997" t="str">
        <f>+VLOOKUP(Data_Validation!$A305,BV_Data_An_Cour!$L:$Q,6,0)</f>
        <v>6-Coût des ventes</v>
      </c>
      <c r="H305" s="165"/>
    </row>
    <row r="306" spans="1:8" ht="15" customHeight="1">
      <c r="A306" s="1143">
        <v>5733</v>
      </c>
      <c r="B306" s="169" t="s">
        <v>2782</v>
      </c>
      <c r="C306" s="945" t="s">
        <v>175</v>
      </c>
      <c r="D306" s="945" t="s">
        <v>178</v>
      </c>
      <c r="E306" s="997" t="s">
        <v>1917</v>
      </c>
      <c r="F306" s="997"/>
      <c r="G306" s="997" t="str">
        <f>+VLOOKUP(Data_Validation!$A306,BV_Data_An_Cour!$L:$Q,6,0)</f>
        <v>6-Coût des ventes</v>
      </c>
      <c r="H306" s="165"/>
    </row>
    <row r="307" spans="1:8" ht="15" customHeight="1">
      <c r="A307" s="1143">
        <v>5735</v>
      </c>
      <c r="B307" s="171" t="s">
        <v>2663</v>
      </c>
      <c r="C307" s="945" t="s">
        <v>175</v>
      </c>
      <c r="D307" s="945" t="s">
        <v>178</v>
      </c>
      <c r="E307" s="997" t="s">
        <v>1917</v>
      </c>
      <c r="F307" s="997"/>
      <c r="G307" s="997" t="str">
        <f>+VLOOKUP(Data_Validation!$A307,BV_Data_An_Cour!$L:$Q,6,0)</f>
        <v>6-Coût des ventes</v>
      </c>
      <c r="H307" s="165"/>
    </row>
    <row r="308" spans="1:8" ht="15" customHeight="1">
      <c r="A308" s="1143">
        <v>5761</v>
      </c>
      <c r="B308" s="171" t="s">
        <v>2789</v>
      </c>
      <c r="C308" s="945" t="s">
        <v>175</v>
      </c>
      <c r="D308" s="945" t="s">
        <v>181</v>
      </c>
      <c r="E308" s="997" t="s">
        <v>1917</v>
      </c>
      <c r="F308" s="997"/>
      <c r="G308" s="997" t="str">
        <f>+VLOOKUP(Data_Validation!$A308,BV_Data_An_Cour!$L:$Q,6,0)</f>
        <v>6-Coût des ventes</v>
      </c>
      <c r="H308" s="165"/>
    </row>
    <row r="309" spans="1:8" ht="15" customHeight="1">
      <c r="A309" s="1143">
        <v>5763</v>
      </c>
      <c r="B309" s="171" t="s">
        <v>2811</v>
      </c>
      <c r="C309" s="945" t="s">
        <v>175</v>
      </c>
      <c r="D309" s="945" t="s">
        <v>182</v>
      </c>
      <c r="E309" s="997" t="s">
        <v>1917</v>
      </c>
      <c r="F309" s="997"/>
      <c r="G309" s="997" t="str">
        <f>+VLOOKUP(Data_Validation!$A309,BV_Data_An_Cour!$L:$Q,6,0)</f>
        <v>6-Coût des ventes</v>
      </c>
      <c r="H309" s="165"/>
    </row>
    <row r="310" spans="1:8" ht="15" customHeight="1">
      <c r="A310" s="1143">
        <v>5781</v>
      </c>
      <c r="B310" s="171" t="s">
        <v>2815</v>
      </c>
      <c r="C310" s="945" t="s">
        <v>175</v>
      </c>
      <c r="D310" s="945" t="s">
        <v>186</v>
      </c>
      <c r="E310" s="997" t="s">
        <v>1917</v>
      </c>
      <c r="F310" s="997"/>
      <c r="G310" s="997" t="str">
        <f>+VLOOKUP(Data_Validation!$A310,BV_Data_An_Cour!$L:$Q,6,0)</f>
        <v>6-Coût des ventes</v>
      </c>
      <c r="H310" s="165"/>
    </row>
    <row r="311" spans="1:8" ht="15" customHeight="1">
      <c r="A311" s="1143">
        <v>5785</v>
      </c>
      <c r="B311" s="171" t="s">
        <v>2724</v>
      </c>
      <c r="C311" s="945" t="s">
        <v>175</v>
      </c>
      <c r="D311" s="945" t="s">
        <v>186</v>
      </c>
      <c r="E311" s="997" t="s">
        <v>1917</v>
      </c>
      <c r="F311" s="997"/>
      <c r="G311" s="997" t="str">
        <f>+VLOOKUP(Data_Validation!$A311,BV_Data_An_Cour!$L:$Q,6,0)</f>
        <v>6-Coût des ventes</v>
      </c>
      <c r="H311" s="165"/>
    </row>
    <row r="312" spans="1:8" ht="15" customHeight="1">
      <c r="A312" s="1143">
        <v>5792</v>
      </c>
      <c r="B312" s="169" t="s">
        <v>2457</v>
      </c>
      <c r="C312" s="945" t="s">
        <v>175</v>
      </c>
      <c r="D312" s="945" t="s">
        <v>184</v>
      </c>
      <c r="E312" s="997" t="s">
        <v>1917</v>
      </c>
      <c r="F312" s="997"/>
      <c r="G312" s="997" t="e">
        <f>+VLOOKUP(Data_Validation!$A312,BV_Data_An_Cour!$L:$Q,6,0)</f>
        <v>#N/A</v>
      </c>
      <c r="H312" s="165"/>
    </row>
    <row r="313" spans="1:8" ht="15" customHeight="1">
      <c r="A313" s="1143">
        <v>5796</v>
      </c>
      <c r="B313" s="171" t="s">
        <v>2132</v>
      </c>
      <c r="C313" s="945" t="s">
        <v>175</v>
      </c>
      <c r="D313" s="945" t="s">
        <v>183</v>
      </c>
      <c r="E313" s="997" t="s">
        <v>1917</v>
      </c>
      <c r="F313" s="997"/>
      <c r="G313" s="997" t="str">
        <f>+VLOOKUP(Data_Validation!$A313,BV_Data_An_Cour!$L:$Q,6,0)</f>
        <v>6-Coût des ventes</v>
      </c>
      <c r="H313" s="165"/>
    </row>
    <row r="314" spans="1:8" ht="15" customHeight="1">
      <c r="A314" s="1143">
        <v>6101</v>
      </c>
      <c r="B314" s="171" t="s">
        <v>1523</v>
      </c>
      <c r="C314" s="945" t="s">
        <v>75</v>
      </c>
      <c r="D314" s="945" t="s">
        <v>103</v>
      </c>
      <c r="E314" s="997" t="s">
        <v>1917</v>
      </c>
      <c r="F314" s="997"/>
      <c r="G314" s="997" t="str">
        <f>+VLOOKUP(Data_Validation!$A314,BV_Data_An_Cour!$L:$Q,6,0)</f>
        <v>7-Dépenses</v>
      </c>
      <c r="H314" s="165"/>
    </row>
    <row r="315" spans="1:8" ht="15" customHeight="1">
      <c r="A315" s="1143">
        <v>6102</v>
      </c>
      <c r="B315" s="171" t="s">
        <v>1442</v>
      </c>
      <c r="C315" s="945" t="s">
        <v>75</v>
      </c>
      <c r="D315" s="945" t="s">
        <v>104</v>
      </c>
      <c r="E315" s="997" t="s">
        <v>1917</v>
      </c>
      <c r="F315" s="997"/>
      <c r="G315" s="997" t="str">
        <f>+VLOOKUP(Data_Validation!$A315,BV_Data_An_Cour!$L:$Q,6,0)</f>
        <v>7-Dépenses</v>
      </c>
      <c r="H315" s="165"/>
    </row>
    <row r="316" spans="1:8" ht="15" customHeight="1">
      <c r="A316" s="1143">
        <v>6103</v>
      </c>
      <c r="B316" s="1009" t="s">
        <v>399</v>
      </c>
      <c r="C316" s="1010" t="s">
        <v>75</v>
      </c>
      <c r="D316" s="945" t="s">
        <v>106</v>
      </c>
      <c r="E316" s="997" t="s">
        <v>1917</v>
      </c>
      <c r="F316" s="997"/>
      <c r="G316" s="997" t="e">
        <f>+VLOOKUP(Data_Validation!$A316,BV_Data_An_Cour!$L:$Q,6,0)</f>
        <v>#N/A</v>
      </c>
      <c r="H316" s="165"/>
    </row>
    <row r="317" spans="1:8" ht="15" customHeight="1">
      <c r="A317" s="1143">
        <v>6106</v>
      </c>
      <c r="B317" s="1009" t="s">
        <v>2752</v>
      </c>
      <c r="C317" s="1010" t="s">
        <v>75</v>
      </c>
      <c r="D317" s="945" t="s">
        <v>107</v>
      </c>
      <c r="E317" s="997" t="s">
        <v>1917</v>
      </c>
      <c r="F317" s="997"/>
      <c r="G317" s="997" t="str">
        <f>+VLOOKUP(Data_Validation!$A317,BV_Data_An_Cour!$L:$Q,6,0)</f>
        <v>7-Dépenses</v>
      </c>
      <c r="H317" s="165"/>
    </row>
    <row r="318" spans="1:8" ht="15" customHeight="1">
      <c r="A318" s="1153">
        <v>6107</v>
      </c>
      <c r="B318" s="1014" t="s">
        <v>938</v>
      </c>
      <c r="C318" s="1010" t="s">
        <v>75</v>
      </c>
      <c r="D318" s="945" t="s">
        <v>109</v>
      </c>
      <c r="E318" s="997" t="s">
        <v>1917</v>
      </c>
      <c r="F318" s="997"/>
      <c r="G318" s="997" t="str">
        <f>+VLOOKUP(Data_Validation!$A318,BV_Data_An_Cour!$L:$Q,6,0)</f>
        <v>7-Dépenses</v>
      </c>
      <c r="H318" s="165"/>
    </row>
    <row r="319" spans="1:8" ht="15" customHeight="1">
      <c r="A319" s="1143">
        <v>6108</v>
      </c>
      <c r="B319" s="1009" t="s">
        <v>1407</v>
      </c>
      <c r="C319" s="1010" t="s">
        <v>75</v>
      </c>
      <c r="D319" s="945" t="s">
        <v>105</v>
      </c>
      <c r="E319" s="997" t="s">
        <v>1917</v>
      </c>
      <c r="F319" s="997"/>
      <c r="G319" s="997" t="str">
        <f>+VLOOKUP(Data_Validation!$A319,BV_Data_An_Cour!$L:$Q,6,0)</f>
        <v>7-Dépenses</v>
      </c>
      <c r="H319" s="165"/>
    </row>
    <row r="320" spans="1:8" ht="15" customHeight="1">
      <c r="A320" s="1153">
        <v>6114</v>
      </c>
      <c r="B320" s="1014" t="s">
        <v>1374</v>
      </c>
      <c r="C320" s="1010" t="s">
        <v>75</v>
      </c>
      <c r="D320" s="945" t="s">
        <v>108</v>
      </c>
      <c r="E320" s="997" t="s">
        <v>1917</v>
      </c>
      <c r="F320" s="997"/>
      <c r="G320" s="997" t="str">
        <f>+VLOOKUP(Data_Validation!$A320,BV_Data_An_Cour!$L:$Q,6,0)</f>
        <v>7-Dépenses</v>
      </c>
      <c r="H320" s="165"/>
    </row>
    <row r="321" spans="1:8" ht="15" customHeight="1">
      <c r="A321" s="1143">
        <v>6115</v>
      </c>
      <c r="B321" s="171" t="s">
        <v>2108</v>
      </c>
      <c r="C321" s="945" t="s">
        <v>75</v>
      </c>
      <c r="D321" s="945" t="s">
        <v>108</v>
      </c>
      <c r="E321" s="997" t="s">
        <v>1917</v>
      </c>
      <c r="F321" s="997"/>
      <c r="G321" s="997" t="str">
        <f>+VLOOKUP(Data_Validation!$A321,BV_Data_An_Cour!$L:$Q,6,0)</f>
        <v>7-Dépenses</v>
      </c>
      <c r="H321" s="165"/>
    </row>
    <row r="322" spans="1:8" ht="15" customHeight="1">
      <c r="A322" s="1143">
        <v>6121</v>
      </c>
      <c r="B322" s="171" t="s">
        <v>1259</v>
      </c>
      <c r="C322" s="945" t="s">
        <v>75</v>
      </c>
      <c r="D322" s="945" t="s">
        <v>213</v>
      </c>
      <c r="E322" s="997" t="s">
        <v>1917</v>
      </c>
      <c r="F322" s="997"/>
      <c r="G322" s="997" t="str">
        <f>+VLOOKUP(Data_Validation!$A322,BV_Data_An_Cour!$L:$Q,6,0)</f>
        <v>7-Dépenses</v>
      </c>
      <c r="H322" s="165"/>
    </row>
    <row r="323" spans="1:8" ht="15" customHeight="1">
      <c r="A323" s="1153">
        <v>6122</v>
      </c>
      <c r="B323" s="169" t="s">
        <v>2619</v>
      </c>
      <c r="C323" s="945" t="s">
        <v>75</v>
      </c>
      <c r="D323" s="945" t="s">
        <v>112</v>
      </c>
      <c r="E323" s="997" t="s">
        <v>1917</v>
      </c>
      <c r="F323" s="997"/>
      <c r="G323" s="997" t="str">
        <f>+VLOOKUP(Data_Validation!$A323,BV_Data_An_Cour!$L:$Q,6,0)</f>
        <v>7-Dépenses</v>
      </c>
      <c r="H323" s="165"/>
    </row>
    <row r="324" spans="1:8" ht="15" customHeight="1">
      <c r="A324" s="1143">
        <v>6123</v>
      </c>
      <c r="B324" s="171" t="s">
        <v>1342</v>
      </c>
      <c r="C324" s="945" t="s">
        <v>75</v>
      </c>
      <c r="D324" s="945" t="s">
        <v>113</v>
      </c>
      <c r="E324" s="997" t="s">
        <v>1917</v>
      </c>
      <c r="F324" s="997"/>
      <c r="G324" s="997" t="str">
        <f>+VLOOKUP(Data_Validation!$A324,BV_Data_An_Cour!$L:$Q,6,0)</f>
        <v>7-Dépenses</v>
      </c>
      <c r="H324" s="165"/>
    </row>
    <row r="325" spans="1:8" ht="15" customHeight="1">
      <c r="A325" s="1153">
        <v>6124</v>
      </c>
      <c r="B325" s="169" t="s">
        <v>1249</v>
      </c>
      <c r="C325" s="945" t="s">
        <v>75</v>
      </c>
      <c r="D325" s="945" t="s">
        <v>114</v>
      </c>
      <c r="E325" s="997" t="s">
        <v>1917</v>
      </c>
      <c r="F325" s="997"/>
      <c r="G325" s="997" t="str">
        <f>+VLOOKUP(Data_Validation!$A325,BV_Data_An_Cour!$L:$Q,6,0)</f>
        <v>7-Dépenses</v>
      </c>
      <c r="H325" s="165"/>
    </row>
    <row r="326" spans="1:8" ht="15" customHeight="1">
      <c r="A326" s="1143">
        <v>6129</v>
      </c>
      <c r="B326" s="171" t="s">
        <v>1445</v>
      </c>
      <c r="C326" s="945" t="s">
        <v>75</v>
      </c>
      <c r="D326" s="945" t="s">
        <v>116</v>
      </c>
      <c r="E326" s="997" t="s">
        <v>1917</v>
      </c>
      <c r="F326" s="997"/>
      <c r="G326" s="997" t="str">
        <f>+VLOOKUP(Data_Validation!$A326,BV_Data_An_Cour!$L:$Q,6,0)</f>
        <v>7-Dépenses</v>
      </c>
      <c r="H326" s="165"/>
    </row>
    <row r="327" spans="1:8" ht="15" customHeight="1">
      <c r="A327" s="1143">
        <v>6131</v>
      </c>
      <c r="B327" s="171" t="s">
        <v>1252</v>
      </c>
      <c r="C327" s="945" t="s">
        <v>75</v>
      </c>
      <c r="D327" s="945" t="s">
        <v>119</v>
      </c>
      <c r="E327" s="997" t="s">
        <v>1917</v>
      </c>
      <c r="F327" s="997"/>
      <c r="G327" s="997" t="str">
        <f>+VLOOKUP(Data_Validation!$A327,BV_Data_An_Cour!$L:$Q,6,0)</f>
        <v>7-Dépenses</v>
      </c>
      <c r="H327" s="165"/>
    </row>
    <row r="328" spans="1:8" ht="15" customHeight="1">
      <c r="A328" s="1143">
        <v>6132</v>
      </c>
      <c r="B328" s="171" t="s">
        <v>1283</v>
      </c>
      <c r="C328" s="945" t="s">
        <v>75</v>
      </c>
      <c r="D328" s="945" t="s">
        <v>117</v>
      </c>
      <c r="E328" s="997" t="s">
        <v>1917</v>
      </c>
      <c r="F328" s="997"/>
      <c r="G328" s="997" t="str">
        <f>+VLOOKUP(Data_Validation!$A328,BV_Data_An_Cour!$L:$Q,6,0)</f>
        <v>7-Dépenses</v>
      </c>
      <c r="H328" s="165"/>
    </row>
    <row r="329" spans="1:8" ht="15" customHeight="1">
      <c r="A329" s="1153">
        <v>6139</v>
      </c>
      <c r="B329" s="169" t="s">
        <v>1414</v>
      </c>
      <c r="C329" s="945" t="s">
        <v>75</v>
      </c>
      <c r="D329" s="945" t="s">
        <v>118</v>
      </c>
      <c r="E329" s="997" t="s">
        <v>1917</v>
      </c>
      <c r="F329" s="997"/>
      <c r="G329" s="997" t="str">
        <f>+VLOOKUP(Data_Validation!$A329,BV_Data_An_Cour!$L:$Q,6,0)</f>
        <v>7-Dépenses</v>
      </c>
      <c r="H329" s="165"/>
    </row>
    <row r="330" spans="1:8" ht="15" customHeight="1">
      <c r="A330" s="1153">
        <v>6142</v>
      </c>
      <c r="B330" s="169" t="s">
        <v>1157</v>
      </c>
      <c r="C330" s="945" t="s">
        <v>75</v>
      </c>
      <c r="D330" s="945" t="s">
        <v>127</v>
      </c>
      <c r="E330" s="997" t="s">
        <v>1917</v>
      </c>
      <c r="F330" s="997"/>
      <c r="G330" s="997" t="str">
        <f>+VLOOKUP(Data_Validation!$A330,BV_Data_An_Cour!$L:$Q,6,0)</f>
        <v>7-Dépenses</v>
      </c>
      <c r="H330" s="165"/>
    </row>
    <row r="331" spans="1:8" ht="15" customHeight="1">
      <c r="A331" s="1153">
        <v>6143</v>
      </c>
      <c r="B331" s="171" t="s">
        <v>932</v>
      </c>
      <c r="C331" s="945" t="s">
        <v>75</v>
      </c>
      <c r="D331" s="945" t="s">
        <v>128</v>
      </c>
      <c r="E331" s="997" t="s">
        <v>1917</v>
      </c>
      <c r="F331" s="997"/>
      <c r="G331" s="997" t="e">
        <f>+VLOOKUP(Data_Validation!$A331,BV_Data_An_Cour!$L:$Q,6,0)</f>
        <v>#N/A</v>
      </c>
      <c r="H331" s="165"/>
    </row>
    <row r="332" spans="1:8" ht="15" customHeight="1">
      <c r="A332" s="1153">
        <v>6144</v>
      </c>
      <c r="B332" s="171" t="s">
        <v>934</v>
      </c>
      <c r="C332" s="945" t="s">
        <v>75</v>
      </c>
      <c r="D332" s="945" t="s">
        <v>133</v>
      </c>
      <c r="E332" s="997" t="s">
        <v>1917</v>
      </c>
      <c r="F332" s="997"/>
      <c r="G332" s="997" t="str">
        <f>+VLOOKUP(Data_Validation!$A332,BV_Data_An_Cour!$L:$Q,6,0)</f>
        <v>7-Dépenses</v>
      </c>
      <c r="H332" s="165"/>
    </row>
    <row r="333" spans="1:8" ht="15" customHeight="1">
      <c r="A333" s="1143">
        <v>6145</v>
      </c>
      <c r="B333" s="171" t="s">
        <v>1186</v>
      </c>
      <c r="C333" s="945" t="s">
        <v>75</v>
      </c>
      <c r="D333" s="945" t="s">
        <v>123</v>
      </c>
      <c r="E333" s="997" t="s">
        <v>1917</v>
      </c>
      <c r="F333" s="997"/>
      <c r="G333" s="997" t="str">
        <f>+VLOOKUP(Data_Validation!$A333,BV_Data_An_Cour!$L:$Q,6,0)</f>
        <v>7-Dépenses</v>
      </c>
      <c r="H333" s="165"/>
    </row>
    <row r="334" spans="1:8" ht="15" customHeight="1">
      <c r="A334" s="1153">
        <v>6147</v>
      </c>
      <c r="B334" s="169" t="s">
        <v>1180</v>
      </c>
      <c r="C334" s="945" t="s">
        <v>75</v>
      </c>
      <c r="D334" s="945" t="s">
        <v>131</v>
      </c>
      <c r="E334" s="997" t="s">
        <v>1917</v>
      </c>
      <c r="F334" s="997"/>
      <c r="G334" s="997" t="str">
        <f>+VLOOKUP(Data_Validation!$A334,BV_Data_An_Cour!$L:$Q,6,0)</f>
        <v>7-Dépenses</v>
      </c>
      <c r="H334" s="165"/>
    </row>
    <row r="335" spans="1:8" ht="15" customHeight="1">
      <c r="A335" s="1153">
        <v>6151</v>
      </c>
      <c r="B335" s="169" t="s">
        <v>1286</v>
      </c>
      <c r="C335" s="945" t="s">
        <v>75</v>
      </c>
      <c r="D335" s="945" t="s">
        <v>124</v>
      </c>
      <c r="E335" s="997" t="s">
        <v>1917</v>
      </c>
      <c r="F335" s="997"/>
      <c r="G335" s="997" t="str">
        <f>+VLOOKUP(Data_Validation!$A335,BV_Data_An_Cour!$L:$Q,6,0)</f>
        <v>7-Dépenses</v>
      </c>
      <c r="H335" s="165"/>
    </row>
    <row r="336" spans="1:8" ht="15" customHeight="1">
      <c r="A336" s="1143">
        <v>6152</v>
      </c>
      <c r="B336" s="169" t="s">
        <v>1206</v>
      </c>
      <c r="C336" s="945" t="s">
        <v>75</v>
      </c>
      <c r="D336" s="945" t="s">
        <v>129</v>
      </c>
      <c r="E336" s="997" t="s">
        <v>1917</v>
      </c>
      <c r="F336" s="997"/>
      <c r="G336" s="997" t="str">
        <f>+VLOOKUP(Data_Validation!$A336,BV_Data_An_Cour!$L:$Q,6,0)</f>
        <v>7-Dépenses</v>
      </c>
      <c r="H336" s="165"/>
    </row>
    <row r="337" spans="1:8" ht="15" customHeight="1">
      <c r="A337" s="1153">
        <v>6153</v>
      </c>
      <c r="B337" s="169" t="s">
        <v>1154</v>
      </c>
      <c r="C337" s="945" t="s">
        <v>75</v>
      </c>
      <c r="D337" s="945" t="s">
        <v>130</v>
      </c>
      <c r="E337" s="997" t="s">
        <v>1917</v>
      </c>
      <c r="F337" s="997"/>
      <c r="G337" s="997" t="str">
        <f>+VLOOKUP(Data_Validation!$A337,BV_Data_An_Cour!$L:$Q,6,0)</f>
        <v>7-Dépenses</v>
      </c>
      <c r="H337" s="165"/>
    </row>
    <row r="338" spans="1:8" ht="15" customHeight="1">
      <c r="A338" s="1143">
        <v>6155</v>
      </c>
      <c r="B338" s="169" t="s">
        <v>1237</v>
      </c>
      <c r="C338" s="945" t="s">
        <v>75</v>
      </c>
      <c r="D338" s="945" t="s">
        <v>132</v>
      </c>
      <c r="E338" s="997" t="s">
        <v>1917</v>
      </c>
      <c r="F338" s="997"/>
      <c r="G338" s="997" t="str">
        <f>+VLOOKUP(Data_Validation!$A338,BV_Data_An_Cour!$L:$Q,6,0)</f>
        <v>7-Dépenses</v>
      </c>
      <c r="H338" s="165"/>
    </row>
    <row r="339" spans="1:8" ht="15" customHeight="1">
      <c r="A339" s="1153">
        <v>6156</v>
      </c>
      <c r="B339" s="169" t="s">
        <v>1315</v>
      </c>
      <c r="C339" s="945" t="s">
        <v>75</v>
      </c>
      <c r="D339" s="945" t="s">
        <v>125</v>
      </c>
      <c r="E339" s="997" t="s">
        <v>1917</v>
      </c>
      <c r="F339" s="997"/>
      <c r="G339" s="997" t="str">
        <f>+VLOOKUP(Data_Validation!$A339,BV_Data_An_Cour!$L:$Q,6,0)</f>
        <v>7-Dépenses</v>
      </c>
      <c r="H339" s="165"/>
    </row>
    <row r="340" spans="1:8" ht="15" customHeight="1">
      <c r="A340" s="1143">
        <v>6159</v>
      </c>
      <c r="B340" s="171" t="s">
        <v>1308</v>
      </c>
      <c r="C340" s="945" t="s">
        <v>75</v>
      </c>
      <c r="D340" s="945" t="s">
        <v>126</v>
      </c>
      <c r="E340" s="997" t="s">
        <v>1917</v>
      </c>
      <c r="F340" s="997"/>
      <c r="G340" s="997" t="str">
        <f>+VLOOKUP(Data_Validation!$A340,BV_Data_An_Cour!$L:$Q,6,0)</f>
        <v>7-Dépenses</v>
      </c>
      <c r="H340" s="165"/>
    </row>
    <row r="341" spans="1:8" ht="15" customHeight="1">
      <c r="A341" s="1143">
        <v>6161</v>
      </c>
      <c r="B341" s="171" t="s">
        <v>1333</v>
      </c>
      <c r="C341" s="945" t="s">
        <v>75</v>
      </c>
      <c r="D341" s="945" t="s">
        <v>260</v>
      </c>
      <c r="E341" s="997" t="s">
        <v>1917</v>
      </c>
      <c r="F341" s="997"/>
      <c r="G341" s="997" t="str">
        <f>+VLOOKUP(Data_Validation!$A341,BV_Data_An_Cour!$L:$Q,6,0)</f>
        <v>7-Dépenses</v>
      </c>
      <c r="H341" s="165"/>
    </row>
    <row r="342" spans="1:8" ht="15" customHeight="1">
      <c r="A342" s="1143">
        <v>6162</v>
      </c>
      <c r="B342" s="171" t="s">
        <v>936</v>
      </c>
      <c r="C342" s="945" t="s">
        <v>75</v>
      </c>
      <c r="D342" s="945" t="s">
        <v>250</v>
      </c>
      <c r="E342" s="997" t="s">
        <v>1917</v>
      </c>
      <c r="F342" s="997"/>
      <c r="G342" s="997" t="e">
        <f>+VLOOKUP(Data_Validation!$A342,BV_Data_An_Cour!$L:$Q,6,0)</f>
        <v>#N/A</v>
      </c>
      <c r="H342" s="165"/>
    </row>
    <row r="343" spans="1:8" ht="15" customHeight="1">
      <c r="A343" s="1143">
        <v>6181</v>
      </c>
      <c r="B343" s="171" t="s">
        <v>1332</v>
      </c>
      <c r="C343" s="945" t="s">
        <v>75</v>
      </c>
      <c r="D343" s="945" t="s">
        <v>244</v>
      </c>
      <c r="E343" s="997" t="s">
        <v>1917</v>
      </c>
      <c r="F343" s="997"/>
      <c r="G343" s="997" t="str">
        <f>+VLOOKUP(Data_Validation!$A343,BV_Data_An_Cour!$L:$Q,6,0)</f>
        <v>7-Dépenses</v>
      </c>
      <c r="H343" s="165"/>
    </row>
    <row r="344" spans="1:8" ht="15" customHeight="1">
      <c r="A344" s="1153">
        <v>6182</v>
      </c>
      <c r="B344" s="169" t="s">
        <v>1469</v>
      </c>
      <c r="C344" s="945" t="s">
        <v>75</v>
      </c>
      <c r="D344" s="945" t="s">
        <v>235</v>
      </c>
      <c r="E344" s="997" t="s">
        <v>1917</v>
      </c>
      <c r="F344" s="997"/>
      <c r="G344" s="997" t="str">
        <f>+VLOOKUP(Data_Validation!$A344,BV_Data_An_Cour!$L:$Q,6,0)</f>
        <v>7-Dépenses</v>
      </c>
      <c r="H344" s="165"/>
    </row>
    <row r="345" spans="1:8" ht="15" customHeight="1">
      <c r="A345" s="1143">
        <v>6186</v>
      </c>
      <c r="B345" s="171" t="s">
        <v>1366</v>
      </c>
      <c r="C345" s="945" t="s">
        <v>75</v>
      </c>
      <c r="D345" s="945" t="s">
        <v>242</v>
      </c>
      <c r="E345" s="997" t="s">
        <v>1917</v>
      </c>
      <c r="F345" s="997"/>
      <c r="G345" s="997" t="str">
        <f>+VLOOKUP(Data_Validation!$A345,BV_Data_An_Cour!$L:$Q,6,0)</f>
        <v>7-Dépenses</v>
      </c>
      <c r="H345" s="165"/>
    </row>
    <row r="346" spans="1:8" ht="15" customHeight="1">
      <c r="A346" s="1153">
        <v>6187</v>
      </c>
      <c r="B346" s="169" t="s">
        <v>1362</v>
      </c>
      <c r="C346" s="945" t="s">
        <v>75</v>
      </c>
      <c r="D346" s="945" t="s">
        <v>237</v>
      </c>
      <c r="E346" s="997" t="s">
        <v>1917</v>
      </c>
      <c r="F346" s="997"/>
      <c r="G346" s="997" t="str">
        <f>+VLOOKUP(Data_Validation!$A346,BV_Data_An_Cour!$L:$Q,6,0)</f>
        <v>7-Dépenses</v>
      </c>
      <c r="H346" s="165"/>
    </row>
    <row r="347" spans="1:8" ht="15" customHeight="1">
      <c r="A347" s="1143">
        <v>6193</v>
      </c>
      <c r="B347" s="169" t="s">
        <v>1296</v>
      </c>
      <c r="C347" s="945" t="s">
        <v>75</v>
      </c>
      <c r="D347" s="945" t="s">
        <v>239</v>
      </c>
      <c r="E347" s="997" t="s">
        <v>1917</v>
      </c>
      <c r="F347" s="997"/>
      <c r="G347" s="997" t="str">
        <f>+VLOOKUP(Data_Validation!$A347,BV_Data_An_Cour!$L:$Q,6,0)</f>
        <v>7-Dépenses</v>
      </c>
      <c r="H347" s="165"/>
    </row>
    <row r="348" spans="1:8" ht="15" customHeight="1">
      <c r="A348" s="1153">
        <v>6194</v>
      </c>
      <c r="B348" s="169" t="s">
        <v>1395</v>
      </c>
      <c r="C348" s="945" t="s">
        <v>75</v>
      </c>
      <c r="D348" s="945" t="s">
        <v>246</v>
      </c>
      <c r="E348" s="997" t="s">
        <v>1917</v>
      </c>
      <c r="F348" s="997"/>
      <c r="G348" s="997" t="str">
        <f>+VLOOKUP(Data_Validation!$A348,BV_Data_An_Cour!$L:$Q,6,0)</f>
        <v>7-Dépenses</v>
      </c>
      <c r="H348" s="165"/>
    </row>
    <row r="349" spans="1:8" s="570" customFormat="1" ht="15" customHeight="1">
      <c r="A349" s="1153">
        <v>6195</v>
      </c>
      <c r="B349" s="169" t="s">
        <v>1898</v>
      </c>
      <c r="C349" s="945" t="s">
        <v>75</v>
      </c>
      <c r="D349" s="945" t="s">
        <v>252</v>
      </c>
      <c r="E349" s="997" t="s">
        <v>1917</v>
      </c>
      <c r="F349" s="997"/>
      <c r="G349" s="997" t="e">
        <f>+VLOOKUP(Data_Validation!$A349,BV_Data_An_Cour!$L:$Q,6,0)</f>
        <v>#N/A</v>
      </c>
      <c r="H349" s="165"/>
    </row>
    <row r="350" spans="1:8" s="570" customFormat="1" ht="15" customHeight="1">
      <c r="A350" s="1153">
        <v>6295</v>
      </c>
      <c r="B350" s="169" t="s">
        <v>1900</v>
      </c>
      <c r="C350" s="945" t="s">
        <v>144</v>
      </c>
      <c r="D350" s="945" t="s">
        <v>252</v>
      </c>
      <c r="E350" s="997" t="s">
        <v>1917</v>
      </c>
      <c r="F350" s="997"/>
      <c r="G350" s="997" t="e">
        <f>+VLOOKUP(Data_Validation!$A350,BV_Data_An_Cour!$L:$Q,6,0)</f>
        <v>#N/A</v>
      </c>
      <c r="H350" s="165"/>
    </row>
    <row r="351" spans="1:8" s="570" customFormat="1" ht="15" customHeight="1">
      <c r="A351" s="1153">
        <v>6495</v>
      </c>
      <c r="B351" s="169" t="s">
        <v>1902</v>
      </c>
      <c r="C351" s="945" t="s">
        <v>155</v>
      </c>
      <c r="D351" s="945" t="s">
        <v>252</v>
      </c>
      <c r="E351" s="997" t="s">
        <v>1917</v>
      </c>
      <c r="F351" s="997"/>
      <c r="G351" s="997" t="e">
        <f>+VLOOKUP(Data_Validation!$A351,BV_Data_An_Cour!$L:$Q,6,0)</f>
        <v>#N/A</v>
      </c>
      <c r="H351" s="165"/>
    </row>
    <row r="352" spans="1:8" s="570" customFormat="1" ht="15" customHeight="1">
      <c r="A352" s="1153">
        <v>6595</v>
      </c>
      <c r="B352" s="169" t="s">
        <v>1904</v>
      </c>
      <c r="C352" s="945" t="s">
        <v>171</v>
      </c>
      <c r="D352" s="945" t="s">
        <v>252</v>
      </c>
      <c r="E352" s="997" t="s">
        <v>1917</v>
      </c>
      <c r="F352" s="997"/>
      <c r="G352" s="997" t="e">
        <f>+VLOOKUP(Data_Validation!$A352,BV_Data_An_Cour!$L:$Q,6,0)</f>
        <v>#N/A</v>
      </c>
      <c r="H352" s="165"/>
    </row>
    <row r="353" spans="1:8" s="570" customFormat="1" ht="15" customHeight="1">
      <c r="A353" s="1153">
        <v>6795</v>
      </c>
      <c r="B353" s="169" t="s">
        <v>1906</v>
      </c>
      <c r="C353" s="945" t="s">
        <v>175</v>
      </c>
      <c r="D353" s="945" t="s">
        <v>252</v>
      </c>
      <c r="E353" s="997" t="s">
        <v>1917</v>
      </c>
      <c r="F353" s="997"/>
      <c r="G353" s="997" t="e">
        <f>+VLOOKUP(Data_Validation!$A353,BV_Data_An_Cour!$L:$Q,6,0)</f>
        <v>#N/A</v>
      </c>
      <c r="H353" s="165"/>
    </row>
    <row r="354" spans="1:8" ht="15" customHeight="1">
      <c r="A354" s="1143">
        <v>6201</v>
      </c>
      <c r="B354" s="166" t="s">
        <v>1483</v>
      </c>
      <c r="C354" s="945" t="s">
        <v>144</v>
      </c>
      <c r="D354" s="945" t="s">
        <v>103</v>
      </c>
      <c r="E354" s="997" t="s">
        <v>1917</v>
      </c>
      <c r="F354" s="997"/>
      <c r="G354" s="997" t="str">
        <f>+VLOOKUP(Data_Validation!$A354,BV_Data_An_Cour!$L:$Q,6,0)</f>
        <v>7-Dépenses</v>
      </c>
      <c r="H354" s="165"/>
    </row>
    <row r="355" spans="1:8" ht="15" customHeight="1">
      <c r="A355" s="1143">
        <v>6202</v>
      </c>
      <c r="B355" s="166" t="s">
        <v>1442</v>
      </c>
      <c r="C355" s="945" t="s">
        <v>144</v>
      </c>
      <c r="D355" s="945" t="s">
        <v>104</v>
      </c>
      <c r="E355" s="997" t="s">
        <v>1917</v>
      </c>
      <c r="F355" s="997"/>
      <c r="G355" s="997" t="str">
        <f>+VLOOKUP(Data_Validation!$A355,BV_Data_An_Cour!$L:$Q,6,0)</f>
        <v>7-Dépenses</v>
      </c>
      <c r="H355" s="165"/>
    </row>
    <row r="356" spans="1:8" ht="15" customHeight="1">
      <c r="A356" s="1153">
        <v>6203</v>
      </c>
      <c r="B356" s="169" t="s">
        <v>1230</v>
      </c>
      <c r="C356" s="945" t="s">
        <v>144</v>
      </c>
      <c r="D356" s="945" t="s">
        <v>106</v>
      </c>
      <c r="E356" s="997" t="s">
        <v>1917</v>
      </c>
      <c r="F356" s="997"/>
      <c r="G356" s="997" t="str">
        <f>+VLOOKUP(Data_Validation!$A356,BV_Data_An_Cour!$L:$Q,6,0)</f>
        <v>7-Dépenses</v>
      </c>
      <c r="H356" s="165"/>
    </row>
    <row r="357" spans="1:8" ht="15" customHeight="1">
      <c r="A357" s="1143">
        <v>6206</v>
      </c>
      <c r="B357" s="166" t="s">
        <v>2752</v>
      </c>
      <c r="C357" s="945" t="s">
        <v>144</v>
      </c>
      <c r="D357" s="945" t="s">
        <v>107</v>
      </c>
      <c r="E357" s="997" t="s">
        <v>1917</v>
      </c>
      <c r="F357" s="997"/>
      <c r="G357" s="997" t="str">
        <f>+VLOOKUP(Data_Validation!$A357,BV_Data_An_Cour!$L:$Q,6,0)</f>
        <v>7-Dépenses</v>
      </c>
      <c r="H357" s="165"/>
    </row>
    <row r="358" spans="1:8" ht="15" customHeight="1">
      <c r="A358" s="1153">
        <v>6207</v>
      </c>
      <c r="B358" s="169" t="s">
        <v>938</v>
      </c>
      <c r="C358" s="945" t="s">
        <v>144</v>
      </c>
      <c r="D358" s="945" t="s">
        <v>109</v>
      </c>
      <c r="E358" s="997" t="s">
        <v>1917</v>
      </c>
      <c r="F358" s="997"/>
      <c r="G358" s="997" t="str">
        <f>+VLOOKUP(Data_Validation!$A358,BV_Data_An_Cour!$L:$Q,6,0)</f>
        <v>7-Dépenses</v>
      </c>
      <c r="H358" s="165"/>
    </row>
    <row r="359" spans="1:8" ht="15" customHeight="1">
      <c r="A359" s="1143">
        <v>6208</v>
      </c>
      <c r="B359" s="166" t="s">
        <v>1407</v>
      </c>
      <c r="C359" s="945" t="s">
        <v>144</v>
      </c>
      <c r="D359" s="945" t="s">
        <v>105</v>
      </c>
      <c r="E359" s="997" t="s">
        <v>1917</v>
      </c>
      <c r="F359" s="997"/>
      <c r="G359" s="997" t="str">
        <f>+VLOOKUP(Data_Validation!$A359,BV_Data_An_Cour!$L:$Q,6,0)</f>
        <v>7-Dépenses</v>
      </c>
      <c r="H359" s="165"/>
    </row>
    <row r="360" spans="1:8" ht="15" customHeight="1">
      <c r="A360" s="1143">
        <v>6214</v>
      </c>
      <c r="B360" s="166" t="s">
        <v>1374</v>
      </c>
      <c r="C360" s="945" t="s">
        <v>144</v>
      </c>
      <c r="D360" s="945" t="s">
        <v>108</v>
      </c>
      <c r="E360" s="997" t="s">
        <v>1917</v>
      </c>
      <c r="F360" s="997"/>
      <c r="G360" s="997" t="str">
        <f>+VLOOKUP(Data_Validation!$A360,BV_Data_An_Cour!$L:$Q,6,0)</f>
        <v>7-Dépenses</v>
      </c>
      <c r="H360" s="165"/>
    </row>
    <row r="361" spans="1:8" ht="15" customHeight="1">
      <c r="A361" s="1153">
        <v>6215</v>
      </c>
      <c r="B361" s="169" t="s">
        <v>2145</v>
      </c>
      <c r="C361" s="945" t="s">
        <v>144</v>
      </c>
      <c r="D361" s="945" t="s">
        <v>108</v>
      </c>
      <c r="E361" s="997" t="s">
        <v>1917</v>
      </c>
      <c r="F361" s="997"/>
      <c r="G361" s="997" t="str">
        <f>+VLOOKUP(Data_Validation!$A361,BV_Data_An_Cour!$L:$Q,6,0)</f>
        <v>7-Dépenses</v>
      </c>
      <c r="H361" s="165"/>
    </row>
    <row r="362" spans="1:8" ht="15" customHeight="1">
      <c r="A362" s="1153">
        <v>6221</v>
      </c>
      <c r="B362" s="166" t="s">
        <v>1259</v>
      </c>
      <c r="C362" s="945" t="s">
        <v>144</v>
      </c>
      <c r="D362" s="945" t="s">
        <v>213</v>
      </c>
      <c r="E362" s="997" t="s">
        <v>1917</v>
      </c>
      <c r="F362" s="997"/>
      <c r="G362" s="997" t="str">
        <f>+VLOOKUP(Data_Validation!$A362,BV_Data_An_Cour!$L:$Q,6,0)</f>
        <v>7-Dépenses</v>
      </c>
      <c r="H362" s="165"/>
    </row>
    <row r="363" spans="1:8" ht="15" customHeight="1">
      <c r="A363" s="1143">
        <v>6222</v>
      </c>
      <c r="B363" s="166" t="s">
        <v>2619</v>
      </c>
      <c r="C363" s="945" t="s">
        <v>144</v>
      </c>
      <c r="D363" s="945" t="s">
        <v>112</v>
      </c>
      <c r="E363" s="997" t="s">
        <v>1917</v>
      </c>
      <c r="F363" s="997"/>
      <c r="G363" s="997" t="str">
        <f>+VLOOKUP(Data_Validation!$A363,BV_Data_An_Cour!$L:$Q,6,0)</f>
        <v>7-Dépenses</v>
      </c>
    </row>
    <row r="364" spans="1:8" ht="15" customHeight="1">
      <c r="A364" s="1143">
        <v>6223</v>
      </c>
      <c r="B364" s="166" t="s">
        <v>1342</v>
      </c>
      <c r="C364" s="945" t="s">
        <v>144</v>
      </c>
      <c r="D364" s="945" t="s">
        <v>113</v>
      </c>
      <c r="E364" s="997" t="s">
        <v>1917</v>
      </c>
      <c r="F364" s="997"/>
      <c r="G364" s="997" t="str">
        <f>+VLOOKUP(Data_Validation!$A364,BV_Data_An_Cour!$L:$Q,6,0)</f>
        <v>7-Dépenses</v>
      </c>
    </row>
    <row r="365" spans="1:8" ht="15" customHeight="1">
      <c r="A365" s="1143">
        <v>6224</v>
      </c>
      <c r="B365" s="166" t="s">
        <v>1412</v>
      </c>
      <c r="C365" s="945" t="s">
        <v>144</v>
      </c>
      <c r="D365" s="945" t="s">
        <v>114</v>
      </c>
      <c r="E365" s="997" t="s">
        <v>1917</v>
      </c>
      <c r="F365" s="997"/>
      <c r="G365" s="997" t="str">
        <f>+VLOOKUP(Data_Validation!$A365,BV_Data_An_Cour!$L:$Q,6,0)</f>
        <v>7-Dépenses</v>
      </c>
      <c r="H365" s="165"/>
    </row>
    <row r="366" spans="1:8" ht="15" customHeight="1">
      <c r="A366" s="1143">
        <v>6229</v>
      </c>
      <c r="B366" s="166" t="s">
        <v>1211</v>
      </c>
      <c r="C366" s="945" t="s">
        <v>144</v>
      </c>
      <c r="D366" s="945" t="s">
        <v>116</v>
      </c>
      <c r="E366" s="997" t="s">
        <v>1917</v>
      </c>
      <c r="F366" s="997"/>
      <c r="G366" s="997" t="str">
        <f>+VLOOKUP(Data_Validation!$A366,BV_Data_An_Cour!$L:$Q,6,0)</f>
        <v>7-Dépenses</v>
      </c>
      <c r="H366" s="165"/>
    </row>
    <row r="367" spans="1:8" ht="15" customHeight="1">
      <c r="A367" s="1143">
        <v>6231</v>
      </c>
      <c r="B367" s="166" t="s">
        <v>1252</v>
      </c>
      <c r="C367" s="945" t="s">
        <v>144</v>
      </c>
      <c r="D367" s="945" t="s">
        <v>119</v>
      </c>
      <c r="E367" s="997" t="s">
        <v>1917</v>
      </c>
      <c r="F367" s="997"/>
      <c r="G367" s="997" t="str">
        <f>+VLOOKUP(Data_Validation!$A367,BV_Data_An_Cour!$L:$Q,6,0)</f>
        <v>7-Dépenses</v>
      </c>
      <c r="H367" s="165"/>
    </row>
    <row r="368" spans="1:8" ht="15" customHeight="1">
      <c r="A368" s="1143">
        <v>6232</v>
      </c>
      <c r="B368" s="166" t="s">
        <v>1283</v>
      </c>
      <c r="C368" s="945" t="s">
        <v>144</v>
      </c>
      <c r="D368" s="945" t="s">
        <v>117</v>
      </c>
      <c r="E368" s="997" t="s">
        <v>1917</v>
      </c>
      <c r="F368" s="997"/>
      <c r="G368" s="997" t="str">
        <f>+VLOOKUP(Data_Validation!$A368,BV_Data_An_Cour!$L:$Q,6,0)</f>
        <v>7-Dépenses</v>
      </c>
      <c r="H368" s="165"/>
    </row>
    <row r="369" spans="1:8" ht="15" customHeight="1">
      <c r="A369" s="1143">
        <v>6239</v>
      </c>
      <c r="B369" s="166" t="s">
        <v>1305</v>
      </c>
      <c r="C369" s="945" t="s">
        <v>144</v>
      </c>
      <c r="D369" s="945" t="s">
        <v>118</v>
      </c>
      <c r="E369" s="997" t="s">
        <v>1917</v>
      </c>
      <c r="F369" s="997"/>
      <c r="G369" s="997" t="str">
        <f>+VLOOKUP(Data_Validation!$A369,BV_Data_An_Cour!$L:$Q,6,0)</f>
        <v>7-Dépenses</v>
      </c>
      <c r="H369" s="165"/>
    </row>
    <row r="370" spans="1:8" ht="15" customHeight="1">
      <c r="A370" s="1143">
        <v>6242</v>
      </c>
      <c r="B370" s="166" t="s">
        <v>1157</v>
      </c>
      <c r="C370" s="945" t="s">
        <v>144</v>
      </c>
      <c r="D370" s="945" t="s">
        <v>127</v>
      </c>
      <c r="E370" s="997" t="s">
        <v>1917</v>
      </c>
      <c r="F370" s="997"/>
      <c r="G370" s="997" t="str">
        <f>+VLOOKUP(Data_Validation!$A370,BV_Data_An_Cour!$L:$Q,6,0)</f>
        <v>7-Dépenses</v>
      </c>
      <c r="H370" s="165"/>
    </row>
    <row r="371" spans="1:8" ht="15" customHeight="1">
      <c r="A371" s="1143">
        <v>6243</v>
      </c>
      <c r="B371" s="166" t="s">
        <v>932</v>
      </c>
      <c r="C371" s="945" t="s">
        <v>144</v>
      </c>
      <c r="D371" s="945" t="s">
        <v>128</v>
      </c>
      <c r="E371" s="997" t="s">
        <v>1917</v>
      </c>
      <c r="F371" s="997"/>
      <c r="G371" s="997" t="e">
        <f>+VLOOKUP(Data_Validation!$A371,BV_Data_An_Cour!$L:$Q,6,0)</f>
        <v>#N/A</v>
      </c>
      <c r="H371" s="165"/>
    </row>
    <row r="372" spans="1:8" ht="15" customHeight="1">
      <c r="A372" s="1153">
        <v>6244</v>
      </c>
      <c r="B372" s="169" t="s">
        <v>934</v>
      </c>
      <c r="C372" s="945" t="s">
        <v>144</v>
      </c>
      <c r="D372" s="945" t="s">
        <v>133</v>
      </c>
      <c r="E372" s="997" t="s">
        <v>1917</v>
      </c>
      <c r="F372" s="997"/>
      <c r="G372" s="997" t="str">
        <f>+VLOOKUP(Data_Validation!$A372,BV_Data_An_Cour!$L:$Q,6,0)</f>
        <v>7-Dépenses</v>
      </c>
      <c r="H372" s="165"/>
    </row>
    <row r="373" spans="1:8" ht="15" customHeight="1">
      <c r="A373" s="1143">
        <v>6245</v>
      </c>
      <c r="B373" s="166" t="s">
        <v>1186</v>
      </c>
      <c r="C373" s="945" t="s">
        <v>144</v>
      </c>
      <c r="D373" s="945" t="s">
        <v>123</v>
      </c>
      <c r="E373" s="997" t="s">
        <v>1917</v>
      </c>
      <c r="F373" s="997"/>
      <c r="G373" s="997" t="str">
        <f>+VLOOKUP(Data_Validation!$A373,BV_Data_An_Cour!$L:$Q,6,0)</f>
        <v>7-Dépenses</v>
      </c>
      <c r="H373" s="165"/>
    </row>
    <row r="374" spans="1:8" ht="15" customHeight="1">
      <c r="A374" s="1153">
        <v>6247</v>
      </c>
      <c r="B374" s="169" t="s">
        <v>1180</v>
      </c>
      <c r="C374" s="945" t="s">
        <v>144</v>
      </c>
      <c r="D374" s="945" t="s">
        <v>131</v>
      </c>
      <c r="E374" s="997" t="s">
        <v>1917</v>
      </c>
      <c r="F374" s="1000"/>
      <c r="G374" s="1000" t="str">
        <f>+VLOOKUP(Data_Validation!$A374,BV_Data_An_Cour!$L:$Q,6,0)</f>
        <v>7-Dépenses</v>
      </c>
      <c r="H374" s="165"/>
    </row>
    <row r="375" spans="1:8" ht="15" customHeight="1">
      <c r="A375" s="1143">
        <v>6251</v>
      </c>
      <c r="B375" s="166" t="s">
        <v>1286</v>
      </c>
      <c r="C375" s="945" t="s">
        <v>144</v>
      </c>
      <c r="D375" s="945" t="s">
        <v>124</v>
      </c>
      <c r="E375" s="997" t="s">
        <v>1917</v>
      </c>
      <c r="F375" s="997"/>
      <c r="G375" s="997" t="str">
        <f>+VLOOKUP(Data_Validation!$A375,BV_Data_An_Cour!$L:$Q,6,0)</f>
        <v>7-Dépenses</v>
      </c>
      <c r="H375" s="165"/>
    </row>
    <row r="376" spans="1:8" ht="15" customHeight="1">
      <c r="A376" s="1153">
        <v>6252</v>
      </c>
      <c r="B376" s="169" t="s">
        <v>1206</v>
      </c>
      <c r="C376" s="945" t="s">
        <v>144</v>
      </c>
      <c r="D376" s="945" t="s">
        <v>129</v>
      </c>
      <c r="E376" s="997" t="s">
        <v>1917</v>
      </c>
      <c r="F376" s="997"/>
      <c r="G376" s="997" t="str">
        <f>+VLOOKUP(Data_Validation!$A376,BV_Data_An_Cour!$L:$Q,6,0)</f>
        <v>7-Dépenses</v>
      </c>
      <c r="H376" s="165"/>
    </row>
    <row r="377" spans="1:8" ht="15" customHeight="1">
      <c r="A377" s="1143">
        <v>6253</v>
      </c>
      <c r="B377" s="166" t="s">
        <v>1154</v>
      </c>
      <c r="C377" s="945" t="s">
        <v>144</v>
      </c>
      <c r="D377" s="945" t="s">
        <v>130</v>
      </c>
      <c r="E377" s="997" t="s">
        <v>1917</v>
      </c>
      <c r="F377" s="997"/>
      <c r="G377" s="997" t="str">
        <f>+VLOOKUP(Data_Validation!$A377,BV_Data_An_Cour!$L:$Q,6,0)</f>
        <v>7-Dépenses</v>
      </c>
      <c r="H377" s="165"/>
    </row>
    <row r="378" spans="1:8" ht="15" customHeight="1">
      <c r="A378" s="1143">
        <v>6255</v>
      </c>
      <c r="B378" s="169" t="s">
        <v>1237</v>
      </c>
      <c r="C378" s="945" t="s">
        <v>144</v>
      </c>
      <c r="D378" s="945" t="s">
        <v>132</v>
      </c>
      <c r="E378" s="997" t="s">
        <v>1917</v>
      </c>
      <c r="F378" s="997"/>
      <c r="G378" s="997" t="str">
        <f>+VLOOKUP(Data_Validation!$A378,BV_Data_An_Cour!$L:$Q,6,0)</f>
        <v>7-Dépenses</v>
      </c>
      <c r="H378" s="165"/>
    </row>
    <row r="379" spans="1:8" ht="15" customHeight="1">
      <c r="A379" s="1143">
        <v>6256</v>
      </c>
      <c r="B379" s="166" t="s">
        <v>1247</v>
      </c>
      <c r="C379" s="945" t="s">
        <v>144</v>
      </c>
      <c r="D379" s="945" t="s">
        <v>125</v>
      </c>
      <c r="E379" s="997" t="s">
        <v>1917</v>
      </c>
      <c r="F379" s="997"/>
      <c r="G379" s="997" t="str">
        <f>+VLOOKUP(Data_Validation!$A379,BV_Data_An_Cour!$L:$Q,6,0)</f>
        <v>7-Dépenses</v>
      </c>
      <c r="H379" s="165"/>
    </row>
    <row r="380" spans="1:8" ht="15" customHeight="1">
      <c r="A380" s="1143">
        <v>6259</v>
      </c>
      <c r="B380" s="169" t="s">
        <v>1308</v>
      </c>
      <c r="C380" s="945" t="s">
        <v>144</v>
      </c>
      <c r="D380" s="945" t="s">
        <v>126</v>
      </c>
      <c r="E380" s="997" t="s">
        <v>1917</v>
      </c>
      <c r="F380" s="1000"/>
      <c r="G380" s="1000" t="str">
        <f>+VLOOKUP(Data_Validation!$A380,BV_Data_An_Cour!$L:$Q,6,0)</f>
        <v>7-Dépenses</v>
      </c>
      <c r="H380" s="165"/>
    </row>
    <row r="381" spans="1:8" ht="15" customHeight="1">
      <c r="A381" s="1143">
        <v>6261</v>
      </c>
      <c r="B381" s="166" t="s">
        <v>1333</v>
      </c>
      <c r="C381" s="945" t="s">
        <v>144</v>
      </c>
      <c r="D381" s="945" t="s">
        <v>260</v>
      </c>
      <c r="E381" s="997" t="s">
        <v>1917</v>
      </c>
      <c r="F381" s="997"/>
      <c r="G381" s="997" t="str">
        <f>+VLOOKUP(Data_Validation!$A381,BV_Data_An_Cour!$L:$Q,6,0)</f>
        <v>7-Dépenses</v>
      </c>
      <c r="H381" s="165"/>
    </row>
    <row r="382" spans="1:8" ht="15" customHeight="1">
      <c r="A382" s="1143">
        <v>6262</v>
      </c>
      <c r="B382" s="166" t="s">
        <v>936</v>
      </c>
      <c r="C382" s="945" t="s">
        <v>144</v>
      </c>
      <c r="D382" s="945" t="s">
        <v>250</v>
      </c>
      <c r="E382" s="997" t="s">
        <v>1917</v>
      </c>
      <c r="F382" s="997"/>
      <c r="G382" s="997" t="e">
        <f>+VLOOKUP(Data_Validation!$A382,BV_Data_An_Cour!$L:$Q,6,0)</f>
        <v>#N/A</v>
      </c>
      <c r="H382" s="165"/>
    </row>
    <row r="383" spans="1:8" ht="15" customHeight="1">
      <c r="A383" s="1143">
        <v>6281</v>
      </c>
      <c r="B383" s="169" t="s">
        <v>1380</v>
      </c>
      <c r="C383" s="945" t="s">
        <v>144</v>
      </c>
      <c r="D383" s="945" t="s">
        <v>244</v>
      </c>
      <c r="E383" s="997" t="s">
        <v>1917</v>
      </c>
      <c r="F383" s="997"/>
      <c r="G383" s="997" t="str">
        <f>+VLOOKUP(Data_Validation!$A383,BV_Data_An_Cour!$L:$Q,6,0)</f>
        <v>7-Dépenses</v>
      </c>
      <c r="H383" s="165"/>
    </row>
    <row r="384" spans="1:8" ht="15" customHeight="1">
      <c r="A384" s="1143">
        <v>6282</v>
      </c>
      <c r="B384" s="166" t="s">
        <v>1462</v>
      </c>
      <c r="C384" s="945" t="s">
        <v>144</v>
      </c>
      <c r="D384" s="945" t="s">
        <v>235</v>
      </c>
      <c r="E384" s="997" t="s">
        <v>1917</v>
      </c>
      <c r="F384" s="997"/>
      <c r="G384" s="997" t="str">
        <f>+VLOOKUP(Data_Validation!$A384,BV_Data_An_Cour!$L:$Q,6,0)</f>
        <v>7-Dépenses</v>
      </c>
      <c r="H384" s="165"/>
    </row>
    <row r="385" spans="1:12" ht="15" customHeight="1">
      <c r="A385" s="1143">
        <v>6286</v>
      </c>
      <c r="B385" s="166" t="s">
        <v>1290</v>
      </c>
      <c r="C385" s="945" t="s">
        <v>144</v>
      </c>
      <c r="D385" s="945" t="s">
        <v>242</v>
      </c>
      <c r="E385" s="997" t="s">
        <v>1917</v>
      </c>
      <c r="F385" s="997"/>
      <c r="G385" s="997" t="str">
        <f>+VLOOKUP(Data_Validation!$A385,BV_Data_An_Cour!$L:$Q,6,0)</f>
        <v>7-Dépenses</v>
      </c>
      <c r="H385" s="165"/>
    </row>
    <row r="386" spans="1:12" ht="15" customHeight="1">
      <c r="A386" s="1143">
        <v>6287</v>
      </c>
      <c r="B386" s="169" t="s">
        <v>1203</v>
      </c>
      <c r="C386" s="945" t="s">
        <v>144</v>
      </c>
      <c r="D386" s="945" t="s">
        <v>237</v>
      </c>
      <c r="E386" s="997" t="s">
        <v>1917</v>
      </c>
      <c r="F386" s="997"/>
      <c r="G386" s="997" t="str">
        <f>+VLOOKUP(Data_Validation!$A386,BV_Data_An_Cour!$L:$Q,6,0)</f>
        <v>7-Dépenses</v>
      </c>
      <c r="H386" s="165"/>
    </row>
    <row r="387" spans="1:12" ht="15" customHeight="1">
      <c r="A387" s="1143">
        <v>6293</v>
      </c>
      <c r="B387" s="166" t="s">
        <v>1393</v>
      </c>
      <c r="C387" s="945" t="s">
        <v>144</v>
      </c>
      <c r="D387" s="945" t="s">
        <v>239</v>
      </c>
      <c r="E387" s="997" t="s">
        <v>1917</v>
      </c>
      <c r="F387" s="997"/>
      <c r="G387" s="997" t="str">
        <f>+VLOOKUP(Data_Validation!$A387,BV_Data_An_Cour!$L:$Q,6,0)</f>
        <v>7-Dépenses</v>
      </c>
      <c r="H387" s="165"/>
    </row>
    <row r="388" spans="1:12" ht="15" customHeight="1">
      <c r="A388" s="1143">
        <v>6294</v>
      </c>
      <c r="B388" s="169" t="s">
        <v>1318</v>
      </c>
      <c r="C388" s="945" t="s">
        <v>144</v>
      </c>
      <c r="D388" s="945" t="s">
        <v>246</v>
      </c>
      <c r="E388" s="997" t="s">
        <v>1917</v>
      </c>
      <c r="F388" s="997"/>
      <c r="G388" s="997" t="str">
        <f>+VLOOKUP(Data_Validation!$A388,BV_Data_An_Cour!$L:$Q,6,0)</f>
        <v>7-Dépenses</v>
      </c>
      <c r="H388" s="165"/>
    </row>
    <row r="389" spans="1:12" ht="15" customHeight="1">
      <c r="A389" s="1143">
        <v>6403</v>
      </c>
      <c r="B389" s="166" t="s">
        <v>1403</v>
      </c>
      <c r="C389" s="945" t="s">
        <v>155</v>
      </c>
      <c r="D389" s="945" t="s">
        <v>122</v>
      </c>
      <c r="E389" s="997" t="s">
        <v>1917</v>
      </c>
      <c r="F389" s="997"/>
      <c r="G389" s="997" t="str">
        <f>+VLOOKUP(Data_Validation!$A389,BV_Data_An_Cour!$L:$Q,6,0)</f>
        <v>7-Dépenses</v>
      </c>
      <c r="H389" s="165"/>
    </row>
    <row r="390" spans="1:12" ht="15" customHeight="1">
      <c r="A390" s="1153">
        <v>6412</v>
      </c>
      <c r="B390" s="169" t="s">
        <v>1450</v>
      </c>
      <c r="C390" s="945" t="s">
        <v>155</v>
      </c>
      <c r="D390" s="945" t="s">
        <v>122</v>
      </c>
      <c r="E390" s="997" t="s">
        <v>1917</v>
      </c>
      <c r="F390" s="997"/>
      <c r="G390" s="997" t="str">
        <f>+VLOOKUP(Data_Validation!$A390,BV_Data_An_Cour!$L:$Q,6,0)</f>
        <v>7-Dépenses</v>
      </c>
      <c r="H390" s="165"/>
    </row>
    <row r="391" spans="1:12" ht="15" customHeight="1">
      <c r="A391" s="1143">
        <v>6414</v>
      </c>
      <c r="B391" s="166" t="s">
        <v>1374</v>
      </c>
      <c r="C391" s="945" t="s">
        <v>155</v>
      </c>
      <c r="D391" s="945" t="s">
        <v>121</v>
      </c>
      <c r="E391" s="997" t="s">
        <v>1917</v>
      </c>
      <c r="F391" s="997"/>
      <c r="G391" s="997" t="str">
        <f>+VLOOKUP(Data_Validation!$A391,BV_Data_An_Cour!$L:$Q,6,0)</f>
        <v>7-Dépenses</v>
      </c>
      <c r="H391" s="165"/>
    </row>
    <row r="392" spans="1:12" ht="15" customHeight="1">
      <c r="A392" s="1153">
        <v>6421</v>
      </c>
      <c r="B392" s="169" t="s">
        <v>1259</v>
      </c>
      <c r="C392" s="945" t="s">
        <v>155</v>
      </c>
      <c r="D392" s="945" t="s">
        <v>213</v>
      </c>
      <c r="E392" s="997" t="s">
        <v>1917</v>
      </c>
      <c r="F392" s="997"/>
      <c r="G392" s="997" t="str">
        <f>+VLOOKUP(Data_Validation!$A392,BV_Data_An_Cour!$L:$Q,6,0)</f>
        <v>7-Dépenses</v>
      </c>
      <c r="H392" s="165"/>
      <c r="L392" s="2"/>
    </row>
    <row r="393" spans="1:12" ht="15" customHeight="1">
      <c r="A393" s="1143">
        <v>6422</v>
      </c>
      <c r="B393" s="166" t="s">
        <v>2619</v>
      </c>
      <c r="C393" s="945" t="s">
        <v>155</v>
      </c>
      <c r="D393" s="945" t="s">
        <v>112</v>
      </c>
      <c r="E393" s="997" t="s">
        <v>1917</v>
      </c>
      <c r="F393" s="997"/>
      <c r="G393" s="997" t="str">
        <f>+VLOOKUP(Data_Validation!$A393,BV_Data_An_Cour!$L:$Q,6,0)</f>
        <v>7-Dépenses</v>
      </c>
      <c r="H393" s="165"/>
    </row>
    <row r="394" spans="1:12" ht="15" customHeight="1">
      <c r="A394" s="1153">
        <v>6423</v>
      </c>
      <c r="B394" s="169" t="s">
        <v>1266</v>
      </c>
      <c r="C394" s="945" t="s">
        <v>155</v>
      </c>
      <c r="D394" s="945" t="s">
        <v>113</v>
      </c>
      <c r="E394" s="997" t="s">
        <v>1917</v>
      </c>
      <c r="F394" s="997"/>
      <c r="G394" s="997" t="str">
        <f>+VLOOKUP(Data_Validation!$A394,BV_Data_An_Cour!$L:$Q,6,0)</f>
        <v>7-Dépenses</v>
      </c>
      <c r="H394" s="165"/>
    </row>
    <row r="395" spans="1:12" ht="15" customHeight="1">
      <c r="A395" s="1143">
        <v>6424</v>
      </c>
      <c r="B395" s="166" t="s">
        <v>1249</v>
      </c>
      <c r="C395" s="945" t="s">
        <v>155</v>
      </c>
      <c r="D395" s="945" t="s">
        <v>114</v>
      </c>
      <c r="E395" s="997" t="s">
        <v>1917</v>
      </c>
      <c r="F395" s="997"/>
      <c r="G395" s="997" t="str">
        <f>+VLOOKUP(Data_Validation!$A395,BV_Data_An_Cour!$L:$Q,6,0)</f>
        <v>7-Dépenses</v>
      </c>
      <c r="H395" s="165"/>
    </row>
    <row r="396" spans="1:12" ht="15" customHeight="1">
      <c r="A396" s="1153">
        <v>6425</v>
      </c>
      <c r="B396" s="169" t="s">
        <v>1330</v>
      </c>
      <c r="C396" s="945" t="s">
        <v>155</v>
      </c>
      <c r="D396" s="945" t="s">
        <v>115</v>
      </c>
      <c r="E396" s="997" t="s">
        <v>1917</v>
      </c>
      <c r="F396" s="997"/>
      <c r="G396" s="997" t="str">
        <f>+VLOOKUP(Data_Validation!$A396,BV_Data_An_Cour!$L:$Q,6,0)</f>
        <v>7-Dépenses</v>
      </c>
      <c r="H396" s="165"/>
    </row>
    <row r="397" spans="1:12" ht="15" customHeight="1">
      <c r="A397" s="1143">
        <v>6429</v>
      </c>
      <c r="B397" s="166" t="s">
        <v>1448</v>
      </c>
      <c r="C397" s="945" t="s">
        <v>155</v>
      </c>
      <c r="D397" s="945" t="s">
        <v>116</v>
      </c>
      <c r="E397" s="997" t="s">
        <v>1917</v>
      </c>
      <c r="F397" s="997"/>
      <c r="G397" s="997" t="str">
        <f>+VLOOKUP(Data_Validation!$A397,BV_Data_An_Cour!$L:$Q,6,0)</f>
        <v>7-Dépenses</v>
      </c>
      <c r="H397" s="165"/>
    </row>
    <row r="398" spans="1:12" ht="15" customHeight="1">
      <c r="A398" s="1153">
        <v>6431</v>
      </c>
      <c r="B398" s="169" t="s">
        <v>1252</v>
      </c>
      <c r="C398" s="945" t="s">
        <v>155</v>
      </c>
      <c r="D398" s="945" t="s">
        <v>119</v>
      </c>
      <c r="E398" s="997" t="s">
        <v>1917</v>
      </c>
      <c r="F398" s="997"/>
      <c r="G398" s="997" t="str">
        <f>+VLOOKUP(Data_Validation!$A398,BV_Data_An_Cour!$L:$Q,6,0)</f>
        <v>7-Dépenses</v>
      </c>
      <c r="H398" s="165"/>
    </row>
    <row r="399" spans="1:12" ht="15" customHeight="1">
      <c r="A399" s="1143">
        <v>6432</v>
      </c>
      <c r="B399" s="166" t="s">
        <v>1283</v>
      </c>
      <c r="C399" s="945" t="s">
        <v>155</v>
      </c>
      <c r="D399" s="945" t="s">
        <v>117</v>
      </c>
      <c r="E399" s="997" t="s">
        <v>1917</v>
      </c>
      <c r="F399" s="997"/>
      <c r="G399" s="997" t="str">
        <f>+VLOOKUP(Data_Validation!$A399,BV_Data_An_Cour!$L:$Q,6,0)</f>
        <v>7-Dépenses</v>
      </c>
      <c r="H399" s="165"/>
    </row>
    <row r="400" spans="1:12" ht="15" customHeight="1">
      <c r="A400" s="1153">
        <v>6433</v>
      </c>
      <c r="B400" s="169" t="s">
        <v>1220</v>
      </c>
      <c r="C400" s="945" t="s">
        <v>155</v>
      </c>
      <c r="D400" s="945" t="s">
        <v>118</v>
      </c>
      <c r="E400" s="997" t="s">
        <v>1917</v>
      </c>
      <c r="F400" s="997"/>
      <c r="G400" s="997" t="str">
        <f>+VLOOKUP(Data_Validation!$A400,BV_Data_An_Cour!$L:$Q,6,0)</f>
        <v>7-Dépenses</v>
      </c>
      <c r="H400" s="165"/>
    </row>
    <row r="401" spans="1:8" ht="15" customHeight="1">
      <c r="A401" s="1143">
        <v>6439</v>
      </c>
      <c r="B401" s="166" t="s">
        <v>1305</v>
      </c>
      <c r="C401" s="945" t="s">
        <v>155</v>
      </c>
      <c r="D401" s="945" t="s">
        <v>118</v>
      </c>
      <c r="E401" s="997" t="s">
        <v>1917</v>
      </c>
      <c r="F401" s="997"/>
      <c r="G401" s="997" t="str">
        <f>+VLOOKUP(Data_Validation!$A401,BV_Data_An_Cour!$L:$Q,6,0)</f>
        <v>7-Dépenses</v>
      </c>
      <c r="H401" s="165"/>
    </row>
    <row r="402" spans="1:8" ht="15" customHeight="1">
      <c r="A402" s="1143">
        <v>6441</v>
      </c>
      <c r="B402" s="166" t="s">
        <v>1178</v>
      </c>
      <c r="C402" s="945" t="s">
        <v>155</v>
      </c>
      <c r="D402" s="945" t="s">
        <v>122</v>
      </c>
      <c r="E402" s="997" t="s">
        <v>1917</v>
      </c>
      <c r="F402" s="997"/>
      <c r="G402" s="997" t="e">
        <f>+VLOOKUP(Data_Validation!$A402,BV_Data_An_Cour!$L:$Q,6,0)</f>
        <v>#N/A</v>
      </c>
      <c r="H402" s="165"/>
    </row>
    <row r="403" spans="1:8" ht="15" customHeight="1">
      <c r="A403" s="1143">
        <v>6442</v>
      </c>
      <c r="B403" s="166" t="s">
        <v>1157</v>
      </c>
      <c r="C403" s="945" t="s">
        <v>155</v>
      </c>
      <c r="D403" s="945" t="s">
        <v>127</v>
      </c>
      <c r="E403" s="997" t="s">
        <v>1917</v>
      </c>
      <c r="F403" s="997"/>
      <c r="G403" s="997" t="str">
        <f>+VLOOKUP(Data_Validation!$A403,BV_Data_An_Cour!$L:$Q,6,0)</f>
        <v>7-Dépenses</v>
      </c>
      <c r="H403" s="165"/>
    </row>
    <row r="404" spans="1:8" ht="15" customHeight="1">
      <c r="A404" s="1153">
        <v>6443</v>
      </c>
      <c r="B404" s="169" t="s">
        <v>932</v>
      </c>
      <c r="C404" s="945" t="s">
        <v>155</v>
      </c>
      <c r="D404" s="945" t="s">
        <v>128</v>
      </c>
      <c r="E404" s="997" t="s">
        <v>1917</v>
      </c>
      <c r="F404" s="997"/>
      <c r="G404" s="997" t="str">
        <f>+VLOOKUP(Data_Validation!$A404,BV_Data_An_Cour!$L:$Q,6,0)</f>
        <v>7-Dépenses</v>
      </c>
      <c r="H404" s="165"/>
    </row>
    <row r="405" spans="1:8" ht="15" customHeight="1">
      <c r="A405" s="1143">
        <v>6444</v>
      </c>
      <c r="B405" s="166" t="s">
        <v>934</v>
      </c>
      <c r="C405" s="945" t="s">
        <v>155</v>
      </c>
      <c r="D405" s="945" t="s">
        <v>133</v>
      </c>
      <c r="E405" s="997" t="s">
        <v>1917</v>
      </c>
      <c r="F405" s="997"/>
      <c r="G405" s="997" t="str">
        <f>+VLOOKUP(Data_Validation!$A405,BV_Data_An_Cour!$L:$Q,6,0)</f>
        <v>7-Dépenses</v>
      </c>
      <c r="H405" s="165"/>
    </row>
    <row r="406" spans="1:8" ht="15" customHeight="1">
      <c r="A406" s="1153">
        <v>6445</v>
      </c>
      <c r="B406" s="169" t="s">
        <v>1527</v>
      </c>
      <c r="C406" s="945" t="s">
        <v>155</v>
      </c>
      <c r="D406" s="945" t="s">
        <v>123</v>
      </c>
      <c r="E406" s="997" t="s">
        <v>1917</v>
      </c>
      <c r="F406" s="997"/>
      <c r="G406" s="997" t="str">
        <f>+VLOOKUP(Data_Validation!$A406,BV_Data_An_Cour!$L:$Q,6,0)</f>
        <v>7-Dépenses</v>
      </c>
      <c r="H406" s="165"/>
    </row>
    <row r="407" spans="1:8" ht="15" customHeight="1">
      <c r="A407" s="1143">
        <v>6447</v>
      </c>
      <c r="B407" s="166" t="s">
        <v>1180</v>
      </c>
      <c r="C407" s="945" t="s">
        <v>155</v>
      </c>
      <c r="D407" s="945" t="s">
        <v>131</v>
      </c>
      <c r="E407" s="997" t="s">
        <v>1917</v>
      </c>
      <c r="F407" s="997"/>
      <c r="G407" s="997" t="str">
        <f>+VLOOKUP(Data_Validation!$A407,BV_Data_An_Cour!$L:$Q,6,0)</f>
        <v>7-Dépenses</v>
      </c>
      <c r="H407" s="165"/>
    </row>
    <row r="408" spans="1:8" ht="15" customHeight="1">
      <c r="A408" s="1153">
        <v>6451</v>
      </c>
      <c r="B408" s="169" t="s">
        <v>1286</v>
      </c>
      <c r="C408" s="945" t="s">
        <v>155</v>
      </c>
      <c r="D408" s="945" t="s">
        <v>124</v>
      </c>
      <c r="E408" s="997" t="s">
        <v>1917</v>
      </c>
      <c r="F408" s="997"/>
      <c r="G408" s="997" t="str">
        <f>+VLOOKUP(Data_Validation!$A408,BV_Data_An_Cour!$L:$Q,6,0)</f>
        <v>7-Dépenses</v>
      </c>
      <c r="H408" s="165"/>
    </row>
    <row r="409" spans="1:8" ht="15" customHeight="1">
      <c r="A409" s="1143">
        <v>6452</v>
      </c>
      <c r="B409" s="166" t="s">
        <v>1206</v>
      </c>
      <c r="C409" s="945" t="s">
        <v>155</v>
      </c>
      <c r="D409" s="945" t="s">
        <v>129</v>
      </c>
      <c r="E409" s="997" t="s">
        <v>1917</v>
      </c>
      <c r="F409" s="997"/>
      <c r="G409" s="997" t="str">
        <f>+VLOOKUP(Data_Validation!$A409,BV_Data_An_Cour!$L:$Q,6,0)</f>
        <v>7-Dépenses</v>
      </c>
      <c r="H409" s="165"/>
    </row>
    <row r="410" spans="1:8" ht="15" customHeight="1">
      <c r="A410" s="1153">
        <v>6453</v>
      </c>
      <c r="B410" s="169" t="s">
        <v>1154</v>
      </c>
      <c r="C410" s="945" t="s">
        <v>155</v>
      </c>
      <c r="D410" s="945" t="s">
        <v>130</v>
      </c>
      <c r="E410" s="997" t="s">
        <v>1917</v>
      </c>
      <c r="F410" s="997"/>
      <c r="G410" s="997" t="str">
        <f>+VLOOKUP(Data_Validation!$A410,BV_Data_An_Cour!$L:$Q,6,0)</f>
        <v>7-Dépenses</v>
      </c>
      <c r="H410" s="165"/>
    </row>
    <row r="411" spans="1:8" ht="15" customHeight="1">
      <c r="A411" s="1143">
        <v>6455</v>
      </c>
      <c r="B411" s="166" t="s">
        <v>1237</v>
      </c>
      <c r="C411" s="945" t="s">
        <v>155</v>
      </c>
      <c r="D411" s="945" t="s">
        <v>132</v>
      </c>
      <c r="E411" s="997" t="s">
        <v>1917</v>
      </c>
      <c r="F411" s="997"/>
      <c r="G411" s="997" t="str">
        <f>+VLOOKUP(Data_Validation!$A411,BV_Data_An_Cour!$L:$Q,6,0)</f>
        <v>7-Dépenses</v>
      </c>
      <c r="H411" s="165"/>
    </row>
    <row r="412" spans="1:8" ht="15" customHeight="1">
      <c r="A412" s="1143">
        <v>6456</v>
      </c>
      <c r="B412" s="166" t="s">
        <v>1292</v>
      </c>
      <c r="C412" s="945" t="s">
        <v>155</v>
      </c>
      <c r="D412" s="945" t="s">
        <v>125</v>
      </c>
      <c r="E412" s="997" t="s">
        <v>1917</v>
      </c>
      <c r="F412" s="997"/>
      <c r="G412" s="997" t="str">
        <f>+VLOOKUP(Data_Validation!$A412,BV_Data_An_Cour!$L:$Q,6,0)</f>
        <v>7-Dépenses</v>
      </c>
      <c r="H412" s="165"/>
    </row>
    <row r="413" spans="1:8" ht="15" customHeight="1">
      <c r="A413" s="1153">
        <v>6459</v>
      </c>
      <c r="B413" s="169" t="s">
        <v>1308</v>
      </c>
      <c r="C413" s="945" t="s">
        <v>155</v>
      </c>
      <c r="D413" s="945" t="s">
        <v>126</v>
      </c>
      <c r="E413" s="997" t="s">
        <v>1917</v>
      </c>
      <c r="F413" s="997"/>
      <c r="G413" s="997" t="str">
        <f>+VLOOKUP(Data_Validation!$A413,BV_Data_An_Cour!$L:$Q,6,0)</f>
        <v>7-Dépenses</v>
      </c>
      <c r="H413" s="165"/>
    </row>
    <row r="414" spans="1:8" ht="15" customHeight="1">
      <c r="A414" s="1143">
        <v>6461</v>
      </c>
      <c r="B414" s="166" t="s">
        <v>1333</v>
      </c>
      <c r="C414" s="945" t="s">
        <v>155</v>
      </c>
      <c r="D414" s="945" t="s">
        <v>260</v>
      </c>
      <c r="E414" s="997" t="s">
        <v>1917</v>
      </c>
      <c r="F414" s="997"/>
      <c r="G414" s="997" t="str">
        <f>+VLOOKUP(Data_Validation!$A414,BV_Data_An_Cour!$L:$Q,6,0)</f>
        <v>7-Dépenses</v>
      </c>
      <c r="H414" s="165"/>
    </row>
    <row r="415" spans="1:8" ht="15" customHeight="1">
      <c r="A415" s="1153">
        <v>6462</v>
      </c>
      <c r="B415" s="169" t="s">
        <v>936</v>
      </c>
      <c r="C415" s="945" t="s">
        <v>155</v>
      </c>
      <c r="D415" s="945" t="s">
        <v>250</v>
      </c>
      <c r="E415" s="997" t="s">
        <v>1917</v>
      </c>
      <c r="F415" s="997"/>
      <c r="G415" s="997" t="e">
        <f>+VLOOKUP(Data_Validation!$A415,BV_Data_An_Cour!$L:$Q,6,0)</f>
        <v>#N/A</v>
      </c>
      <c r="H415" s="165"/>
    </row>
    <row r="416" spans="1:8" ht="15" customHeight="1">
      <c r="A416" s="1143">
        <v>6463</v>
      </c>
      <c r="B416" s="166" t="s">
        <v>1168</v>
      </c>
      <c r="C416" s="945" t="s">
        <v>155</v>
      </c>
      <c r="D416" s="945" t="s">
        <v>248</v>
      </c>
      <c r="E416" s="997" t="s">
        <v>1917</v>
      </c>
      <c r="F416" s="997"/>
      <c r="G416" s="997" t="str">
        <f>+VLOOKUP(Data_Validation!$A416,BV_Data_An_Cour!$L:$Q,6,0)</f>
        <v>7-Dépenses</v>
      </c>
      <c r="H416" s="165"/>
    </row>
    <row r="417" spans="1:8" ht="15" customHeight="1">
      <c r="A417" s="1143">
        <v>6481</v>
      </c>
      <c r="B417" s="166" t="s">
        <v>1311</v>
      </c>
      <c r="C417" s="945" t="s">
        <v>155</v>
      </c>
      <c r="D417" s="945" t="s">
        <v>244</v>
      </c>
      <c r="E417" s="997" t="s">
        <v>1917</v>
      </c>
      <c r="F417" s="997"/>
      <c r="G417" s="997" t="str">
        <f>+VLOOKUP(Data_Validation!$A417,BV_Data_An_Cour!$L:$Q,6,0)</f>
        <v>7-Dépenses</v>
      </c>
      <c r="H417" s="165"/>
    </row>
    <row r="418" spans="1:8" ht="15" customHeight="1">
      <c r="A418" s="1143">
        <v>6482</v>
      </c>
      <c r="B418" s="166" t="s">
        <v>1452</v>
      </c>
      <c r="C418" s="945" t="s">
        <v>155</v>
      </c>
      <c r="D418" s="945" t="s">
        <v>235</v>
      </c>
      <c r="E418" s="997" t="s">
        <v>1917</v>
      </c>
      <c r="F418" s="997"/>
      <c r="G418" s="997" t="str">
        <f>+VLOOKUP(Data_Validation!$A418,BV_Data_An_Cour!$L:$Q,6,0)</f>
        <v>7-Dépenses</v>
      </c>
      <c r="H418" s="165"/>
    </row>
    <row r="419" spans="1:8" ht="15" customHeight="1">
      <c r="A419" s="1153">
        <v>6486</v>
      </c>
      <c r="B419" s="169" t="s">
        <v>1347</v>
      </c>
      <c r="C419" s="945" t="s">
        <v>155</v>
      </c>
      <c r="D419" s="945" t="s">
        <v>242</v>
      </c>
      <c r="E419" s="997" t="s">
        <v>1917</v>
      </c>
      <c r="F419" s="997"/>
      <c r="G419" s="997" t="str">
        <f>+VLOOKUP(Data_Validation!$A419,BV_Data_An_Cour!$L:$Q,6,0)</f>
        <v>7-Dépenses</v>
      </c>
      <c r="H419" s="165"/>
    </row>
    <row r="420" spans="1:8" ht="15" customHeight="1">
      <c r="A420" s="1143">
        <v>6487</v>
      </c>
      <c r="B420" s="166" t="s">
        <v>1340</v>
      </c>
      <c r="C420" s="945" t="s">
        <v>155</v>
      </c>
      <c r="D420" s="945" t="s">
        <v>237</v>
      </c>
      <c r="E420" s="997" t="s">
        <v>1917</v>
      </c>
      <c r="F420" s="997"/>
      <c r="G420" s="997" t="str">
        <f>+VLOOKUP(Data_Validation!$A420,BV_Data_An_Cour!$L:$Q,6,0)</f>
        <v>7-Dépenses</v>
      </c>
      <c r="H420" s="165"/>
    </row>
    <row r="421" spans="1:8" ht="15" customHeight="1">
      <c r="A421" s="1143">
        <v>6493</v>
      </c>
      <c r="B421" s="166" t="s">
        <v>1274</v>
      </c>
      <c r="C421" s="945" t="s">
        <v>155</v>
      </c>
      <c r="D421" s="945" t="s">
        <v>239</v>
      </c>
      <c r="E421" s="997" t="s">
        <v>1917</v>
      </c>
      <c r="F421" s="997"/>
      <c r="G421" s="997" t="str">
        <f>+VLOOKUP(Data_Validation!$A421,BV_Data_An_Cour!$L:$Q,6,0)</f>
        <v>7-Dépenses</v>
      </c>
      <c r="H421" s="165"/>
    </row>
    <row r="422" spans="1:8" ht="15" customHeight="1">
      <c r="A422" s="1143">
        <v>6494</v>
      </c>
      <c r="B422" s="166" t="s">
        <v>1367</v>
      </c>
      <c r="C422" s="945" t="s">
        <v>155</v>
      </c>
      <c r="D422" s="945" t="s">
        <v>246</v>
      </c>
      <c r="E422" s="997" t="s">
        <v>1917</v>
      </c>
      <c r="F422" s="997"/>
      <c r="G422" s="997" t="str">
        <f>+VLOOKUP(Data_Validation!$A422,BV_Data_An_Cour!$L:$Q,6,0)</f>
        <v>7-Dépenses</v>
      </c>
      <c r="H422" s="165"/>
    </row>
    <row r="423" spans="1:8" ht="15" customHeight="1">
      <c r="A423" s="1153">
        <v>6503</v>
      </c>
      <c r="B423" s="169" t="s">
        <v>399</v>
      </c>
      <c r="C423" s="945" t="s">
        <v>171</v>
      </c>
      <c r="D423" s="945" t="s">
        <v>122</v>
      </c>
      <c r="E423" s="997" t="s">
        <v>1917</v>
      </c>
      <c r="F423" s="997"/>
      <c r="G423" s="997" t="str">
        <f>+VLOOKUP(Data_Validation!$A423,BV_Data_An_Cour!$L:$Q,6,0)</f>
        <v>7-Dépenses</v>
      </c>
      <c r="H423" s="165"/>
    </row>
    <row r="424" spans="1:8" ht="15" customHeight="1">
      <c r="A424" s="1143">
        <v>6514</v>
      </c>
      <c r="B424" s="166" t="s">
        <v>1374</v>
      </c>
      <c r="C424" s="945" t="s">
        <v>171</v>
      </c>
      <c r="D424" s="945" t="s">
        <v>121</v>
      </c>
      <c r="E424" s="997" t="s">
        <v>1917</v>
      </c>
      <c r="F424" s="997"/>
      <c r="G424" s="997" t="str">
        <f>+VLOOKUP(Data_Validation!$A424,BV_Data_An_Cour!$L:$Q,6,0)</f>
        <v>7-Dépenses</v>
      </c>
      <c r="H424" s="165"/>
    </row>
    <row r="425" spans="1:8" ht="15" customHeight="1">
      <c r="A425" s="1143">
        <v>6521</v>
      </c>
      <c r="B425" s="166" t="s">
        <v>1259</v>
      </c>
      <c r="C425" s="945" t="s">
        <v>171</v>
      </c>
      <c r="D425" s="945" t="s">
        <v>213</v>
      </c>
      <c r="E425" s="997" t="s">
        <v>1917</v>
      </c>
      <c r="F425" s="997"/>
      <c r="G425" s="997" t="str">
        <f>+VLOOKUP(Data_Validation!$A425,BV_Data_An_Cour!$L:$Q,6,0)</f>
        <v>7-Dépenses</v>
      </c>
      <c r="H425" s="165"/>
    </row>
    <row r="426" spans="1:8" ht="15" customHeight="1">
      <c r="A426" s="1143">
        <v>6522</v>
      </c>
      <c r="B426" s="166" t="s">
        <v>2619</v>
      </c>
      <c r="C426" s="945" t="s">
        <v>171</v>
      </c>
      <c r="D426" s="945" t="s">
        <v>112</v>
      </c>
      <c r="E426" s="997" t="s">
        <v>1917</v>
      </c>
      <c r="F426" s="997"/>
      <c r="G426" s="997" t="str">
        <f>+VLOOKUP(Data_Validation!$A426,BV_Data_An_Cour!$L:$Q,6,0)</f>
        <v>7-Dépenses</v>
      </c>
      <c r="H426" s="165"/>
    </row>
    <row r="427" spans="1:8" ht="15" customHeight="1">
      <c r="A427" s="1143">
        <v>6523</v>
      </c>
      <c r="B427" s="166" t="s">
        <v>1266</v>
      </c>
      <c r="C427" s="945" t="s">
        <v>171</v>
      </c>
      <c r="D427" s="945" t="s">
        <v>113</v>
      </c>
      <c r="E427" s="997" t="s">
        <v>1917</v>
      </c>
      <c r="F427" s="997"/>
      <c r="G427" s="997" t="str">
        <f>+VLOOKUP(Data_Validation!$A427,BV_Data_An_Cour!$L:$Q,6,0)</f>
        <v>7-Dépenses</v>
      </c>
      <c r="H427" s="165"/>
    </row>
    <row r="428" spans="1:8" ht="15" customHeight="1">
      <c r="A428" s="1143">
        <v>6524</v>
      </c>
      <c r="B428" s="166" t="s">
        <v>1249</v>
      </c>
      <c r="C428" s="945" t="s">
        <v>171</v>
      </c>
      <c r="D428" s="945" t="s">
        <v>114</v>
      </c>
      <c r="E428" s="997" t="s">
        <v>1917</v>
      </c>
      <c r="F428" s="997"/>
      <c r="G428" s="997" t="str">
        <f>+VLOOKUP(Data_Validation!$A428,BV_Data_An_Cour!$L:$Q,6,0)</f>
        <v>7-Dépenses</v>
      </c>
      <c r="H428" s="165"/>
    </row>
    <row r="429" spans="1:8" ht="15" customHeight="1">
      <c r="A429" s="1143">
        <v>6525</v>
      </c>
      <c r="B429" s="166" t="s">
        <v>1330</v>
      </c>
      <c r="C429" s="945" t="s">
        <v>171</v>
      </c>
      <c r="D429" s="945" t="s">
        <v>115</v>
      </c>
      <c r="E429" s="997" t="s">
        <v>1917</v>
      </c>
      <c r="F429" s="997"/>
      <c r="G429" s="997" t="str">
        <f>+VLOOKUP(Data_Validation!$A429,BV_Data_An_Cour!$L:$Q,6,0)</f>
        <v>7-Dépenses</v>
      </c>
      <c r="H429" s="165"/>
    </row>
    <row r="430" spans="1:8" ht="15" customHeight="1">
      <c r="A430" s="1143">
        <v>6529</v>
      </c>
      <c r="B430" s="169" t="s">
        <v>1211</v>
      </c>
      <c r="C430" s="945" t="s">
        <v>171</v>
      </c>
      <c r="D430" s="945" t="s">
        <v>116</v>
      </c>
      <c r="E430" s="997" t="s">
        <v>1917</v>
      </c>
      <c r="F430" s="997"/>
      <c r="G430" s="997" t="str">
        <f>+VLOOKUP(Data_Validation!$A430,BV_Data_An_Cour!$L:$Q,6,0)</f>
        <v>7-Dépenses</v>
      </c>
      <c r="H430" s="165"/>
    </row>
    <row r="431" spans="1:8" ht="15" customHeight="1">
      <c r="A431" s="1143">
        <v>6531</v>
      </c>
      <c r="B431" s="166" t="s">
        <v>1252</v>
      </c>
      <c r="C431" s="945" t="s">
        <v>171</v>
      </c>
      <c r="D431" s="945" t="s">
        <v>119</v>
      </c>
      <c r="E431" s="997" t="s">
        <v>1917</v>
      </c>
      <c r="F431" s="997"/>
      <c r="G431" s="997" t="str">
        <f>+VLOOKUP(Data_Validation!$A431,BV_Data_An_Cour!$L:$Q,6,0)</f>
        <v>7-Dépenses</v>
      </c>
      <c r="H431" s="165"/>
    </row>
    <row r="432" spans="1:8" ht="15" customHeight="1">
      <c r="A432" s="1143">
        <v>6532</v>
      </c>
      <c r="B432" s="166" t="s">
        <v>1283</v>
      </c>
      <c r="C432" s="945" t="s">
        <v>171</v>
      </c>
      <c r="D432" s="945" t="s">
        <v>117</v>
      </c>
      <c r="E432" s="997" t="s">
        <v>1917</v>
      </c>
      <c r="F432" s="997"/>
      <c r="G432" s="997" t="str">
        <f>+VLOOKUP(Data_Validation!$A432,BV_Data_An_Cour!$L:$Q,6,0)</f>
        <v>7-Dépenses</v>
      </c>
      <c r="H432" s="165"/>
    </row>
    <row r="433" spans="1:8" ht="15" customHeight="1">
      <c r="A433" s="1143">
        <v>6539</v>
      </c>
      <c r="B433" s="166" t="s">
        <v>1305</v>
      </c>
      <c r="C433" s="945" t="s">
        <v>171</v>
      </c>
      <c r="D433" s="945" t="s">
        <v>118</v>
      </c>
      <c r="E433" s="997" t="s">
        <v>1917</v>
      </c>
      <c r="F433" s="997"/>
      <c r="G433" s="997" t="str">
        <f>+VLOOKUP(Data_Validation!$A433,BV_Data_An_Cour!$L:$Q,6,0)</f>
        <v>7-Dépenses</v>
      </c>
      <c r="H433" s="165"/>
    </row>
    <row r="434" spans="1:8" ht="15" customHeight="1">
      <c r="A434" s="1143">
        <v>6542</v>
      </c>
      <c r="B434" s="166" t="s">
        <v>1157</v>
      </c>
      <c r="C434" s="945" t="s">
        <v>171</v>
      </c>
      <c r="D434" s="945" t="s">
        <v>127</v>
      </c>
      <c r="E434" s="997" t="s">
        <v>1917</v>
      </c>
      <c r="F434" s="997"/>
      <c r="G434" s="997" t="str">
        <f>+VLOOKUP(Data_Validation!$A434,BV_Data_An_Cour!$L:$Q,6,0)</f>
        <v>7-Dépenses</v>
      </c>
      <c r="H434" s="165"/>
    </row>
    <row r="435" spans="1:8" ht="15" customHeight="1">
      <c r="A435" s="1143">
        <v>6543</v>
      </c>
      <c r="B435" s="169" t="s">
        <v>1196</v>
      </c>
      <c r="C435" s="945" t="s">
        <v>171</v>
      </c>
      <c r="D435" s="945" t="s">
        <v>128</v>
      </c>
      <c r="E435" s="997" t="s">
        <v>1917</v>
      </c>
      <c r="F435" s="997"/>
      <c r="G435" s="997" t="e">
        <f>+VLOOKUP(Data_Validation!$A435,BV_Data_An_Cour!$L:$Q,6,0)</f>
        <v>#N/A</v>
      </c>
      <c r="H435" s="165"/>
    </row>
    <row r="436" spans="1:8" ht="15" customHeight="1">
      <c r="A436" s="1143">
        <v>6544</v>
      </c>
      <c r="B436" s="166" t="s">
        <v>934</v>
      </c>
      <c r="C436" s="945" t="s">
        <v>171</v>
      </c>
      <c r="D436" s="945" t="s">
        <v>133</v>
      </c>
      <c r="E436" s="997" t="s">
        <v>1917</v>
      </c>
      <c r="F436" s="997"/>
      <c r="G436" s="997" t="str">
        <f>+VLOOKUP(Data_Validation!$A436,BV_Data_An_Cour!$L:$Q,6,0)</f>
        <v>7-Dépenses</v>
      </c>
      <c r="H436" s="165"/>
    </row>
    <row r="437" spans="1:8" ht="15" customHeight="1">
      <c r="A437" s="1143">
        <v>6545</v>
      </c>
      <c r="B437" s="166" t="s">
        <v>1186</v>
      </c>
      <c r="C437" s="945" t="s">
        <v>171</v>
      </c>
      <c r="D437" s="945" t="s">
        <v>123</v>
      </c>
      <c r="E437" s="997" t="s">
        <v>1917</v>
      </c>
      <c r="F437" s="997"/>
      <c r="G437" s="997" t="str">
        <f>+VLOOKUP(Data_Validation!$A437,BV_Data_An_Cour!$L:$Q,6,0)</f>
        <v>7-Dépenses</v>
      </c>
      <c r="H437" s="165"/>
    </row>
    <row r="438" spans="1:8" ht="15" customHeight="1">
      <c r="A438" s="1143">
        <v>6547</v>
      </c>
      <c r="B438" s="169" t="s">
        <v>1180</v>
      </c>
      <c r="C438" s="945" t="s">
        <v>171</v>
      </c>
      <c r="D438" s="945" t="s">
        <v>131</v>
      </c>
      <c r="E438" s="997" t="s">
        <v>1917</v>
      </c>
      <c r="F438" s="997"/>
      <c r="G438" s="997" t="str">
        <f>+VLOOKUP(Data_Validation!$A438,BV_Data_An_Cour!$L:$Q,6,0)</f>
        <v>7-Dépenses</v>
      </c>
      <c r="H438" s="165"/>
    </row>
    <row r="439" spans="1:8" ht="15" customHeight="1">
      <c r="A439" s="1143">
        <v>6551</v>
      </c>
      <c r="B439" s="166" t="s">
        <v>1286</v>
      </c>
      <c r="C439" s="945" t="s">
        <v>171</v>
      </c>
      <c r="D439" s="945" t="s">
        <v>124</v>
      </c>
      <c r="E439" s="997" t="s">
        <v>1917</v>
      </c>
      <c r="F439" s="997"/>
      <c r="G439" s="997" t="str">
        <f>+VLOOKUP(Data_Validation!$A439,BV_Data_An_Cour!$L:$Q,6,0)</f>
        <v>7-Dépenses</v>
      </c>
      <c r="H439" s="165"/>
    </row>
    <row r="440" spans="1:8" ht="15" customHeight="1">
      <c r="A440" s="1143">
        <v>6552</v>
      </c>
      <c r="B440" s="169" t="s">
        <v>1206</v>
      </c>
      <c r="C440" s="945" t="s">
        <v>171</v>
      </c>
      <c r="D440" s="945" t="s">
        <v>129</v>
      </c>
      <c r="E440" s="997" t="s">
        <v>1917</v>
      </c>
      <c r="F440" s="1000"/>
      <c r="G440" s="1000" t="str">
        <f>+VLOOKUP(Data_Validation!$A440,BV_Data_An_Cour!$L:$Q,6,0)</f>
        <v>7-Dépenses</v>
      </c>
      <c r="H440" s="165"/>
    </row>
    <row r="441" spans="1:8" ht="15" customHeight="1">
      <c r="A441" s="1143">
        <v>6553</v>
      </c>
      <c r="B441" s="166" t="s">
        <v>1154</v>
      </c>
      <c r="C441" s="945" t="s">
        <v>171</v>
      </c>
      <c r="D441" s="945" t="s">
        <v>130</v>
      </c>
      <c r="E441" s="997" t="s">
        <v>1917</v>
      </c>
      <c r="F441" s="997"/>
      <c r="G441" s="997" t="str">
        <f>+VLOOKUP(Data_Validation!$A441,BV_Data_An_Cour!$L:$Q,6,0)</f>
        <v>7-Dépenses</v>
      </c>
      <c r="H441" s="165"/>
    </row>
    <row r="442" spans="1:8" ht="15" customHeight="1">
      <c r="A442" s="1143">
        <v>6555</v>
      </c>
      <c r="B442" s="169" t="s">
        <v>1237</v>
      </c>
      <c r="C442" s="945" t="s">
        <v>171</v>
      </c>
      <c r="D442" s="945" t="s">
        <v>132</v>
      </c>
      <c r="E442" s="997" t="s">
        <v>1917</v>
      </c>
      <c r="F442" s="1000"/>
      <c r="G442" s="1000" t="str">
        <f>+VLOOKUP(Data_Validation!$A442,BV_Data_An_Cour!$L:$Q,6,0)</f>
        <v>7-Dépenses</v>
      </c>
      <c r="H442" s="165"/>
    </row>
    <row r="443" spans="1:8" ht="15" customHeight="1">
      <c r="A443" s="1143">
        <v>6556</v>
      </c>
      <c r="B443" s="169" t="s">
        <v>1217</v>
      </c>
      <c r="C443" s="945" t="s">
        <v>171</v>
      </c>
      <c r="D443" s="945" t="s">
        <v>125</v>
      </c>
      <c r="E443" s="997" t="s">
        <v>1917</v>
      </c>
      <c r="F443" s="997"/>
      <c r="G443" s="997" t="str">
        <f>+VLOOKUP(Data_Validation!$A443,BV_Data_An_Cour!$L:$Q,6,0)</f>
        <v>7-Dépenses</v>
      </c>
      <c r="H443" s="165"/>
    </row>
    <row r="444" spans="1:8" ht="15" customHeight="1">
      <c r="A444" s="1143">
        <v>6559</v>
      </c>
      <c r="B444" s="169" t="s">
        <v>1308</v>
      </c>
      <c r="C444" s="945" t="s">
        <v>171</v>
      </c>
      <c r="D444" s="945" t="s">
        <v>126</v>
      </c>
      <c r="E444" s="997" t="s">
        <v>1917</v>
      </c>
      <c r="F444" s="1000"/>
      <c r="G444" s="1000" t="str">
        <f>+VLOOKUP(Data_Validation!$A444,BV_Data_An_Cour!$L:$Q,6,0)</f>
        <v>7-Dépenses</v>
      </c>
      <c r="H444" s="165"/>
    </row>
    <row r="445" spans="1:8" ht="15" customHeight="1">
      <c r="A445" s="1143">
        <v>6561</v>
      </c>
      <c r="B445" s="166" t="s">
        <v>1333</v>
      </c>
      <c r="C445" s="945" t="s">
        <v>171</v>
      </c>
      <c r="D445" s="945" t="s">
        <v>260</v>
      </c>
      <c r="E445" s="997" t="s">
        <v>1917</v>
      </c>
      <c r="F445" s="997"/>
      <c r="G445" s="997" t="str">
        <f>+VLOOKUP(Data_Validation!$A445,BV_Data_An_Cour!$L:$Q,6,0)</f>
        <v>7-Dépenses</v>
      </c>
      <c r="H445" s="165"/>
    </row>
    <row r="446" spans="1:8" ht="15" customHeight="1">
      <c r="A446" s="1143">
        <v>6562</v>
      </c>
      <c r="B446" s="169" t="s">
        <v>936</v>
      </c>
      <c r="C446" s="945" t="s">
        <v>171</v>
      </c>
      <c r="D446" s="945" t="s">
        <v>250</v>
      </c>
      <c r="E446" s="997" t="s">
        <v>1917</v>
      </c>
      <c r="F446" s="997"/>
      <c r="G446" s="997" t="e">
        <f>+VLOOKUP(Data_Validation!$A446,BV_Data_An_Cour!$L:$Q,6,0)</f>
        <v>#N/A</v>
      </c>
      <c r="H446" s="165"/>
    </row>
    <row r="447" spans="1:8" ht="15" customHeight="1">
      <c r="A447" s="1143">
        <v>6581</v>
      </c>
      <c r="B447" s="166" t="s">
        <v>1244</v>
      </c>
      <c r="C447" s="945" t="s">
        <v>171</v>
      </c>
      <c r="D447" s="945" t="s">
        <v>244</v>
      </c>
      <c r="E447" s="997" t="s">
        <v>1917</v>
      </c>
      <c r="F447" s="997"/>
      <c r="G447" s="997" t="str">
        <f>+VLOOKUP(Data_Validation!$A447,BV_Data_An_Cour!$L:$Q,6,0)</f>
        <v>7-Dépenses</v>
      </c>
      <c r="H447" s="165"/>
    </row>
    <row r="448" spans="1:8" ht="15" customHeight="1">
      <c r="A448" s="1143">
        <v>6582</v>
      </c>
      <c r="B448" s="169" t="s">
        <v>1398</v>
      </c>
      <c r="C448" s="945" t="s">
        <v>171</v>
      </c>
      <c r="D448" s="945" t="s">
        <v>235</v>
      </c>
      <c r="E448" s="997" t="s">
        <v>1917</v>
      </c>
      <c r="F448" s="997"/>
      <c r="G448" s="997" t="str">
        <f>+VLOOKUP(Data_Validation!$A448,BV_Data_An_Cour!$L:$Q,6,0)</f>
        <v>7-Dépenses</v>
      </c>
      <c r="H448" s="165"/>
    </row>
    <row r="449" spans="1:8" ht="15" customHeight="1">
      <c r="A449" s="1153">
        <v>6586</v>
      </c>
      <c r="B449" s="166" t="s">
        <v>1255</v>
      </c>
      <c r="C449" s="945" t="s">
        <v>171</v>
      </c>
      <c r="D449" s="945" t="s">
        <v>242</v>
      </c>
      <c r="E449" s="997" t="s">
        <v>1917</v>
      </c>
      <c r="F449" s="997"/>
      <c r="G449" s="997" t="str">
        <f>+VLOOKUP(Data_Validation!$A449,BV_Data_An_Cour!$L:$Q,6,0)</f>
        <v>7-Dépenses</v>
      </c>
      <c r="H449" s="165"/>
    </row>
    <row r="450" spans="1:8" ht="15" customHeight="1">
      <c r="A450" s="1153">
        <v>6587</v>
      </c>
      <c r="B450" s="166" t="s">
        <v>1264</v>
      </c>
      <c r="C450" s="945" t="s">
        <v>171</v>
      </c>
      <c r="D450" s="945" t="s">
        <v>237</v>
      </c>
      <c r="E450" s="997" t="s">
        <v>1917</v>
      </c>
      <c r="F450" s="997"/>
      <c r="G450" s="997" t="str">
        <f>+VLOOKUP(Data_Validation!$A450,BV_Data_An_Cour!$L:$Q,6,0)</f>
        <v>7-Dépenses</v>
      </c>
      <c r="H450" s="165"/>
    </row>
    <row r="451" spans="1:8" ht="15" customHeight="1">
      <c r="A451" s="1143">
        <v>6593</v>
      </c>
      <c r="B451" s="169" t="s">
        <v>1225</v>
      </c>
      <c r="C451" s="945" t="s">
        <v>171</v>
      </c>
      <c r="D451" s="945" t="s">
        <v>239</v>
      </c>
      <c r="E451" s="997" t="s">
        <v>1917</v>
      </c>
      <c r="F451" s="997"/>
      <c r="G451" s="997" t="str">
        <f>+VLOOKUP(Data_Validation!$A451,BV_Data_An_Cour!$L:$Q,6,0)</f>
        <v>7-Dépenses</v>
      </c>
      <c r="H451" s="165"/>
    </row>
    <row r="452" spans="1:8" ht="15" customHeight="1">
      <c r="A452" s="1143">
        <v>6594</v>
      </c>
      <c r="B452" s="169" t="s">
        <v>1271</v>
      </c>
      <c r="C452" s="945" t="s">
        <v>171</v>
      </c>
      <c r="D452" s="945" t="s">
        <v>246</v>
      </c>
      <c r="E452" s="997" t="s">
        <v>1917</v>
      </c>
      <c r="F452" s="997"/>
      <c r="G452" s="997" t="str">
        <f>+VLOOKUP(Data_Validation!$A452,BV_Data_An_Cour!$L:$Q,6,0)</f>
        <v>7-Dépenses</v>
      </c>
      <c r="H452" s="165"/>
    </row>
    <row r="453" spans="1:8" ht="15" customHeight="1">
      <c r="A453" s="1143">
        <v>6703</v>
      </c>
      <c r="B453" s="169" t="s">
        <v>399</v>
      </c>
      <c r="C453" s="945" t="s">
        <v>175</v>
      </c>
      <c r="D453" s="945" t="s">
        <v>122</v>
      </c>
      <c r="E453" s="997" t="s">
        <v>1917</v>
      </c>
      <c r="F453" s="997"/>
      <c r="G453" s="997" t="str">
        <f>+VLOOKUP(Data_Validation!$A453,BV_Data_An_Cour!$L:$Q,6,0)</f>
        <v>7-Dépenses</v>
      </c>
      <c r="H453" s="165"/>
    </row>
    <row r="454" spans="1:8" ht="15" customHeight="1">
      <c r="A454" s="1143">
        <v>6712</v>
      </c>
      <c r="B454" s="166" t="s">
        <v>1391</v>
      </c>
      <c r="C454" s="945" t="s">
        <v>175</v>
      </c>
      <c r="D454" s="945" t="s">
        <v>122</v>
      </c>
      <c r="E454" s="997" t="s">
        <v>1917</v>
      </c>
      <c r="F454" s="997"/>
      <c r="G454" s="997" t="e">
        <f>+VLOOKUP(Data_Validation!$A454,BV_Data_An_Cour!$L:$Q,6,0)</f>
        <v>#N/A</v>
      </c>
      <c r="H454" s="165"/>
    </row>
    <row r="455" spans="1:8" ht="15" customHeight="1">
      <c r="A455" s="1153">
        <v>6714</v>
      </c>
      <c r="B455" s="166" t="s">
        <v>1374</v>
      </c>
      <c r="C455" s="945" t="s">
        <v>175</v>
      </c>
      <c r="D455" s="945" t="s">
        <v>121</v>
      </c>
      <c r="E455" s="997" t="s">
        <v>1917</v>
      </c>
      <c r="F455" s="997"/>
      <c r="G455" s="997" t="str">
        <f>+VLOOKUP(Data_Validation!$A455,BV_Data_An_Cour!$L:$Q,6,0)</f>
        <v>7-Dépenses</v>
      </c>
      <c r="H455" s="165"/>
    </row>
    <row r="456" spans="1:8" ht="15" customHeight="1">
      <c r="A456" s="1143">
        <v>6721</v>
      </c>
      <c r="B456" s="169" t="s">
        <v>1357</v>
      </c>
      <c r="C456" s="945" t="s">
        <v>175</v>
      </c>
      <c r="D456" s="945" t="s">
        <v>213</v>
      </c>
      <c r="E456" s="997" t="s">
        <v>1917</v>
      </c>
      <c r="F456" s="997"/>
      <c r="G456" s="997" t="str">
        <f>+VLOOKUP(Data_Validation!$A456,BV_Data_An_Cour!$L:$Q,6,0)</f>
        <v>7-Dépenses</v>
      </c>
      <c r="H456" s="165"/>
    </row>
    <row r="457" spans="1:8" ht="15" customHeight="1">
      <c r="A457" s="1153">
        <v>6722</v>
      </c>
      <c r="B457" s="166" t="s">
        <v>2619</v>
      </c>
      <c r="C457" s="945" t="s">
        <v>175</v>
      </c>
      <c r="D457" s="945" t="s">
        <v>112</v>
      </c>
      <c r="E457" s="997" t="s">
        <v>1917</v>
      </c>
      <c r="F457" s="997"/>
      <c r="G457" s="997" t="str">
        <f>+VLOOKUP(Data_Validation!$A457,BV_Data_An_Cour!$L:$Q,6,0)</f>
        <v>7-Dépenses</v>
      </c>
      <c r="H457" s="165"/>
    </row>
    <row r="458" spans="1:8" ht="15" customHeight="1">
      <c r="A458" s="1143">
        <v>6723</v>
      </c>
      <c r="B458" s="169" t="s">
        <v>1342</v>
      </c>
      <c r="C458" s="945" t="s">
        <v>175</v>
      </c>
      <c r="D458" s="945" t="s">
        <v>113</v>
      </c>
      <c r="E458" s="997" t="s">
        <v>1917</v>
      </c>
      <c r="F458" s="997"/>
      <c r="G458" s="997" t="str">
        <f>+VLOOKUP(Data_Validation!$A458,BV_Data_An_Cour!$L:$Q,6,0)</f>
        <v>7-Dépenses</v>
      </c>
      <c r="H458" s="165"/>
    </row>
    <row r="459" spans="1:8" ht="15" customHeight="1">
      <c r="A459" s="1143">
        <v>6724</v>
      </c>
      <c r="B459" s="166" t="s">
        <v>1249</v>
      </c>
      <c r="C459" s="945" t="s">
        <v>175</v>
      </c>
      <c r="D459" s="945" t="s">
        <v>114</v>
      </c>
      <c r="E459" s="997" t="s">
        <v>1917</v>
      </c>
      <c r="F459" s="997"/>
      <c r="G459" s="997" t="str">
        <f>+VLOOKUP(Data_Validation!$A459,BV_Data_An_Cour!$L:$Q,6,0)</f>
        <v>7-Dépenses</v>
      </c>
      <c r="H459" s="165"/>
    </row>
    <row r="460" spans="1:8" ht="15" customHeight="1">
      <c r="A460" s="1143">
        <v>6729</v>
      </c>
      <c r="B460" s="169" t="s">
        <v>1328</v>
      </c>
      <c r="C460" s="945" t="s">
        <v>175</v>
      </c>
      <c r="D460" s="945" t="s">
        <v>116</v>
      </c>
      <c r="E460" s="997" t="s">
        <v>1917</v>
      </c>
      <c r="F460" s="997"/>
      <c r="G460" s="997" t="str">
        <f>+VLOOKUP(Data_Validation!$A460,BV_Data_An_Cour!$L:$Q,6,0)</f>
        <v>7-Dépenses</v>
      </c>
      <c r="H460" s="165"/>
    </row>
    <row r="461" spans="1:8" ht="15" customHeight="1">
      <c r="A461" s="1143">
        <v>6731</v>
      </c>
      <c r="B461" s="166" t="s">
        <v>1252</v>
      </c>
      <c r="C461" s="945" t="s">
        <v>175</v>
      </c>
      <c r="D461" s="945" t="s">
        <v>119</v>
      </c>
      <c r="E461" s="997" t="s">
        <v>1917</v>
      </c>
      <c r="F461" s="997"/>
      <c r="G461" s="997" t="str">
        <f>+VLOOKUP(Data_Validation!$A461,BV_Data_An_Cour!$L:$Q,6,0)</f>
        <v>7-Dépenses</v>
      </c>
      <c r="H461" s="165"/>
    </row>
    <row r="462" spans="1:8" ht="15" customHeight="1">
      <c r="A462" s="1143">
        <v>6732</v>
      </c>
      <c r="B462" s="169" t="s">
        <v>1283</v>
      </c>
      <c r="C462" s="945" t="s">
        <v>175</v>
      </c>
      <c r="D462" s="945" t="s">
        <v>119</v>
      </c>
      <c r="E462" s="997" t="s">
        <v>1917</v>
      </c>
      <c r="F462" s="997"/>
      <c r="G462" s="997" t="str">
        <f>+VLOOKUP(Data_Validation!$A462,BV_Data_An_Cour!$L:$Q,6,0)</f>
        <v>7-Dépenses</v>
      </c>
      <c r="H462" s="165"/>
    </row>
    <row r="463" spans="1:8" ht="15" customHeight="1">
      <c r="A463" s="1143">
        <v>6733</v>
      </c>
      <c r="B463" s="166" t="s">
        <v>1164</v>
      </c>
      <c r="C463" s="945" t="s">
        <v>175</v>
      </c>
      <c r="D463" s="945" t="s">
        <v>117</v>
      </c>
      <c r="E463" s="997" t="s">
        <v>1917</v>
      </c>
      <c r="F463" s="997"/>
      <c r="G463" s="997" t="str">
        <f>+VLOOKUP(Data_Validation!$A463,BV_Data_An_Cour!$L:$Q,6,0)</f>
        <v>7-Dépenses</v>
      </c>
      <c r="H463" s="165"/>
    </row>
    <row r="464" spans="1:8" ht="15" customHeight="1">
      <c r="A464" s="1143">
        <v>6739</v>
      </c>
      <c r="B464" s="169" t="s">
        <v>1305</v>
      </c>
      <c r="C464" s="945" t="s">
        <v>175</v>
      </c>
      <c r="D464" s="945" t="s">
        <v>118</v>
      </c>
      <c r="E464" s="997" t="s">
        <v>1917</v>
      </c>
      <c r="F464" s="997"/>
      <c r="G464" s="997" t="str">
        <f>+VLOOKUP(Data_Validation!$A464,BV_Data_An_Cour!$L:$Q,6,0)</f>
        <v>7-Dépenses</v>
      </c>
      <c r="H464" s="165"/>
    </row>
    <row r="465" spans="1:8" ht="15" customHeight="1">
      <c r="A465" s="1143">
        <v>6742</v>
      </c>
      <c r="B465" s="166" t="s">
        <v>1157</v>
      </c>
      <c r="C465" s="945" t="s">
        <v>175</v>
      </c>
      <c r="D465" s="945" t="s">
        <v>127</v>
      </c>
      <c r="E465" s="997" t="s">
        <v>1917</v>
      </c>
      <c r="F465" s="997"/>
      <c r="G465" s="997" t="str">
        <f>+VLOOKUP(Data_Validation!$A465,BV_Data_An_Cour!$L:$Q,6,0)</f>
        <v>7-Dépenses</v>
      </c>
      <c r="H465" s="165"/>
    </row>
    <row r="466" spans="1:8" ht="15" customHeight="1">
      <c r="A466" s="1143">
        <v>6743</v>
      </c>
      <c r="B466" s="169" t="s">
        <v>932</v>
      </c>
      <c r="C466" s="945" t="s">
        <v>175</v>
      </c>
      <c r="D466" s="945" t="s">
        <v>128</v>
      </c>
      <c r="E466" s="997" t="s">
        <v>1917</v>
      </c>
      <c r="F466" s="997"/>
      <c r="G466" s="997" t="e">
        <f>+VLOOKUP(Data_Validation!$A466,BV_Data_An_Cour!$L:$Q,6,0)</f>
        <v>#N/A</v>
      </c>
      <c r="H466" s="165"/>
    </row>
    <row r="467" spans="1:8" ht="15" customHeight="1">
      <c r="A467" s="1143">
        <v>6744</v>
      </c>
      <c r="B467" s="166" t="s">
        <v>934</v>
      </c>
      <c r="C467" s="945" t="s">
        <v>175</v>
      </c>
      <c r="D467" s="945" t="s">
        <v>133</v>
      </c>
      <c r="E467" s="997" t="s">
        <v>1917</v>
      </c>
      <c r="F467" s="997"/>
      <c r="G467" s="997" t="str">
        <f>+VLOOKUP(Data_Validation!$A467,BV_Data_An_Cour!$L:$Q,6,0)</f>
        <v>7-Dépenses</v>
      </c>
      <c r="H467" s="165"/>
    </row>
    <row r="468" spans="1:8" ht="15" customHeight="1">
      <c r="A468" s="1143">
        <v>6745</v>
      </c>
      <c r="B468" s="169" t="s">
        <v>1186</v>
      </c>
      <c r="C468" s="945" t="s">
        <v>175</v>
      </c>
      <c r="D468" s="945" t="s">
        <v>123</v>
      </c>
      <c r="E468" s="997" t="s">
        <v>1917</v>
      </c>
      <c r="F468" s="997"/>
      <c r="G468" s="997" t="str">
        <f>+VLOOKUP(Data_Validation!$A468,BV_Data_An_Cour!$L:$Q,6,0)</f>
        <v>7-Dépenses</v>
      </c>
      <c r="H468" s="165"/>
    </row>
    <row r="469" spans="1:8" ht="15" customHeight="1">
      <c r="A469" s="1153">
        <v>6747</v>
      </c>
      <c r="B469" s="171" t="s">
        <v>1180</v>
      </c>
      <c r="C469" s="945" t="s">
        <v>175</v>
      </c>
      <c r="D469" s="945" t="s">
        <v>131</v>
      </c>
      <c r="E469" s="997" t="s">
        <v>1917</v>
      </c>
      <c r="F469" s="998"/>
      <c r="G469" s="997" t="str">
        <f>+VLOOKUP(Data_Validation!$A469,BV_Data_An_Cour!$L:$Q,6,0)</f>
        <v>7-Dépenses</v>
      </c>
      <c r="H469" s="165"/>
    </row>
    <row r="470" spans="1:8" ht="15" customHeight="1">
      <c r="A470" s="1143">
        <v>6751</v>
      </c>
      <c r="B470" s="171" t="s">
        <v>1286</v>
      </c>
      <c r="C470" s="945" t="s">
        <v>175</v>
      </c>
      <c r="D470" s="945" t="s">
        <v>124</v>
      </c>
      <c r="E470" s="997" t="s">
        <v>1917</v>
      </c>
      <c r="F470" s="998"/>
      <c r="G470" s="997" t="str">
        <f>+VLOOKUP(Data_Validation!$A470,BV_Data_An_Cour!$L:$Q,6,0)</f>
        <v>7-Dépenses</v>
      </c>
      <c r="H470" s="165"/>
    </row>
    <row r="471" spans="1:8" ht="15" customHeight="1">
      <c r="A471" s="1143">
        <v>6752</v>
      </c>
      <c r="B471" s="171" t="s">
        <v>1206</v>
      </c>
      <c r="C471" s="945" t="s">
        <v>175</v>
      </c>
      <c r="D471" s="945" t="s">
        <v>129</v>
      </c>
      <c r="E471" s="997" t="s">
        <v>1917</v>
      </c>
      <c r="F471" s="998"/>
      <c r="G471" s="997" t="str">
        <f>+VLOOKUP(Data_Validation!$A471,BV_Data_An_Cour!$L:$Q,6,0)</f>
        <v>7-Dépenses</v>
      </c>
      <c r="H471" s="165"/>
    </row>
    <row r="472" spans="1:8" ht="15" customHeight="1">
      <c r="A472" s="1143">
        <v>6753</v>
      </c>
      <c r="B472" s="171" t="s">
        <v>1154</v>
      </c>
      <c r="C472" s="945" t="s">
        <v>175</v>
      </c>
      <c r="D472" s="945" t="s">
        <v>130</v>
      </c>
      <c r="E472" s="997" t="s">
        <v>1917</v>
      </c>
      <c r="F472" s="998"/>
      <c r="G472" s="997" t="str">
        <f>+VLOOKUP(Data_Validation!$A472,BV_Data_An_Cour!$L:$Q,6,0)</f>
        <v>7-Dépenses</v>
      </c>
      <c r="H472" s="165"/>
    </row>
    <row r="473" spans="1:8" ht="15" customHeight="1">
      <c r="A473" s="1143">
        <v>6755</v>
      </c>
      <c r="B473" s="171" t="s">
        <v>1237</v>
      </c>
      <c r="C473" s="945" t="s">
        <v>175</v>
      </c>
      <c r="D473" s="945" t="s">
        <v>132</v>
      </c>
      <c r="E473" s="997" t="s">
        <v>1917</v>
      </c>
      <c r="F473" s="998"/>
      <c r="G473" s="997" t="str">
        <f>+VLOOKUP(Data_Validation!$A473,BV_Data_An_Cour!$L:$Q,6,0)</f>
        <v>7-Dépenses</v>
      </c>
      <c r="H473" s="165"/>
    </row>
    <row r="474" spans="1:8" ht="15" customHeight="1">
      <c r="A474" s="1143">
        <v>6756</v>
      </c>
      <c r="B474" s="171" t="s">
        <v>1294</v>
      </c>
      <c r="C474" s="945" t="s">
        <v>175</v>
      </c>
      <c r="D474" s="945" t="s">
        <v>125</v>
      </c>
      <c r="E474" s="997" t="s">
        <v>1917</v>
      </c>
      <c r="F474" s="998"/>
      <c r="G474" s="997" t="str">
        <f>+VLOOKUP(Data_Validation!$A474,BV_Data_An_Cour!$L:$Q,6,0)</f>
        <v>7-Dépenses</v>
      </c>
      <c r="H474" s="165"/>
    </row>
    <row r="475" spans="1:8" ht="15" customHeight="1">
      <c r="A475" s="1143">
        <v>6759</v>
      </c>
      <c r="B475" s="171" t="s">
        <v>1308</v>
      </c>
      <c r="C475" s="945" t="s">
        <v>175</v>
      </c>
      <c r="D475" s="945" t="s">
        <v>126</v>
      </c>
      <c r="E475" s="997" t="s">
        <v>1917</v>
      </c>
      <c r="F475" s="998"/>
      <c r="G475" s="997" t="str">
        <f>+VLOOKUP(Data_Validation!$A475,BV_Data_An_Cour!$L:$Q,6,0)</f>
        <v>7-Dépenses</v>
      </c>
      <c r="H475" s="165"/>
    </row>
    <row r="476" spans="1:8" ht="15" customHeight="1">
      <c r="A476" s="1143">
        <v>6761</v>
      </c>
      <c r="B476" s="166" t="s">
        <v>1333</v>
      </c>
      <c r="C476" s="945" t="s">
        <v>175</v>
      </c>
      <c r="D476" s="945" t="s">
        <v>260</v>
      </c>
      <c r="E476" s="997" t="s">
        <v>1917</v>
      </c>
      <c r="F476" s="998"/>
      <c r="G476" s="997" t="str">
        <f>+VLOOKUP(Data_Validation!$A476,BV_Data_An_Cour!$L:$Q,6,0)</f>
        <v>7-Dépenses</v>
      </c>
      <c r="H476" s="165"/>
    </row>
    <row r="477" spans="1:8" ht="15" customHeight="1">
      <c r="A477" s="1143">
        <v>6762</v>
      </c>
      <c r="B477" s="171" t="s">
        <v>936</v>
      </c>
      <c r="C477" s="945" t="s">
        <v>175</v>
      </c>
      <c r="D477" s="945" t="s">
        <v>250</v>
      </c>
      <c r="E477" s="997" t="s">
        <v>1917</v>
      </c>
      <c r="F477" s="998"/>
      <c r="G477" s="997" t="e">
        <f>+VLOOKUP(Data_Validation!$A477,BV_Data_An_Cour!$L:$Q,6,0)</f>
        <v>#N/A</v>
      </c>
      <c r="H477" s="165"/>
    </row>
    <row r="478" spans="1:8" ht="15" customHeight="1">
      <c r="A478" s="1143">
        <v>6781</v>
      </c>
      <c r="B478" s="171" t="s">
        <v>1316</v>
      </c>
      <c r="C478" s="945" t="s">
        <v>175</v>
      </c>
      <c r="D478" s="945" t="s">
        <v>244</v>
      </c>
      <c r="E478" s="997" t="s">
        <v>1917</v>
      </c>
      <c r="F478" s="998"/>
      <c r="G478" s="997" t="str">
        <f>+VLOOKUP(Data_Validation!$A478,BV_Data_An_Cour!$L:$Q,6,0)</f>
        <v>7-Dépenses</v>
      </c>
      <c r="H478" s="165"/>
    </row>
    <row r="479" spans="1:8" ht="15" customHeight="1">
      <c r="A479" s="1143">
        <v>6782</v>
      </c>
      <c r="B479" s="171" t="s">
        <v>1457</v>
      </c>
      <c r="C479" s="945" t="s">
        <v>175</v>
      </c>
      <c r="D479" s="945" t="s">
        <v>235</v>
      </c>
      <c r="E479" s="997" t="s">
        <v>1917</v>
      </c>
      <c r="F479" s="998"/>
      <c r="G479" s="997" t="str">
        <f>+VLOOKUP(Data_Validation!$A479,BV_Data_An_Cour!$L:$Q,6,0)</f>
        <v>7-Dépenses</v>
      </c>
      <c r="H479" s="165"/>
    </row>
    <row r="480" spans="1:8" ht="15" customHeight="1">
      <c r="A480" s="1143">
        <v>6786</v>
      </c>
      <c r="B480" s="171" t="s">
        <v>1352</v>
      </c>
      <c r="C480" s="945" t="s">
        <v>175</v>
      </c>
      <c r="D480" s="945" t="s">
        <v>242</v>
      </c>
      <c r="E480" s="997" t="s">
        <v>1917</v>
      </c>
      <c r="F480" s="998"/>
      <c r="G480" s="997" t="str">
        <f>+VLOOKUP(Data_Validation!$A480,BV_Data_An_Cour!$L:$Q,6,0)</f>
        <v>7-Dépenses</v>
      </c>
      <c r="H480" s="165"/>
    </row>
    <row r="481" spans="1:29" ht="15" customHeight="1">
      <c r="A481" s="1143">
        <v>6787</v>
      </c>
      <c r="B481" s="171" t="s">
        <v>1344</v>
      </c>
      <c r="C481" s="945" t="s">
        <v>175</v>
      </c>
      <c r="D481" s="945" t="s">
        <v>237</v>
      </c>
      <c r="E481" s="997" t="s">
        <v>1917</v>
      </c>
      <c r="F481" s="998"/>
      <c r="G481" s="997" t="str">
        <f>+VLOOKUP(Data_Validation!$A481,BV_Data_An_Cour!$L:$Q,6,0)</f>
        <v>7-Dépenses</v>
      </c>
      <c r="H481" s="165"/>
      <c r="I481" s="2"/>
      <c r="J481" s="2"/>
      <c r="L481" s="2"/>
      <c r="M481" s="2"/>
      <c r="N481" s="2"/>
      <c r="O481" s="2"/>
      <c r="P481" s="2"/>
      <c r="Q481" s="2"/>
      <c r="R481" s="2"/>
      <c r="S481" s="2"/>
      <c r="T481" s="2"/>
      <c r="U481" s="2"/>
      <c r="V481" s="2"/>
      <c r="W481" s="2"/>
      <c r="X481" s="2"/>
      <c r="Y481" s="2"/>
      <c r="Z481" s="2"/>
      <c r="AA481" s="2"/>
      <c r="AB481" s="2"/>
      <c r="AC481" s="2"/>
    </row>
    <row r="482" spans="1:29" ht="15" customHeight="1">
      <c r="A482" s="1143">
        <v>6793</v>
      </c>
      <c r="B482" s="171" t="s">
        <v>1278</v>
      </c>
      <c r="C482" s="945" t="s">
        <v>175</v>
      </c>
      <c r="D482" s="945" t="s">
        <v>239</v>
      </c>
      <c r="E482" s="997" t="s">
        <v>1917</v>
      </c>
      <c r="F482" s="998"/>
      <c r="G482" s="997" t="str">
        <f>+VLOOKUP(Data_Validation!$A482,BV_Data_An_Cour!$L:$Q,6,0)</f>
        <v>7-Dépenses</v>
      </c>
      <c r="H482" s="165"/>
      <c r="I482" s="2"/>
      <c r="J482" s="2"/>
      <c r="L482" s="2"/>
      <c r="M482" s="2"/>
      <c r="N482" s="2"/>
      <c r="O482" s="2"/>
      <c r="P482" s="2"/>
      <c r="Q482" s="2"/>
      <c r="R482" s="2"/>
      <c r="S482" s="2"/>
      <c r="T482" s="2"/>
      <c r="U482" s="2"/>
      <c r="V482" s="2"/>
      <c r="W482" s="2"/>
      <c r="X482" s="2"/>
      <c r="Y482" s="2"/>
      <c r="Z482" s="2"/>
      <c r="AA482" s="2"/>
      <c r="AB482" s="2"/>
      <c r="AC482" s="2"/>
    </row>
    <row r="483" spans="1:29" ht="13.5" customHeight="1">
      <c r="A483" s="1143">
        <v>6794</v>
      </c>
      <c r="B483" s="171" t="s">
        <v>1371</v>
      </c>
      <c r="C483" s="945" t="s">
        <v>175</v>
      </c>
      <c r="D483" s="945" t="s">
        <v>246</v>
      </c>
      <c r="E483" s="997" t="s">
        <v>1917</v>
      </c>
      <c r="F483" s="998"/>
      <c r="G483" s="997" t="str">
        <f>+VLOOKUP(Data_Validation!$A483,BV_Data_An_Cour!$L:$Q,6,0)</f>
        <v>7-Dépenses</v>
      </c>
      <c r="H483" s="165"/>
    </row>
    <row r="484" spans="1:29" ht="15" customHeight="1">
      <c r="A484" s="1143">
        <v>9149</v>
      </c>
      <c r="B484" s="171" t="s">
        <v>2050</v>
      </c>
      <c r="C484" s="945" t="s">
        <v>75</v>
      </c>
      <c r="D484" s="945" t="s">
        <v>140</v>
      </c>
      <c r="E484" s="997" t="s">
        <v>1917</v>
      </c>
      <c r="F484" s="998"/>
      <c r="G484" s="997" t="str">
        <f>+VLOOKUP(Data_Validation!$A484,BV_Data_An_Cour!$L:$Q,6,0)</f>
        <v>8-Autres revenus</v>
      </c>
      <c r="H484" s="165"/>
    </row>
    <row r="485" spans="1:29" ht="15" customHeight="1">
      <c r="A485" s="1143">
        <v>9152</v>
      </c>
      <c r="B485" s="171" t="s">
        <v>2135</v>
      </c>
      <c r="C485" s="945" t="s">
        <v>175</v>
      </c>
      <c r="D485" s="945" t="s">
        <v>183</v>
      </c>
      <c r="E485" s="997" t="s">
        <v>1917</v>
      </c>
      <c r="F485" s="998"/>
      <c r="G485" s="997" t="str">
        <f>+VLOOKUP(Data_Validation!$A485,BV_Data_An_Cour!$L:$Q,6,0)</f>
        <v>8-Autres revenus</v>
      </c>
      <c r="H485" s="165"/>
    </row>
    <row r="486" spans="1:29" ht="15" customHeight="1">
      <c r="A486" s="1143">
        <v>9157</v>
      </c>
      <c r="B486" s="171" t="s">
        <v>2074</v>
      </c>
      <c r="C486" s="945" t="s">
        <v>75</v>
      </c>
      <c r="D486" s="945" t="s">
        <v>137</v>
      </c>
      <c r="E486" s="997" t="s">
        <v>1917</v>
      </c>
      <c r="F486" s="998"/>
      <c r="G486" s="997" t="e">
        <f>+VLOOKUP(Data_Validation!$A486,BV_Data_An_Cour!$L:$Q,6,0)</f>
        <v>#N/A</v>
      </c>
      <c r="H486" s="165"/>
    </row>
    <row r="487" spans="1:29" ht="15" customHeight="1">
      <c r="A487" s="1143">
        <v>9161</v>
      </c>
      <c r="B487" s="171" t="s">
        <v>2167</v>
      </c>
      <c r="C487" s="945" t="s">
        <v>75</v>
      </c>
      <c r="D487" s="945" t="s">
        <v>97</v>
      </c>
      <c r="E487" s="997" t="s">
        <v>1917</v>
      </c>
      <c r="F487" s="998" t="s">
        <v>1920</v>
      </c>
      <c r="G487" s="997" t="str">
        <f>+VLOOKUP(Data_Validation!$A487,BV_Data_An_Cour!$L:$Q,6,0)</f>
        <v>8-Autres revenus</v>
      </c>
      <c r="H487" s="165"/>
    </row>
    <row r="488" spans="1:29" ht="15" customHeight="1">
      <c r="A488" s="1143">
        <v>9163</v>
      </c>
      <c r="B488" s="171" t="s">
        <v>2081</v>
      </c>
      <c r="C488" s="945" t="s">
        <v>144</v>
      </c>
      <c r="D488" s="945" t="s">
        <v>97</v>
      </c>
      <c r="E488" s="997" t="s">
        <v>1917</v>
      </c>
      <c r="F488" s="998" t="s">
        <v>1920</v>
      </c>
      <c r="G488" s="997" t="str">
        <f>+VLOOKUP(Data_Validation!$A488,BV_Data_An_Cour!$L:$Q,6,0)</f>
        <v>8-Autres revenus</v>
      </c>
      <c r="H488" s="165"/>
      <c r="K488" s="2"/>
    </row>
    <row r="489" spans="1:29" ht="15" customHeight="1">
      <c r="A489" s="1143">
        <v>9165</v>
      </c>
      <c r="B489" s="171" t="s">
        <v>2168</v>
      </c>
      <c r="C489" s="945" t="s">
        <v>75</v>
      </c>
      <c r="D489" s="945" t="s">
        <v>99</v>
      </c>
      <c r="E489" s="997" t="s">
        <v>1917</v>
      </c>
      <c r="F489" s="998" t="s">
        <v>1920</v>
      </c>
      <c r="G489" s="997" t="str">
        <f>+VLOOKUP(Data_Validation!$A489,BV_Data_An_Cour!$L:$Q,6,0)</f>
        <v>8-Autres revenus</v>
      </c>
      <c r="H489" s="165"/>
      <c r="I489" s="2"/>
      <c r="J489" s="2"/>
      <c r="K489" s="2"/>
      <c r="L489" s="2"/>
      <c r="M489" s="2"/>
      <c r="N489" s="2"/>
      <c r="O489" s="2"/>
      <c r="P489" s="2"/>
      <c r="Q489" s="2"/>
      <c r="R489" s="2"/>
      <c r="S489" s="2"/>
      <c r="T489" s="2"/>
      <c r="U489" s="2"/>
      <c r="V489" s="2"/>
      <c r="W489" s="2"/>
      <c r="X489" s="2"/>
      <c r="Y489" s="2"/>
      <c r="Z489" s="2"/>
      <c r="AA489" s="2"/>
      <c r="AB489" s="2"/>
      <c r="AC489" s="2"/>
    </row>
    <row r="490" spans="1:29" ht="15" customHeight="1">
      <c r="A490" s="1143">
        <v>9167</v>
      </c>
      <c r="B490" s="171" t="s">
        <v>2176</v>
      </c>
      <c r="C490" s="945" t="s">
        <v>144</v>
      </c>
      <c r="D490" s="945" t="s">
        <v>99</v>
      </c>
      <c r="E490" s="997" t="s">
        <v>1917</v>
      </c>
      <c r="F490" s="998" t="s">
        <v>1920</v>
      </c>
      <c r="G490" s="997" t="str">
        <f>+VLOOKUP(Data_Validation!$A490,BV_Data_An_Cour!$L:$Q,6,0)</f>
        <v>8-Autres revenus</v>
      </c>
      <c r="H490" s="165"/>
    </row>
    <row r="491" spans="1:29" ht="15" customHeight="1">
      <c r="A491" s="1143">
        <v>9169</v>
      </c>
      <c r="B491" s="171" t="s">
        <v>2089</v>
      </c>
      <c r="C491" s="945" t="s">
        <v>75</v>
      </c>
      <c r="D491" s="945" t="s">
        <v>98</v>
      </c>
      <c r="E491" s="997" t="s">
        <v>1917</v>
      </c>
      <c r="F491" s="998" t="s">
        <v>1920</v>
      </c>
      <c r="G491" s="997" t="str">
        <f>+VLOOKUP(Data_Validation!$A491,BV_Data_An_Cour!$L:$Q,6,0)</f>
        <v>8-Autres revenus</v>
      </c>
      <c r="H491" s="165"/>
    </row>
    <row r="492" spans="1:29" ht="15" customHeight="1">
      <c r="A492" s="1143">
        <v>9170</v>
      </c>
      <c r="B492" s="171" t="s">
        <v>2071</v>
      </c>
      <c r="C492" s="945" t="s">
        <v>75</v>
      </c>
      <c r="D492" s="945" t="s">
        <v>98</v>
      </c>
      <c r="E492" s="997" t="s">
        <v>1917</v>
      </c>
      <c r="F492" s="998" t="s">
        <v>1920</v>
      </c>
      <c r="G492" s="997" t="str">
        <f>+VLOOKUP(Data_Validation!$A492,BV_Data_An_Cour!$L:$Q,6,0)</f>
        <v>8-Autres revenus</v>
      </c>
      <c r="H492" s="165"/>
    </row>
    <row r="493" spans="1:29" ht="15" customHeight="1">
      <c r="A493" s="1143">
        <v>9171</v>
      </c>
      <c r="B493" s="171" t="s">
        <v>2085</v>
      </c>
      <c r="C493" s="945" t="s">
        <v>144</v>
      </c>
      <c r="D493" s="945" t="s">
        <v>98</v>
      </c>
      <c r="E493" s="997" t="s">
        <v>1917</v>
      </c>
      <c r="F493" s="998" t="s">
        <v>1920</v>
      </c>
      <c r="G493" s="997" t="str">
        <f>+VLOOKUP(Data_Validation!$A493,BV_Data_An_Cour!$L:$Q,6,0)</f>
        <v>8-Autres revenus</v>
      </c>
      <c r="H493" s="165"/>
    </row>
    <row r="494" spans="1:29" ht="15" customHeight="1">
      <c r="A494" s="1143">
        <v>9172</v>
      </c>
      <c r="B494" s="171" t="s">
        <v>2093</v>
      </c>
      <c r="C494" s="945" t="s">
        <v>144</v>
      </c>
      <c r="D494" s="945" t="s">
        <v>98</v>
      </c>
      <c r="E494" s="997" t="s">
        <v>1917</v>
      </c>
      <c r="F494" s="998" t="s">
        <v>1920</v>
      </c>
      <c r="G494" s="997" t="str">
        <f>+VLOOKUP(Data_Validation!$A494,BV_Data_An_Cour!$L:$Q,6,0)</f>
        <v>8-Autres revenus</v>
      </c>
      <c r="H494" s="165"/>
    </row>
    <row r="495" spans="1:29" ht="15" customHeight="1">
      <c r="A495" s="1143">
        <v>9173</v>
      </c>
      <c r="B495" s="171" t="s">
        <v>2077</v>
      </c>
      <c r="C495" s="945" t="s">
        <v>75</v>
      </c>
      <c r="D495" s="945" t="s">
        <v>141</v>
      </c>
      <c r="E495" s="997" t="s">
        <v>1917</v>
      </c>
      <c r="F495" s="998"/>
      <c r="G495" s="997" t="str">
        <f>+VLOOKUP(Data_Validation!$A495,BV_Data_An_Cour!$L:$Q,6,0)</f>
        <v>8-Autres revenus</v>
      </c>
      <c r="H495" s="165"/>
      <c r="I495" s="2"/>
      <c r="J495" s="2"/>
      <c r="L495" s="2"/>
      <c r="M495" s="2"/>
      <c r="N495" s="2"/>
      <c r="O495" s="2"/>
      <c r="P495" s="2"/>
      <c r="Q495" s="2"/>
      <c r="R495" s="2"/>
      <c r="S495" s="2"/>
      <c r="T495" s="2"/>
      <c r="U495" s="2"/>
      <c r="V495" s="2"/>
      <c r="W495" s="2"/>
      <c r="X495" s="2"/>
      <c r="Y495" s="2"/>
      <c r="Z495" s="2"/>
      <c r="AA495" s="2"/>
      <c r="AB495" s="2"/>
      <c r="AC495" s="2"/>
    </row>
    <row r="496" spans="1:29" ht="15" customHeight="1">
      <c r="A496" s="1143">
        <v>9191</v>
      </c>
      <c r="B496" s="171" t="s">
        <v>2059</v>
      </c>
      <c r="C496" s="945" t="s">
        <v>193</v>
      </c>
      <c r="D496" s="945" t="s">
        <v>255</v>
      </c>
      <c r="E496" s="997" t="s">
        <v>1917</v>
      </c>
      <c r="F496" s="998"/>
      <c r="G496" s="997" t="str">
        <f>+VLOOKUP(Data_Validation!$A496,BV_Data_An_Cour!$L:$Q,6,0)</f>
        <v>8-Autres revenus</v>
      </c>
      <c r="H496" s="165"/>
      <c r="K496" s="2"/>
    </row>
    <row r="497" spans="1:11" s="570" customFormat="1" ht="15" customHeight="1">
      <c r="A497" s="1143">
        <v>9192</v>
      </c>
      <c r="B497" s="171" t="s">
        <v>3105</v>
      </c>
      <c r="C497" s="945" t="s">
        <v>193</v>
      </c>
      <c r="D497" s="945" t="s">
        <v>255</v>
      </c>
      <c r="E497" s="997" t="s">
        <v>1917</v>
      </c>
      <c r="F497" s="998"/>
      <c r="G497" s="997" t="e">
        <f>+VLOOKUP(Data_Validation!$A497,BV_Data_An_Cour!$L:$Q,6,0)</f>
        <v>#N/A</v>
      </c>
      <c r="H497" s="165"/>
      <c r="K497" s="165"/>
    </row>
    <row r="498" spans="1:11" ht="15" customHeight="1">
      <c r="A498" s="1143">
        <v>9402</v>
      </c>
      <c r="B498" s="171" t="s">
        <v>2645</v>
      </c>
      <c r="C498" s="945" t="s">
        <v>193</v>
      </c>
      <c r="D498" s="945" t="s">
        <v>262</v>
      </c>
      <c r="E498" s="997" t="s">
        <v>1917</v>
      </c>
      <c r="F498" s="998"/>
      <c r="G498" s="997" t="str">
        <f>+VLOOKUP(Data_Validation!$A498,BV_Data_An_Cour!$L:$Q,6,0)</f>
        <v>9-Autres déductions</v>
      </c>
      <c r="H498" s="165"/>
    </row>
    <row r="499" spans="1:11" ht="15" customHeight="1">
      <c r="A499" s="1143">
        <v>9403</v>
      </c>
      <c r="B499" s="171" t="s">
        <v>2171</v>
      </c>
      <c r="C499" s="945" t="s">
        <v>193</v>
      </c>
      <c r="D499" s="945" t="s">
        <v>261</v>
      </c>
      <c r="E499" s="997" t="s">
        <v>1917</v>
      </c>
      <c r="F499" s="998"/>
      <c r="G499" s="997" t="e">
        <f>+VLOOKUP(Data_Validation!$A499,BV_Data_An_Cour!$L:$Q,6,0)</f>
        <v>#N/A</v>
      </c>
      <c r="H499" s="165"/>
    </row>
    <row r="500" spans="1:11" ht="15" customHeight="1">
      <c r="A500" s="1143">
        <v>9404</v>
      </c>
      <c r="B500" s="171" t="s">
        <v>1389</v>
      </c>
      <c r="C500" s="945" t="s">
        <v>193</v>
      </c>
      <c r="D500" s="945" t="s">
        <v>262</v>
      </c>
      <c r="E500" s="997" t="s">
        <v>1917</v>
      </c>
      <c r="F500" s="998"/>
      <c r="G500" s="997" t="str">
        <f>+VLOOKUP(Data_Validation!$A500,BV_Data_An_Cour!$L:$Q,6,0)</f>
        <v>9-Autres déductions</v>
      </c>
      <c r="H500" s="165"/>
    </row>
    <row r="501" spans="1:11" ht="15" customHeight="1">
      <c r="A501" s="1143">
        <v>9406</v>
      </c>
      <c r="B501" s="171" t="s">
        <v>1385</v>
      </c>
      <c r="C501" s="945" t="s">
        <v>75</v>
      </c>
      <c r="D501" s="945" t="s">
        <v>134</v>
      </c>
      <c r="E501" s="997" t="s">
        <v>1917</v>
      </c>
      <c r="F501" s="998"/>
      <c r="G501" s="997" t="str">
        <f>+VLOOKUP(Data_Validation!$A501,BV_Data_An_Cour!$L:$Q,6,0)</f>
        <v>9-Autres déductions</v>
      </c>
      <c r="H501" s="165"/>
    </row>
    <row r="502" spans="1:11" ht="15" customHeight="1">
      <c r="A502" s="168" t="s">
        <v>2473</v>
      </c>
      <c r="B502" s="169" t="s">
        <v>2472</v>
      </c>
      <c r="C502" s="945" t="s">
        <v>1642</v>
      </c>
      <c r="D502" s="945"/>
      <c r="E502" s="1000" t="s">
        <v>1915</v>
      </c>
      <c r="F502" s="998"/>
      <c r="G502" s="997" t="str">
        <f>+VLOOKUP(Data_Validation!$A502,BV_Data_An_Cour!$L:$Q,6,0)</f>
        <v>10-Compte compteur</v>
      </c>
      <c r="H502" s="163"/>
    </row>
    <row r="503" spans="1:11" ht="15" customHeight="1">
      <c r="A503" s="168" t="s">
        <v>2475</v>
      </c>
      <c r="B503" s="169" t="s">
        <v>2474</v>
      </c>
      <c r="C503" s="945" t="s">
        <v>1642</v>
      </c>
      <c r="D503" s="945"/>
      <c r="E503" s="1000" t="s">
        <v>1915</v>
      </c>
      <c r="F503" s="998"/>
      <c r="G503" s="997" t="str">
        <f>+VLOOKUP(Data_Validation!$A503,BV_Data_An_Cour!$L:$Q,6,0)</f>
        <v>10-Compte compteur</v>
      </c>
      <c r="H503" s="165"/>
    </row>
    <row r="504" spans="1:11" ht="15" customHeight="1">
      <c r="A504" s="168" t="s">
        <v>2478</v>
      </c>
      <c r="B504" s="169" t="s">
        <v>2477</v>
      </c>
      <c r="C504" s="945" t="s">
        <v>75</v>
      </c>
      <c r="D504" s="945" t="s">
        <v>96</v>
      </c>
      <c r="E504" s="1000" t="s">
        <v>1915</v>
      </c>
      <c r="F504" s="1000"/>
      <c r="G504" s="997" t="str">
        <f>+VLOOKUP(Data_Validation!$A504,BV_Data_An_Cour!$L:$Q,6,0)</f>
        <v>10-Compte compteur</v>
      </c>
      <c r="H504" s="165"/>
    </row>
    <row r="505" spans="1:11" ht="15" customHeight="1">
      <c r="A505" s="168" t="s">
        <v>2480</v>
      </c>
      <c r="B505" s="169" t="s">
        <v>2479</v>
      </c>
      <c r="C505" s="945" t="s">
        <v>75</v>
      </c>
      <c r="D505" s="945" t="s">
        <v>89</v>
      </c>
      <c r="E505" s="1000" t="s">
        <v>1915</v>
      </c>
      <c r="F505" s="1000"/>
      <c r="G505" s="997" t="e">
        <f>+VLOOKUP(Data_Validation!$A505,BV_Data_An_Cour!$L:$Q,6,0)</f>
        <v>#N/A</v>
      </c>
      <c r="H505" s="165"/>
    </row>
    <row r="506" spans="1:11" ht="15" customHeight="1">
      <c r="A506" s="168" t="s">
        <v>2482</v>
      </c>
      <c r="B506" s="169" t="s">
        <v>2481</v>
      </c>
      <c r="C506" s="945" t="s">
        <v>75</v>
      </c>
      <c r="D506" s="945" t="s">
        <v>89</v>
      </c>
      <c r="E506" s="1000" t="s">
        <v>1915</v>
      </c>
      <c r="F506" s="1000"/>
      <c r="G506" s="997" t="e">
        <f>+VLOOKUP(Data_Validation!$A506,BV_Data_An_Cour!$L:$Q,6,0)</f>
        <v>#N/A</v>
      </c>
      <c r="H506" s="165"/>
    </row>
    <row r="507" spans="1:11" ht="15" customHeight="1">
      <c r="A507" s="168" t="s">
        <v>2484</v>
      </c>
      <c r="B507" s="169" t="s">
        <v>2483</v>
      </c>
      <c r="C507" s="945" t="s">
        <v>75</v>
      </c>
      <c r="D507" s="945" t="s">
        <v>89</v>
      </c>
      <c r="E507" s="1000" t="s">
        <v>1915</v>
      </c>
      <c r="F507" s="1000"/>
      <c r="G507" s="997" t="e">
        <f>+VLOOKUP(Data_Validation!$A507,BV_Data_An_Cour!$L:$Q,6,0)</f>
        <v>#N/A</v>
      </c>
      <c r="H507" s="165"/>
    </row>
    <row r="508" spans="1:11" ht="15" customHeight="1">
      <c r="A508" s="1011" t="s">
        <v>2486</v>
      </c>
      <c r="B508" s="1014" t="s">
        <v>2485</v>
      </c>
      <c r="C508" s="1010" t="s">
        <v>75</v>
      </c>
      <c r="D508" s="945" t="s">
        <v>89</v>
      </c>
      <c r="E508" s="1000" t="s">
        <v>1915</v>
      </c>
      <c r="F508" s="1000"/>
      <c r="G508" s="997" t="str">
        <f>+VLOOKUP(Data_Validation!$A508,BV_Data_An_Cour!$L:$Q,6,0)</f>
        <v>10-Compte compteur</v>
      </c>
      <c r="H508" s="165"/>
    </row>
    <row r="509" spans="1:11" ht="15" customHeight="1">
      <c r="A509" s="168" t="s">
        <v>2488</v>
      </c>
      <c r="B509" s="169" t="s">
        <v>2487</v>
      </c>
      <c r="C509" s="945" t="s">
        <v>75</v>
      </c>
      <c r="D509" s="945" t="s">
        <v>89</v>
      </c>
      <c r="E509" s="1000" t="s">
        <v>1915</v>
      </c>
      <c r="F509" s="1000"/>
      <c r="G509" s="997" t="e">
        <f>+VLOOKUP(Data_Validation!$A509,BV_Data_An_Cour!$L:$Q,6,0)</f>
        <v>#N/A</v>
      </c>
      <c r="H509" s="165"/>
    </row>
    <row r="510" spans="1:11" ht="15" customHeight="1">
      <c r="A510" s="168" t="s">
        <v>2490</v>
      </c>
      <c r="B510" s="169" t="s">
        <v>2489</v>
      </c>
      <c r="C510" s="945" t="s">
        <v>75</v>
      </c>
      <c r="D510" s="945" t="s">
        <v>89</v>
      </c>
      <c r="E510" s="1000" t="s">
        <v>1915</v>
      </c>
      <c r="F510" s="1000"/>
      <c r="G510" s="997" t="e">
        <f>+VLOOKUP(Data_Validation!$A510,BV_Data_An_Cour!$L:$Q,6,0)</f>
        <v>#N/A</v>
      </c>
      <c r="H510" s="165"/>
    </row>
    <row r="511" spans="1:11" ht="15" customHeight="1">
      <c r="A511" s="168" t="s">
        <v>2492</v>
      </c>
      <c r="B511" s="169" t="s">
        <v>2491</v>
      </c>
      <c r="C511" s="945" t="s">
        <v>75</v>
      </c>
      <c r="D511" s="945" t="s">
        <v>89</v>
      </c>
      <c r="E511" s="1000" t="s">
        <v>1915</v>
      </c>
      <c r="F511" s="1000"/>
      <c r="G511" s="997" t="e">
        <f>+VLOOKUP(Data_Validation!$A511,BV_Data_An_Cour!$L:$Q,6,0)</f>
        <v>#N/A</v>
      </c>
      <c r="H511" s="165"/>
    </row>
    <row r="512" spans="1:11" s="570" customFormat="1" ht="15" customHeight="1">
      <c r="A512" s="168" t="s">
        <v>2912</v>
      </c>
      <c r="B512" s="169" t="s">
        <v>2915</v>
      </c>
      <c r="C512" s="945" t="s">
        <v>75</v>
      </c>
      <c r="D512" s="945" t="s">
        <v>90</v>
      </c>
      <c r="E512" s="1000" t="s">
        <v>1915</v>
      </c>
      <c r="F512" s="1000"/>
      <c r="G512" s="997" t="str">
        <f>+VLOOKUP(Data_Validation!$A512,BV_Data_An_Cour!$L:$Q,6,0)</f>
        <v>10-Compte compteur</v>
      </c>
      <c r="H512" s="165"/>
    </row>
    <row r="513" spans="1:29" ht="15" customHeight="1">
      <c r="A513" s="168" t="s">
        <v>2494</v>
      </c>
      <c r="B513" s="169" t="s">
        <v>2493</v>
      </c>
      <c r="C513" s="945" t="s">
        <v>75</v>
      </c>
      <c r="D513" s="945" t="s">
        <v>90</v>
      </c>
      <c r="E513" s="1000" t="s">
        <v>1915</v>
      </c>
      <c r="F513" s="1000"/>
      <c r="G513" s="997" t="str">
        <f>+VLOOKUP(Data_Validation!$A513,BV_Data_An_Cour!$L:$Q,6,0)</f>
        <v>10-Compte compteur</v>
      </c>
      <c r="H513" s="165"/>
    </row>
    <row r="514" spans="1:29" ht="15" customHeight="1">
      <c r="A514" s="168" t="s">
        <v>2496</v>
      </c>
      <c r="B514" s="169" t="s">
        <v>2495</v>
      </c>
      <c r="C514" s="945" t="s">
        <v>75</v>
      </c>
      <c r="D514" s="945" t="s">
        <v>89</v>
      </c>
      <c r="E514" s="1000" t="s">
        <v>1915</v>
      </c>
      <c r="F514" s="1000"/>
      <c r="G514" s="997" t="str">
        <f>+VLOOKUP(Data_Validation!$A514,BV_Data_An_Cour!$L:$Q,6,0)</f>
        <v>10-Compte compteur</v>
      </c>
      <c r="H514" s="165"/>
      <c r="I514" s="2"/>
      <c r="J514" s="2"/>
      <c r="L514" s="2"/>
      <c r="M514" s="2"/>
      <c r="N514" s="2"/>
      <c r="O514" s="2"/>
      <c r="P514" s="2"/>
      <c r="Q514" s="2"/>
      <c r="R514" s="2"/>
      <c r="S514" s="2"/>
      <c r="T514" s="2"/>
      <c r="U514" s="2"/>
      <c r="V514" s="2"/>
      <c r="W514" s="2"/>
      <c r="X514" s="2"/>
      <c r="Y514" s="2"/>
      <c r="Z514" s="2"/>
      <c r="AA514" s="2"/>
      <c r="AB514" s="2"/>
      <c r="AC514" s="2"/>
    </row>
    <row r="515" spans="1:29" ht="15" customHeight="1">
      <c r="A515" s="169" t="s">
        <v>2498</v>
      </c>
      <c r="B515" s="169" t="s">
        <v>2497</v>
      </c>
      <c r="C515" s="945" t="s">
        <v>75</v>
      </c>
      <c r="D515" s="945" t="s">
        <v>90</v>
      </c>
      <c r="E515" s="1000" t="s">
        <v>1915</v>
      </c>
      <c r="F515" s="1000"/>
      <c r="G515" s="997" t="str">
        <f>+VLOOKUP(Data_Validation!$A515,BV_Data_An_Cour!$L:$Q,6,0)</f>
        <v>10-Compte compteur</v>
      </c>
      <c r="H515" s="165"/>
    </row>
    <row r="516" spans="1:29" ht="15" customHeight="1">
      <c r="A516" s="168" t="s">
        <v>2500</v>
      </c>
      <c r="B516" s="169" t="s">
        <v>2499</v>
      </c>
      <c r="C516" s="945" t="s">
        <v>75</v>
      </c>
      <c r="D516" s="945" t="s">
        <v>89</v>
      </c>
      <c r="E516" s="1000" t="s">
        <v>1915</v>
      </c>
      <c r="F516" s="1000"/>
      <c r="G516" s="997" t="e">
        <f>+VLOOKUP(Data_Validation!$A516,BV_Data_An_Cour!$L:$Q,6,0)</f>
        <v>#N/A</v>
      </c>
      <c r="H516" s="165"/>
    </row>
    <row r="517" spans="1:29" ht="15" customHeight="1">
      <c r="A517" s="168" t="s">
        <v>2503</v>
      </c>
      <c r="B517" s="169" t="s">
        <v>2502</v>
      </c>
      <c r="C517" s="945" t="s">
        <v>75</v>
      </c>
      <c r="D517" s="945" t="s">
        <v>95</v>
      </c>
      <c r="E517" s="1000" t="s">
        <v>1915</v>
      </c>
      <c r="F517" s="1000"/>
      <c r="G517" s="997" t="e">
        <f>+VLOOKUP(Data_Validation!$A517,BV_Data_An_Cour!$L:$Q,6,0)</f>
        <v>#N/A</v>
      </c>
      <c r="H517" s="165"/>
    </row>
    <row r="518" spans="1:29" ht="15" customHeight="1">
      <c r="A518" s="169" t="s">
        <v>2505</v>
      </c>
      <c r="B518" s="169" t="s">
        <v>2504</v>
      </c>
      <c r="C518" s="945" t="s">
        <v>75</v>
      </c>
      <c r="D518" s="945" t="s">
        <v>94</v>
      </c>
      <c r="E518" s="1000" t="s">
        <v>1915</v>
      </c>
      <c r="F518" s="1000"/>
      <c r="G518" s="997" t="str">
        <f>+VLOOKUP(Data_Validation!$A518,BV_Data_An_Cour!$L:$Q,6,0)</f>
        <v>10-Compte compteur</v>
      </c>
      <c r="H518" s="165"/>
    </row>
    <row r="519" spans="1:29" ht="15" customHeight="1">
      <c r="A519" s="168" t="s">
        <v>2507</v>
      </c>
      <c r="B519" s="169" t="s">
        <v>2506</v>
      </c>
      <c r="C519" s="945" t="s">
        <v>144</v>
      </c>
      <c r="D519" s="945" t="s">
        <v>146</v>
      </c>
      <c r="E519" s="1000" t="s">
        <v>1915</v>
      </c>
      <c r="F519" s="1000"/>
      <c r="G519" s="997" t="str">
        <f>+VLOOKUP(Data_Validation!$A519,BV_Data_An_Cour!$L:$Q,6,0)</f>
        <v>10-Compte compteur</v>
      </c>
      <c r="H519" s="165"/>
    </row>
    <row r="520" spans="1:29" ht="15" customHeight="1">
      <c r="A520" s="168" t="s">
        <v>2509</v>
      </c>
      <c r="B520" s="169" t="s">
        <v>2508</v>
      </c>
      <c r="C520" s="945" t="s">
        <v>144</v>
      </c>
      <c r="D520" s="945" t="s">
        <v>147</v>
      </c>
      <c r="E520" s="1000" t="s">
        <v>1915</v>
      </c>
      <c r="F520" s="1000"/>
      <c r="G520" s="997" t="e">
        <f>+VLOOKUP(Data_Validation!$A520,BV_Data_An_Cour!$L:$Q,6,0)</f>
        <v>#N/A</v>
      </c>
      <c r="H520" s="165"/>
    </row>
    <row r="521" spans="1:29" ht="15" customHeight="1">
      <c r="A521" s="168" t="s">
        <v>2511</v>
      </c>
      <c r="B521" s="169" t="s">
        <v>2510</v>
      </c>
      <c r="C521" s="945" t="s">
        <v>144</v>
      </c>
      <c r="D521" s="945" t="s">
        <v>147</v>
      </c>
      <c r="E521" s="1000" t="s">
        <v>1915</v>
      </c>
      <c r="F521" s="1000"/>
      <c r="G521" s="997" t="e">
        <f>+VLOOKUP(Data_Validation!$A521,BV_Data_An_Cour!$L:$Q,6,0)</f>
        <v>#N/A</v>
      </c>
      <c r="H521" s="165"/>
    </row>
    <row r="522" spans="1:29" ht="15" customHeight="1">
      <c r="A522" s="168" t="s">
        <v>2513</v>
      </c>
      <c r="B522" s="169" t="s">
        <v>2512</v>
      </c>
      <c r="C522" s="945" t="s">
        <v>144</v>
      </c>
      <c r="D522" s="945" t="s">
        <v>150</v>
      </c>
      <c r="E522" s="1000" t="s">
        <v>1915</v>
      </c>
      <c r="F522" s="1000"/>
      <c r="G522" s="997" t="str">
        <f>+VLOOKUP(Data_Validation!$A522,BV_Data_An_Cour!$L:$Q,6,0)</f>
        <v>10-Compte compteur</v>
      </c>
      <c r="H522" s="165"/>
    </row>
    <row r="523" spans="1:29" ht="15" customHeight="1">
      <c r="A523" s="168" t="s">
        <v>2514</v>
      </c>
      <c r="B523" s="169" t="s">
        <v>2008</v>
      </c>
      <c r="C523" s="945" t="s">
        <v>155</v>
      </c>
      <c r="D523" s="945" t="s">
        <v>159</v>
      </c>
      <c r="E523" s="1000" t="s">
        <v>1915</v>
      </c>
      <c r="F523" s="1000"/>
      <c r="G523" s="997" t="str">
        <f>+VLOOKUP(Data_Validation!$A523,BV_Data_An_Cour!$L:$Q,6,0)</f>
        <v>10-Compte compteur</v>
      </c>
      <c r="H523" s="165"/>
    </row>
    <row r="524" spans="1:29" ht="15" customHeight="1">
      <c r="A524" s="168" t="s">
        <v>2516</v>
      </c>
      <c r="B524" s="169" t="s">
        <v>2515</v>
      </c>
      <c r="C524" s="945" t="s">
        <v>155</v>
      </c>
      <c r="D524" s="945" t="s">
        <v>163</v>
      </c>
      <c r="E524" s="1000" t="s">
        <v>1915</v>
      </c>
      <c r="F524" s="1000"/>
      <c r="G524" s="997" t="e">
        <f>+VLOOKUP(Data_Validation!$A524,BV_Data_An_Cour!$L:$Q,6,0)</f>
        <v>#N/A</v>
      </c>
      <c r="H524" s="165"/>
    </row>
    <row r="525" spans="1:29" ht="15" customHeight="1">
      <c r="A525" s="168" t="s">
        <v>2517</v>
      </c>
      <c r="B525" s="169" t="s">
        <v>2038</v>
      </c>
      <c r="C525" s="945" t="s">
        <v>155</v>
      </c>
      <c r="D525" s="945" t="s">
        <v>161</v>
      </c>
      <c r="E525" s="1000" t="s">
        <v>1915</v>
      </c>
      <c r="F525" s="1000"/>
      <c r="G525" s="997" t="str">
        <f>+VLOOKUP(Data_Validation!$A525,BV_Data_An_Cour!$L:$Q,6,0)</f>
        <v>10-Compte compteur</v>
      </c>
      <c r="H525" s="165"/>
    </row>
    <row r="526" spans="1:29" ht="15" customHeight="1">
      <c r="A526" s="168" t="s">
        <v>2518</v>
      </c>
      <c r="B526" s="169" t="s">
        <v>2048</v>
      </c>
      <c r="C526" s="945" t="s">
        <v>155</v>
      </c>
      <c r="D526" s="945" t="s">
        <v>162</v>
      </c>
      <c r="E526" s="1000" t="s">
        <v>1915</v>
      </c>
      <c r="F526" s="1000"/>
      <c r="G526" s="997" t="str">
        <f>+VLOOKUP(Data_Validation!$A526,BV_Data_An_Cour!$L:$Q,6,0)</f>
        <v>10-Compte compteur</v>
      </c>
      <c r="H526" s="165"/>
    </row>
    <row r="527" spans="1:29" ht="15" customHeight="1">
      <c r="A527" s="1006" t="s">
        <v>2520</v>
      </c>
      <c r="B527" s="1007" t="s">
        <v>2519</v>
      </c>
      <c r="C527" s="945" t="s">
        <v>155</v>
      </c>
      <c r="D527" s="945" t="s">
        <v>159</v>
      </c>
      <c r="E527" s="1000" t="s">
        <v>1915</v>
      </c>
      <c r="F527" s="1000"/>
      <c r="G527" s="997" t="e">
        <f>+VLOOKUP(Data_Validation!$A527,BV_Data_An_Cour!$L:$Q,6,0)</f>
        <v>#N/A</v>
      </c>
      <c r="H527" s="165"/>
    </row>
    <row r="528" spans="1:29" ht="15" customHeight="1">
      <c r="A528" s="168" t="s">
        <v>2521</v>
      </c>
      <c r="B528" s="169" t="s">
        <v>2068</v>
      </c>
      <c r="C528" s="945" t="s">
        <v>175</v>
      </c>
      <c r="D528" s="945" t="s">
        <v>187</v>
      </c>
      <c r="E528" s="1000" t="s">
        <v>1915</v>
      </c>
      <c r="F528" s="1000"/>
      <c r="G528" s="997" t="str">
        <f>+VLOOKUP(Data_Validation!$A528,BV_Data_An_Cour!$L:$Q,6,0)</f>
        <v>10-Compte compteur</v>
      </c>
      <c r="H528" s="165"/>
    </row>
    <row r="529" spans="1:11" ht="15" customHeight="1">
      <c r="A529" s="168" t="s">
        <v>2522</v>
      </c>
      <c r="B529" s="169" t="s">
        <v>2141</v>
      </c>
      <c r="C529" s="945" t="s">
        <v>155</v>
      </c>
      <c r="D529" s="945" t="s">
        <v>167</v>
      </c>
      <c r="E529" s="1000" t="s">
        <v>1915</v>
      </c>
      <c r="F529" s="1000"/>
      <c r="G529" s="997" t="str">
        <f>+VLOOKUP(Data_Validation!$A529,BV_Data_An_Cour!$L:$Q,6,0)</f>
        <v>10-Compte compteur</v>
      </c>
      <c r="H529" s="165"/>
    </row>
    <row r="530" spans="1:11" ht="15" customHeight="1">
      <c r="A530" s="168" t="s">
        <v>2524</v>
      </c>
      <c r="B530" s="169" t="s">
        <v>2523</v>
      </c>
      <c r="C530" s="945" t="s">
        <v>155</v>
      </c>
      <c r="D530" s="945" t="s">
        <v>167</v>
      </c>
      <c r="E530" s="1000" t="s">
        <v>1915</v>
      </c>
      <c r="F530" s="1000"/>
      <c r="G530" s="997" t="str">
        <f>+VLOOKUP(Data_Validation!$A530,BV_Data_An_Cour!$L:$Q,6,0)</f>
        <v>10-Compte compteur</v>
      </c>
      <c r="H530" s="165"/>
    </row>
    <row r="531" spans="1:11" ht="15" customHeight="1">
      <c r="A531" s="168" t="s">
        <v>2526</v>
      </c>
      <c r="B531" s="169" t="s">
        <v>2525</v>
      </c>
      <c r="C531" s="945" t="s">
        <v>155</v>
      </c>
      <c r="D531" s="945" t="s">
        <v>167</v>
      </c>
      <c r="E531" s="1000" t="s">
        <v>1915</v>
      </c>
      <c r="F531" s="1000"/>
      <c r="G531" s="997" t="str">
        <f>+VLOOKUP(Data_Validation!$A531,BV_Data_An_Cour!$L:$Q,6,0)</f>
        <v>10-Compte compteur</v>
      </c>
      <c r="H531" s="165"/>
    </row>
    <row r="532" spans="1:11" ht="15" customHeight="1">
      <c r="A532" s="1006" t="s">
        <v>2528</v>
      </c>
      <c r="B532" s="1014" t="s">
        <v>2527</v>
      </c>
      <c r="C532" s="1010" t="s">
        <v>171</v>
      </c>
      <c r="D532" s="945" t="s">
        <v>172</v>
      </c>
      <c r="E532" s="1000" t="s">
        <v>1915</v>
      </c>
      <c r="F532" s="1000"/>
      <c r="G532" s="997" t="str">
        <f>+VLOOKUP(Data_Validation!$A532,BV_Data_An_Cour!$L:$Q,6,0)</f>
        <v>10-Compte compteur</v>
      </c>
      <c r="H532" s="165"/>
    </row>
    <row r="533" spans="1:11" ht="15" customHeight="1">
      <c r="A533" s="168" t="s">
        <v>2530</v>
      </c>
      <c r="B533" s="169" t="s">
        <v>2529</v>
      </c>
      <c r="C533" s="945" t="s">
        <v>171</v>
      </c>
      <c r="D533" s="945" t="s">
        <v>172</v>
      </c>
      <c r="E533" s="1000" t="s">
        <v>1915</v>
      </c>
      <c r="F533" s="1000"/>
      <c r="G533" s="997" t="str">
        <f>+VLOOKUP(Data_Validation!$A533,BV_Data_An_Cour!$L:$Q,6,0)</f>
        <v>10-Compte compteur</v>
      </c>
      <c r="H533" s="165"/>
    </row>
    <row r="534" spans="1:11" ht="15" customHeight="1">
      <c r="A534" s="1007" t="s">
        <v>2532</v>
      </c>
      <c r="B534" s="1015" t="s">
        <v>2531</v>
      </c>
      <c r="C534" s="945" t="s">
        <v>171</v>
      </c>
      <c r="D534" s="945" t="s">
        <v>172</v>
      </c>
      <c r="E534" s="1000" t="s">
        <v>1915</v>
      </c>
      <c r="F534" s="1000"/>
      <c r="G534" s="997" t="str">
        <f>+VLOOKUP(Data_Validation!$A534,BV_Data_An_Cour!$L:$Q,6,0)</f>
        <v>10-Compte compteur</v>
      </c>
      <c r="H534" s="165"/>
    </row>
    <row r="535" spans="1:11" ht="15" customHeight="1">
      <c r="A535" s="1006" t="s">
        <v>2534</v>
      </c>
      <c r="B535" s="1014" t="s">
        <v>2533</v>
      </c>
      <c r="C535" s="1010" t="s">
        <v>175</v>
      </c>
      <c r="D535" s="945" t="s">
        <v>177</v>
      </c>
      <c r="E535" s="1000" t="s">
        <v>1915</v>
      </c>
      <c r="F535" s="1000"/>
      <c r="G535" s="997" t="str">
        <f>+VLOOKUP(Data_Validation!$A535,BV_Data_An_Cour!$L:$Q,6,0)</f>
        <v>10-Compte compteur</v>
      </c>
      <c r="H535" s="165"/>
    </row>
    <row r="536" spans="1:11" ht="15" customHeight="1">
      <c r="A536" s="168" t="s">
        <v>2536</v>
      </c>
      <c r="B536" s="1014" t="s">
        <v>2535</v>
      </c>
      <c r="C536" s="1010" t="s">
        <v>175</v>
      </c>
      <c r="D536" s="945" t="s">
        <v>179</v>
      </c>
      <c r="E536" s="1000" t="s">
        <v>1915</v>
      </c>
      <c r="F536" s="998"/>
      <c r="G536" s="997" t="str">
        <f>+VLOOKUP(Data_Validation!$A536,BV_Data_An_Cour!$L:$Q,6,0)</f>
        <v>10-Compte compteur</v>
      </c>
      <c r="H536" s="165"/>
    </row>
    <row r="537" spans="1:11" ht="15" customHeight="1">
      <c r="A537" s="168" t="s">
        <v>2538</v>
      </c>
      <c r="B537" s="169" t="s">
        <v>2537</v>
      </c>
      <c r="C537" s="945" t="s">
        <v>175</v>
      </c>
      <c r="D537" s="945" t="s">
        <v>180</v>
      </c>
      <c r="E537" s="1000" t="s">
        <v>1915</v>
      </c>
      <c r="F537" s="998"/>
      <c r="G537" s="997" t="str">
        <f>+VLOOKUP(Data_Validation!$A537,BV_Data_An_Cour!$L:$Q,6,0)</f>
        <v>10-Compte compteur</v>
      </c>
      <c r="H537" s="165"/>
    </row>
    <row r="538" spans="1:11" ht="15" customHeight="1">
      <c r="A538" s="169" t="s">
        <v>2540</v>
      </c>
      <c r="B538" s="169" t="s">
        <v>2539</v>
      </c>
      <c r="C538" s="945" t="s">
        <v>175</v>
      </c>
      <c r="D538" s="945" t="s">
        <v>177</v>
      </c>
      <c r="E538" s="1000" t="s">
        <v>1915</v>
      </c>
      <c r="F538" s="998"/>
      <c r="G538" s="997" t="str">
        <f>+VLOOKUP(Data_Validation!$A538,BV_Data_An_Cour!$L:$Q,6,0)</f>
        <v>10-Compte compteur</v>
      </c>
      <c r="H538" s="165"/>
    </row>
    <row r="539" spans="1:11" s="570" customFormat="1" ht="15" customHeight="1">
      <c r="A539" s="169" t="s">
        <v>2939</v>
      </c>
      <c r="B539" s="169" t="s">
        <v>2938</v>
      </c>
      <c r="C539" s="945" t="s">
        <v>175</v>
      </c>
      <c r="D539" s="945" t="s">
        <v>180</v>
      </c>
      <c r="E539" s="1000" t="s">
        <v>1915</v>
      </c>
      <c r="F539" s="998"/>
      <c r="G539" s="997" t="e">
        <f>+VLOOKUP(Data_Validation!$A539,BV_Data_An_Cour!$L:$Q,6,0)</f>
        <v>#N/A</v>
      </c>
      <c r="H539" s="165"/>
    </row>
    <row r="540" spans="1:11" ht="15" customHeight="1">
      <c r="A540" s="168" t="s">
        <v>2542</v>
      </c>
      <c r="B540" s="169" t="s">
        <v>2541</v>
      </c>
      <c r="C540" s="945" t="s">
        <v>175</v>
      </c>
      <c r="D540" s="945" t="s">
        <v>177</v>
      </c>
      <c r="E540" s="1000" t="s">
        <v>1915</v>
      </c>
      <c r="F540" s="998"/>
      <c r="G540" s="997" t="e">
        <f>+VLOOKUP(Data_Validation!$A540,BV_Data_An_Cour!$L:$Q,6,0)</f>
        <v>#N/A</v>
      </c>
      <c r="H540" s="165"/>
    </row>
    <row r="541" spans="1:11" ht="15" customHeight="1">
      <c r="A541" s="168" t="s">
        <v>2544</v>
      </c>
      <c r="B541" s="169" t="s">
        <v>2543</v>
      </c>
      <c r="C541" s="945" t="s">
        <v>175</v>
      </c>
      <c r="D541" s="945" t="s">
        <v>178</v>
      </c>
      <c r="E541" s="1000" t="s">
        <v>1915</v>
      </c>
      <c r="F541" s="998"/>
      <c r="G541" s="997" t="str">
        <f>+VLOOKUP(Data_Validation!$A541,BV_Data_An_Cour!$L:$Q,6,0)</f>
        <v>10-Compte compteur</v>
      </c>
      <c r="H541" s="165"/>
      <c r="K541" s="2"/>
    </row>
    <row r="542" spans="1:11" ht="15" customHeight="1">
      <c r="A542" s="943" t="s">
        <v>2546</v>
      </c>
      <c r="B542" s="948" t="s">
        <v>2545</v>
      </c>
      <c r="C542" s="945" t="s">
        <v>175</v>
      </c>
      <c r="D542" s="945" t="s">
        <v>178</v>
      </c>
      <c r="E542" s="1000" t="s">
        <v>1915</v>
      </c>
      <c r="F542" s="998"/>
      <c r="G542" s="997" t="str">
        <f>+VLOOKUP(Data_Validation!$A542,BV_Data_An_Cour!$L:$Q,6,0)</f>
        <v>10-Compte compteur</v>
      </c>
      <c r="H542" s="165"/>
    </row>
    <row r="543" spans="1:11" ht="15" customHeight="1">
      <c r="A543" s="943" t="s">
        <v>2548</v>
      </c>
      <c r="B543" s="948" t="s">
        <v>2547</v>
      </c>
      <c r="C543" s="945" t="s">
        <v>175</v>
      </c>
      <c r="D543" s="945" t="s">
        <v>178</v>
      </c>
      <c r="E543" s="1000" t="s">
        <v>1915</v>
      </c>
      <c r="F543" s="998"/>
      <c r="G543" s="997" t="str">
        <f>+VLOOKUP(Data_Validation!$A543,BV_Data_An_Cour!$L:$Q,6,0)</f>
        <v>10-Compte compteur</v>
      </c>
      <c r="H543" s="165"/>
    </row>
    <row r="544" spans="1:11" ht="15" customHeight="1">
      <c r="A544" s="943" t="s">
        <v>2550</v>
      </c>
      <c r="B544" s="948" t="s">
        <v>2549</v>
      </c>
      <c r="C544" s="945" t="s">
        <v>175</v>
      </c>
      <c r="D544" s="945" t="s">
        <v>181</v>
      </c>
      <c r="E544" s="1000" t="s">
        <v>1915</v>
      </c>
      <c r="F544" s="998"/>
      <c r="G544" s="997" t="str">
        <f>+VLOOKUP(Data_Validation!$A544,BV_Data_An_Cour!$L:$Q,6,0)</f>
        <v>10-Compte compteur</v>
      </c>
      <c r="H544" s="165"/>
    </row>
    <row r="545" spans="1:11" ht="15" customHeight="1">
      <c r="A545" s="943" t="s">
        <v>2552</v>
      </c>
      <c r="B545" s="948" t="s">
        <v>2551</v>
      </c>
      <c r="C545" s="945" t="s">
        <v>175</v>
      </c>
      <c r="D545" s="945" t="s">
        <v>182</v>
      </c>
      <c r="E545" s="1000" t="s">
        <v>1915</v>
      </c>
      <c r="F545" s="998"/>
      <c r="G545" s="997" t="str">
        <f>+VLOOKUP(Data_Validation!$A545,BV_Data_An_Cour!$L:$Q,6,0)</f>
        <v>10-Compte compteur</v>
      </c>
      <c r="H545" s="165"/>
    </row>
    <row r="546" spans="1:11" ht="15" customHeight="1">
      <c r="A546" s="943" t="s">
        <v>2553</v>
      </c>
      <c r="B546" s="948" t="s">
        <v>2031</v>
      </c>
      <c r="C546" s="945" t="s">
        <v>175</v>
      </c>
      <c r="D546" s="945" t="s">
        <v>186</v>
      </c>
      <c r="E546" s="1000" t="s">
        <v>1915</v>
      </c>
      <c r="F546" s="998"/>
      <c r="G546" s="997" t="str">
        <f>+VLOOKUP(Data_Validation!$A546,BV_Data_An_Cour!$L:$Q,6,0)</f>
        <v>10-Compte compteur</v>
      </c>
      <c r="H546" s="165"/>
    </row>
    <row r="547" spans="1:11" ht="15" customHeight="1">
      <c r="A547" s="1159">
        <v>4121</v>
      </c>
      <c r="B547" s="1002" t="s">
        <v>2888</v>
      </c>
      <c r="C547" s="945" t="s">
        <v>75</v>
      </c>
      <c r="D547" s="945" t="s">
        <v>90</v>
      </c>
      <c r="E547" s="997" t="s">
        <v>1917</v>
      </c>
      <c r="F547" s="998" t="s">
        <v>2853</v>
      </c>
      <c r="G547" s="997" t="e">
        <f>+VLOOKUP(Data_Validation!$A547,BV_Data_An_Cour!$L:$Q,6,0)</f>
        <v>#N/A</v>
      </c>
      <c r="H547" s="165"/>
    </row>
    <row r="548" spans="1:11" ht="15" customHeight="1">
      <c r="A548" s="1008" t="s">
        <v>2890</v>
      </c>
      <c r="B548" s="1002" t="s">
        <v>2889</v>
      </c>
      <c r="C548" s="945" t="s">
        <v>75</v>
      </c>
      <c r="D548" s="945" t="s">
        <v>90</v>
      </c>
      <c r="E548" s="1000" t="s">
        <v>1915</v>
      </c>
      <c r="F548" s="998"/>
      <c r="G548" s="997" t="e">
        <f>+VLOOKUP(Data_Validation!$A548,BV_Data_An_Cour!$L:$Q,6,0)</f>
        <v>#N/A</v>
      </c>
      <c r="H548" s="165"/>
    </row>
    <row r="549" spans="1:11" ht="15" customHeight="1">
      <c r="A549" s="1159">
        <v>5121</v>
      </c>
      <c r="B549" s="1002" t="s">
        <v>2891</v>
      </c>
      <c r="C549" s="945" t="s">
        <v>75</v>
      </c>
      <c r="D549" s="945" t="s">
        <v>90</v>
      </c>
      <c r="E549" s="997" t="s">
        <v>1917</v>
      </c>
      <c r="F549" s="998"/>
      <c r="G549" s="997" t="e">
        <f>+VLOOKUP(Data_Validation!$A549,BV_Data_An_Cour!$L:$Q,6,0)</f>
        <v>#N/A</v>
      </c>
      <c r="H549" s="165"/>
    </row>
    <row r="550" spans="1:11" ht="15" customHeight="1">
      <c r="A550" s="940"/>
      <c r="B550" s="171"/>
      <c r="C550" s="945"/>
      <c r="D550" s="945"/>
      <c r="E550" s="997"/>
      <c r="F550" s="998"/>
      <c r="G550" s="997">
        <f>+VLOOKUP(Data_Validation!$A550,BV_Data_An_Cour!$L:$Q,6,0)</f>
        <v>0</v>
      </c>
      <c r="H550" s="165"/>
    </row>
    <row r="551" spans="1:11" ht="15" customHeight="1">
      <c r="A551" s="940"/>
      <c r="B551" s="171"/>
      <c r="C551" s="945"/>
      <c r="D551" s="945"/>
      <c r="E551" s="997"/>
      <c r="F551" s="998"/>
      <c r="G551" s="997">
        <f>+VLOOKUP(Data_Validation!$A551,BV_Data_An_Cour!$L:$Q,6,0)</f>
        <v>0</v>
      </c>
      <c r="H551" s="165"/>
    </row>
    <row r="552" spans="1:11" ht="15" customHeight="1">
      <c r="A552" s="940"/>
      <c r="B552" s="171"/>
      <c r="C552" s="945"/>
      <c r="D552" s="945"/>
      <c r="E552" s="997"/>
      <c r="F552" s="998"/>
      <c r="G552" s="997">
        <f>+VLOOKUP(Data_Validation!$A552,BV_Data_An_Cour!$L:$Q,6,0)</f>
        <v>0</v>
      </c>
      <c r="H552" s="165"/>
    </row>
    <row r="553" spans="1:11" ht="15" customHeight="1">
      <c r="A553" s="940"/>
      <c r="B553" s="171"/>
      <c r="C553" s="945"/>
      <c r="D553" s="945"/>
      <c r="E553" s="997"/>
      <c r="F553" s="998"/>
      <c r="G553" s="997">
        <f>+VLOOKUP(Data_Validation!$A553,BV_Data_An_Cour!$L:$Q,6,0)</f>
        <v>0</v>
      </c>
      <c r="H553" s="165"/>
    </row>
    <row r="554" spans="1:11" ht="15" customHeight="1">
      <c r="A554" s="940"/>
      <c r="B554" s="171"/>
      <c r="C554" s="945"/>
      <c r="D554" s="945"/>
      <c r="E554" s="997"/>
      <c r="F554" s="998"/>
      <c r="G554" s="997">
        <f>+VLOOKUP(Data_Validation!$A554,BV_Data_An_Cour!$L:$Q,6,0)</f>
        <v>0</v>
      </c>
      <c r="H554" s="165"/>
      <c r="K554" s="2"/>
    </row>
    <row r="555" spans="1:11" ht="15" customHeight="1">
      <c r="A555" s="940"/>
      <c r="B555" s="171"/>
      <c r="C555" s="945"/>
      <c r="D555" s="945"/>
      <c r="E555" s="997"/>
      <c r="F555" s="998"/>
      <c r="G555" s="997">
        <f>+VLOOKUP(Data_Validation!$A555,BV_Data_An_Cour!$L:$Q,6,0)</f>
        <v>0</v>
      </c>
      <c r="H555" s="165"/>
    </row>
    <row r="556" spans="1:11" ht="15" customHeight="1">
      <c r="A556" s="167"/>
      <c r="B556" s="171"/>
      <c r="C556" s="945"/>
      <c r="D556" s="945"/>
      <c r="E556" s="997"/>
      <c r="F556" s="998"/>
      <c r="G556" s="997">
        <f>+VLOOKUP(Data_Validation!$A556,BV_Data_An_Cour!$L:$Q,6,0)</f>
        <v>0</v>
      </c>
      <c r="H556" s="165"/>
    </row>
    <row r="557" spans="1:11" ht="15" customHeight="1">
      <c r="A557" s="940"/>
      <c r="B557" s="171"/>
      <c r="C557" s="945"/>
      <c r="D557" s="945"/>
      <c r="E557" s="997"/>
      <c r="F557" s="998"/>
      <c r="G557" s="997">
        <f>+VLOOKUP(Data_Validation!$A557,BV_Data_An_Cour!$L:$Q,6,0)</f>
        <v>0</v>
      </c>
      <c r="H557" s="165"/>
    </row>
    <row r="558" spans="1:11" ht="15" customHeight="1">
      <c r="A558" s="171"/>
      <c r="B558" s="171"/>
      <c r="C558" s="945"/>
      <c r="D558" s="945"/>
      <c r="E558" s="997"/>
      <c r="F558" s="998"/>
      <c r="G558" s="997">
        <f>+VLOOKUP(Data_Validation!$A558,BV_Data_An_Cour!$L:$Q,6,0)</f>
        <v>0</v>
      </c>
      <c r="H558" s="165"/>
    </row>
    <row r="559" spans="1:11" ht="15" customHeight="1">
      <c r="A559" s="167"/>
      <c r="B559" s="166"/>
      <c r="C559" s="945"/>
      <c r="D559" s="945"/>
      <c r="E559" s="997"/>
      <c r="F559" s="998"/>
      <c r="G559" s="997">
        <f>+VLOOKUP(Data_Validation!$A559,BV_Data_An_Cour!$L:$Q,6,0)</f>
        <v>0</v>
      </c>
      <c r="H559" s="165"/>
    </row>
    <row r="560" spans="1:11" ht="15" customHeight="1">
      <c r="A560" s="171"/>
      <c r="B560" s="171"/>
      <c r="C560" s="945"/>
      <c r="D560" s="945"/>
      <c r="E560" s="997"/>
      <c r="F560" s="998"/>
      <c r="G560" s="997">
        <f>+VLOOKUP(Data_Validation!$A560,BV_Data_An_Cour!$L:$Q,6,0)</f>
        <v>0</v>
      </c>
      <c r="H560" s="165"/>
    </row>
    <row r="561" spans="1:8" ht="15" customHeight="1">
      <c r="A561" s="171"/>
      <c r="B561" s="171"/>
      <c r="C561" s="945"/>
      <c r="D561" s="945"/>
      <c r="E561" s="997"/>
      <c r="F561" s="998"/>
      <c r="G561" s="997">
        <f>+VLOOKUP(Data_Validation!$A561,BV_Data_An_Cour!$L:$Q,6,0)</f>
        <v>0</v>
      </c>
      <c r="H561" s="165"/>
    </row>
    <row r="562" spans="1:8" ht="15" customHeight="1">
      <c r="A562" s="940"/>
      <c r="B562" s="171"/>
      <c r="C562" s="945"/>
      <c r="D562" s="945"/>
      <c r="E562" s="997"/>
      <c r="F562" s="998"/>
      <c r="G562" s="997">
        <f>+VLOOKUP(Data_Validation!$A562,BV_Data_An_Cour!$L:$Q,6,0)</f>
        <v>0</v>
      </c>
      <c r="H562" s="165"/>
    </row>
    <row r="563" spans="1:8" ht="15" customHeight="1">
      <c r="A563" s="167"/>
      <c r="B563" s="166"/>
      <c r="C563" s="945"/>
      <c r="D563" s="945"/>
      <c r="E563" s="997"/>
      <c r="F563" s="998"/>
      <c r="G563" s="997">
        <f>+VLOOKUP(Data_Validation!$A563,BV_Data_An_Cour!$L:$Q,6,0)</f>
        <v>0</v>
      </c>
      <c r="H563" s="165"/>
    </row>
    <row r="564" spans="1:8" ht="15" customHeight="1">
      <c r="A564" s="168"/>
      <c r="B564" s="169"/>
      <c r="C564" s="945"/>
      <c r="D564" s="945"/>
      <c r="E564" s="997"/>
      <c r="F564" s="998"/>
      <c r="G564" s="997">
        <f>+VLOOKUP(Data_Validation!$A564,BV_Data_An_Cour!$L:$Q,6,0)</f>
        <v>0</v>
      </c>
      <c r="H564" s="165"/>
    </row>
    <row r="565" spans="1:8" ht="15" customHeight="1">
      <c r="A565" s="168"/>
      <c r="B565" s="169"/>
      <c r="C565" s="945"/>
      <c r="D565" s="945"/>
      <c r="E565" s="997"/>
      <c r="F565" s="998"/>
      <c r="G565" s="997">
        <f>+VLOOKUP(Data_Validation!$A565,BV_Data_An_Cour!$L:$Q,6,0)</f>
        <v>0</v>
      </c>
      <c r="H565" s="165"/>
    </row>
    <row r="566" spans="1:8" ht="15" customHeight="1">
      <c r="A566" s="167"/>
      <c r="B566" s="171"/>
      <c r="C566" s="945"/>
      <c r="D566" s="945"/>
      <c r="E566" s="997"/>
      <c r="F566" s="998"/>
      <c r="G566" s="997">
        <f>+VLOOKUP(Data_Validation!$A566,BV_Data_An_Cour!$L:$Q,6,0)</f>
        <v>0</v>
      </c>
      <c r="H566" s="165"/>
    </row>
    <row r="567" spans="1:8" ht="15" customHeight="1">
      <c r="A567" s="940"/>
      <c r="B567" s="171"/>
      <c r="C567" s="945"/>
      <c r="D567" s="945"/>
      <c r="E567" s="997"/>
      <c r="F567" s="998"/>
      <c r="G567" s="997">
        <f>+VLOOKUP(Data_Validation!$A567,BV_Data_An_Cour!$L:$Q,6,0)</f>
        <v>0</v>
      </c>
      <c r="H567" s="165"/>
    </row>
    <row r="568" spans="1:8" ht="15" customHeight="1">
      <c r="A568" s="940"/>
      <c r="B568" s="171"/>
      <c r="C568" s="945"/>
      <c r="D568" s="945"/>
      <c r="E568" s="997"/>
      <c r="F568" s="998"/>
      <c r="G568" s="997">
        <f>+VLOOKUP(Data_Validation!$A568,BV_Data_An_Cour!$L:$Q,6,0)</f>
        <v>0</v>
      </c>
      <c r="H568" s="165"/>
    </row>
    <row r="569" spans="1:8" ht="15" customHeight="1">
      <c r="A569" s="940"/>
      <c r="B569" s="171"/>
      <c r="C569" s="945"/>
      <c r="D569" s="945"/>
      <c r="E569" s="997"/>
      <c r="F569" s="998"/>
      <c r="G569" s="997">
        <f>+VLOOKUP(Data_Validation!$A569,BV_Data_An_Cour!$L:$Q,6,0)</f>
        <v>0</v>
      </c>
      <c r="H569" s="165"/>
    </row>
    <row r="570" spans="1:8" ht="15" customHeight="1">
      <c r="A570" s="940"/>
      <c r="B570" s="171"/>
      <c r="C570" s="945"/>
      <c r="D570" s="945"/>
      <c r="E570" s="997"/>
      <c r="F570" s="998"/>
      <c r="G570" s="997">
        <f>+VLOOKUP(Data_Validation!$A570,BV_Data_An_Cour!$L:$Q,6,0)</f>
        <v>0</v>
      </c>
      <c r="H570" s="165"/>
    </row>
    <row r="571" spans="1:8" ht="15" customHeight="1">
      <c r="A571" s="167"/>
      <c r="B571" s="166"/>
      <c r="C571" s="945"/>
      <c r="D571" s="945"/>
      <c r="E571" s="997"/>
      <c r="F571" s="998"/>
      <c r="G571" s="997">
        <f>+VLOOKUP(Data_Validation!$A571,BV_Data_An_Cour!$L:$Q,6,0)</f>
        <v>0</v>
      </c>
      <c r="H571" s="165"/>
    </row>
    <row r="572" spans="1:8" ht="15" customHeight="1">
      <c r="A572" s="167"/>
      <c r="B572" s="166"/>
      <c r="C572" s="945"/>
      <c r="D572" s="945"/>
      <c r="E572" s="997"/>
      <c r="F572" s="998"/>
      <c r="G572" s="997">
        <f>+VLOOKUP(Data_Validation!$A572,BV_Data_An_Cour!$L:$Q,6,0)</f>
        <v>0</v>
      </c>
      <c r="H572" s="165"/>
    </row>
    <row r="573" spans="1:8" ht="15" customHeight="1">
      <c r="A573" s="167"/>
      <c r="B573" s="166"/>
      <c r="C573" s="945"/>
      <c r="D573" s="945"/>
      <c r="E573" s="997"/>
      <c r="F573" s="998"/>
      <c r="G573" s="997">
        <f>+VLOOKUP(Data_Validation!$A573,BV_Data_An_Cour!$L:$Q,6,0)</f>
        <v>0</v>
      </c>
      <c r="H573" s="165"/>
    </row>
    <row r="574" spans="1:8" ht="15" customHeight="1">
      <c r="A574" s="1016"/>
      <c r="B574" s="1017"/>
      <c r="C574" s="945"/>
      <c r="D574" s="945"/>
      <c r="E574" s="997"/>
      <c r="F574" s="998"/>
      <c r="G574" s="997">
        <f>+VLOOKUP(Data_Validation!$A574,BV_Data_An_Cour!$L:$Q,6,0)</f>
        <v>0</v>
      </c>
      <c r="H574" s="165"/>
    </row>
    <row r="575" spans="1:8" ht="15" customHeight="1">
      <c r="A575" s="167"/>
      <c r="B575" s="166"/>
      <c r="C575" s="945"/>
      <c r="D575" s="945"/>
      <c r="E575" s="997"/>
      <c r="F575" s="998"/>
      <c r="G575" s="997">
        <f>+VLOOKUP(Data_Validation!$A575,BV_Data_An_Cour!$L:$Q,6,0)</f>
        <v>0</v>
      </c>
      <c r="H575" s="165"/>
    </row>
    <row r="576" spans="1:8" ht="15" customHeight="1">
      <c r="A576" s="167"/>
      <c r="B576" s="166"/>
      <c r="C576" s="945"/>
      <c r="D576" s="945"/>
      <c r="E576" s="997"/>
      <c r="F576" s="998"/>
      <c r="G576" s="997">
        <f>+VLOOKUP(Data_Validation!$A576,BV_Data_An_Cour!$L:$Q,6,0)</f>
        <v>0</v>
      </c>
      <c r="H576" s="165"/>
    </row>
    <row r="577" spans="1:29" ht="15" customHeight="1">
      <c r="A577" s="167"/>
      <c r="B577" s="166"/>
      <c r="C577" s="945"/>
      <c r="D577" s="945"/>
      <c r="E577" s="997"/>
      <c r="F577" s="998"/>
      <c r="G577" s="997">
        <f>+VLOOKUP(Data_Validation!$A577,BV_Data_An_Cour!$L:$Q,6,0)</f>
        <v>0</v>
      </c>
      <c r="H577" s="165"/>
    </row>
    <row r="578" spans="1:29" ht="15" customHeight="1">
      <c r="A578" s="167"/>
      <c r="B578" s="166"/>
      <c r="C578" s="945"/>
      <c r="D578" s="945"/>
      <c r="E578" s="997"/>
      <c r="F578" s="998"/>
      <c r="G578" s="997">
        <f>+VLOOKUP(Data_Validation!$A578,BV_Data_An_Cour!$L:$Q,6,0)</f>
        <v>0</v>
      </c>
      <c r="H578" s="165"/>
    </row>
    <row r="579" spans="1:29" ht="15" customHeight="1">
      <c r="A579" s="166"/>
      <c r="B579" s="166"/>
      <c r="C579" s="945"/>
      <c r="D579" s="945"/>
      <c r="E579" s="997"/>
      <c r="F579" s="998"/>
      <c r="G579" s="997">
        <f>+VLOOKUP(Data_Validation!$A579,BV_Data_An_Cour!$L:$Q,6,0)</f>
        <v>0</v>
      </c>
      <c r="H579" s="165"/>
    </row>
    <row r="580" spans="1:29" ht="15" customHeight="1">
      <c r="A580" s="166"/>
      <c r="B580" s="166"/>
      <c r="C580" s="945"/>
      <c r="D580" s="945"/>
      <c r="E580" s="997"/>
      <c r="F580" s="998"/>
      <c r="G580" s="997">
        <f>+VLOOKUP(Data_Validation!$A580,BV_Data_An_Cour!$L:$Q,6,0)</f>
        <v>0</v>
      </c>
      <c r="H580" s="165"/>
    </row>
    <row r="581" spans="1:29" ht="15" customHeight="1">
      <c r="A581" s="167"/>
      <c r="B581" s="166"/>
      <c r="C581" s="945"/>
      <c r="D581" s="945"/>
      <c r="E581" s="997"/>
      <c r="F581" s="998"/>
      <c r="G581" s="997">
        <f>+VLOOKUP(Data_Validation!$A581,BV_Data_An_Cour!$L:$Q,6,0)</f>
        <v>0</v>
      </c>
      <c r="H581" s="165"/>
    </row>
    <row r="582" spans="1:29" ht="15" customHeight="1">
      <c r="A582" s="167"/>
      <c r="B582" s="166"/>
      <c r="C582" s="945"/>
      <c r="D582" s="945"/>
      <c r="E582" s="997"/>
      <c r="F582" s="998"/>
      <c r="G582" s="997">
        <f>+VLOOKUP(Data_Validation!$A582,BV_Data_An_Cour!$L:$Q,6,0)</f>
        <v>0</v>
      </c>
      <c r="H582" s="165"/>
    </row>
    <row r="583" spans="1:29" ht="15" customHeight="1">
      <c r="A583" s="167"/>
      <c r="B583" s="166"/>
      <c r="C583" s="945"/>
      <c r="D583" s="945"/>
      <c r="E583" s="997"/>
      <c r="F583" s="998"/>
      <c r="G583" s="997">
        <f>+VLOOKUP(Data_Validation!$A583,BV_Data_An_Cour!$L:$Q,6,0)</f>
        <v>0</v>
      </c>
      <c r="H583" s="165"/>
    </row>
    <row r="584" spans="1:29" ht="15" customHeight="1">
      <c r="A584" s="167"/>
      <c r="B584" s="166"/>
      <c r="C584" s="945"/>
      <c r="D584" s="945"/>
      <c r="E584" s="997"/>
      <c r="F584" s="998"/>
      <c r="G584" s="997">
        <f>+VLOOKUP(Data_Validation!$A584,BV_Data_An_Cour!$L:$Q,6,0)</f>
        <v>0</v>
      </c>
      <c r="H584" s="165"/>
    </row>
    <row r="585" spans="1:29" ht="15" customHeight="1">
      <c r="A585" s="167"/>
      <c r="B585" s="166"/>
      <c r="C585" s="945"/>
      <c r="D585" s="945"/>
      <c r="E585" s="997"/>
      <c r="F585" s="998"/>
      <c r="G585" s="997">
        <f>+VLOOKUP(Data_Validation!$A585,BV_Data_An_Cour!$L:$Q,6,0)</f>
        <v>0</v>
      </c>
      <c r="H585" s="165"/>
    </row>
    <row r="586" spans="1:29" ht="15" customHeight="1">
      <c r="A586" s="167"/>
      <c r="B586" s="166"/>
      <c r="C586" s="945"/>
      <c r="D586" s="945"/>
      <c r="E586" s="997"/>
      <c r="F586" s="998"/>
      <c r="G586" s="997">
        <f>+VLOOKUP(Data_Validation!$A586,BV_Data_An_Cour!$L:$Q,6,0)</f>
        <v>0</v>
      </c>
      <c r="H586" s="165"/>
    </row>
    <row r="587" spans="1:29" ht="15" customHeight="1">
      <c r="A587" s="167"/>
      <c r="B587" s="166"/>
      <c r="C587" s="945"/>
      <c r="D587" s="945"/>
      <c r="E587" s="997"/>
      <c r="F587" s="998"/>
      <c r="G587" s="997">
        <f>+VLOOKUP(Data_Validation!$A587,BV_Data_An_Cour!$L:$Q,6,0)</f>
        <v>0</v>
      </c>
      <c r="H587" s="165"/>
      <c r="I587" s="2"/>
      <c r="J587" s="2"/>
      <c r="L587" s="2"/>
      <c r="M587" s="2"/>
      <c r="N587" s="2"/>
      <c r="O587" s="2"/>
      <c r="P587" s="2"/>
      <c r="Q587" s="2"/>
      <c r="R587" s="2"/>
      <c r="S587" s="2"/>
      <c r="T587" s="2"/>
      <c r="U587" s="2"/>
      <c r="V587" s="2"/>
      <c r="W587" s="2"/>
      <c r="X587" s="2"/>
      <c r="Y587" s="2"/>
      <c r="Z587" s="2"/>
      <c r="AA587" s="2"/>
      <c r="AB587" s="2"/>
      <c r="AC587" s="2"/>
    </row>
    <row r="588" spans="1:29" ht="15" customHeight="1">
      <c r="A588" s="167"/>
      <c r="B588" s="166"/>
      <c r="C588" s="945"/>
      <c r="D588" s="945"/>
      <c r="E588" s="997"/>
      <c r="F588" s="998"/>
      <c r="G588" s="997">
        <f>+VLOOKUP(Data_Validation!$A588,BV_Data_An_Cour!$L:$Q,6,0)</f>
        <v>0</v>
      </c>
      <c r="H588" s="165"/>
    </row>
    <row r="589" spans="1:29" ht="15" customHeight="1">
      <c r="A589" s="167"/>
      <c r="B589" s="166"/>
      <c r="C589" s="945"/>
      <c r="D589" s="945"/>
      <c r="E589" s="997"/>
      <c r="F589" s="998"/>
      <c r="G589" s="997">
        <f>+VLOOKUP(Data_Validation!$A589,BV_Data_An_Cour!$L:$Q,6,0)</f>
        <v>0</v>
      </c>
      <c r="H589" s="165"/>
    </row>
    <row r="590" spans="1:29" ht="15" customHeight="1">
      <c r="A590" s="167"/>
      <c r="B590" s="166"/>
      <c r="C590" s="945"/>
      <c r="D590" s="945"/>
      <c r="E590" s="997"/>
      <c r="F590" s="998"/>
      <c r="G590" s="997">
        <f>+VLOOKUP(Data_Validation!$A590,BV_Data_An_Cour!$L:$Q,6,0)</f>
        <v>0</v>
      </c>
      <c r="H590" s="165"/>
    </row>
    <row r="591" spans="1:29" ht="15" customHeight="1">
      <c r="A591" s="167"/>
      <c r="B591" s="166"/>
      <c r="C591" s="945"/>
      <c r="D591" s="945"/>
      <c r="E591" s="997"/>
      <c r="F591" s="998"/>
      <c r="G591" s="997">
        <f>+VLOOKUP(Data_Validation!$A591,BV_Data_An_Cour!$L:$Q,6,0)</f>
        <v>0</v>
      </c>
      <c r="H591" s="165"/>
    </row>
    <row r="592" spans="1:29" ht="15" customHeight="1">
      <c r="A592" s="167"/>
      <c r="B592" s="166"/>
      <c r="C592" s="945"/>
      <c r="D592" s="945"/>
      <c r="E592" s="997"/>
      <c r="F592" s="998"/>
      <c r="G592" s="997">
        <f>+VLOOKUP(Data_Validation!$A592,BV_Data_An_Cour!$L:$Q,6,0)</f>
        <v>0</v>
      </c>
      <c r="H592" s="165"/>
    </row>
    <row r="593" spans="1:11" ht="15" customHeight="1">
      <c r="A593" s="167"/>
      <c r="B593" s="166"/>
      <c r="C593" s="945"/>
      <c r="D593" s="945"/>
      <c r="E593" s="997"/>
      <c r="F593" s="998"/>
      <c r="G593" s="997">
        <f>+VLOOKUP(Data_Validation!$A593,BV_Data_An_Cour!$L:$Q,6,0)</f>
        <v>0</v>
      </c>
      <c r="H593" s="165"/>
    </row>
    <row r="594" spans="1:11" ht="15" customHeight="1">
      <c r="A594" s="167"/>
      <c r="B594" s="166"/>
      <c r="C594" s="945"/>
      <c r="D594" s="945"/>
      <c r="E594" s="997"/>
      <c r="F594" s="998"/>
      <c r="G594" s="997">
        <f>+VLOOKUP(Data_Validation!$A594,BV_Data_An_Cour!$L:$Q,6,0)</f>
        <v>0</v>
      </c>
      <c r="H594" s="165"/>
      <c r="K594" s="2"/>
    </row>
    <row r="595" spans="1:11" ht="15" customHeight="1">
      <c r="A595" s="167"/>
      <c r="B595" s="166"/>
      <c r="C595" s="945"/>
      <c r="D595" s="945"/>
      <c r="E595" s="997"/>
      <c r="F595" s="998"/>
      <c r="G595" s="997">
        <f>+VLOOKUP(Data_Validation!$A595,BV_Data_An_Cour!$L:$Q,6,0)</f>
        <v>0</v>
      </c>
      <c r="H595" s="165"/>
    </row>
    <row r="596" spans="1:11" ht="15" customHeight="1">
      <c r="A596" s="167"/>
      <c r="B596" s="166"/>
      <c r="C596" s="945"/>
      <c r="D596" s="945"/>
      <c r="E596" s="997"/>
      <c r="F596" s="998"/>
      <c r="G596" s="997">
        <f>+VLOOKUP(Data_Validation!$A596,BV_Data_An_Cour!$L:$Q,6,0)</f>
        <v>0</v>
      </c>
      <c r="H596" s="165"/>
    </row>
    <row r="597" spans="1:11" ht="15" customHeight="1">
      <c r="A597" s="167"/>
      <c r="B597" s="166"/>
      <c r="C597" s="945"/>
      <c r="D597" s="945"/>
      <c r="E597" s="997"/>
      <c r="F597" s="998"/>
      <c r="G597" s="997">
        <f>+VLOOKUP(Data_Validation!$A597,BV_Data_An_Cour!$L:$Q,6,0)</f>
        <v>0</v>
      </c>
      <c r="H597" s="165"/>
    </row>
    <row r="598" spans="1:11" ht="15" customHeight="1">
      <c r="A598" s="167"/>
      <c r="B598" s="166"/>
      <c r="C598" s="945"/>
      <c r="D598" s="945"/>
      <c r="E598" s="997"/>
      <c r="F598" s="998"/>
      <c r="G598" s="997">
        <f>+VLOOKUP(Data_Validation!$A598,BV_Data_An_Cour!$L:$Q,6,0)</f>
        <v>0</v>
      </c>
      <c r="H598" s="165"/>
    </row>
    <row r="599" spans="1:11" ht="15" customHeight="1">
      <c r="A599" s="166"/>
      <c r="B599" s="166"/>
      <c r="C599" s="945"/>
      <c r="D599" s="945"/>
      <c r="E599" s="997"/>
      <c r="F599" s="998"/>
      <c r="G599" s="997">
        <f>+VLOOKUP(Data_Validation!$A599,BV_Data_An_Cour!$L:$Q,6,0)</f>
        <v>0</v>
      </c>
      <c r="H599" s="165"/>
    </row>
    <row r="600" spans="1:11" ht="15" customHeight="1">
      <c r="A600" s="166"/>
      <c r="B600" s="166"/>
      <c r="C600" s="945"/>
      <c r="D600" s="945"/>
      <c r="E600" s="997"/>
      <c r="F600" s="998"/>
      <c r="G600" s="997">
        <f>+VLOOKUP(Data_Validation!$A600,BV_Data_An_Cour!$L:$Q,6,0)</f>
        <v>0</v>
      </c>
      <c r="H600" s="165"/>
    </row>
    <row r="601" spans="1:11" ht="15" customHeight="1">
      <c r="A601" s="167"/>
      <c r="B601" s="166"/>
      <c r="C601" s="945"/>
      <c r="D601" s="945"/>
      <c r="E601" s="997"/>
      <c r="F601" s="998"/>
      <c r="G601" s="997">
        <f>+VLOOKUP(Data_Validation!$A601,BV_Data_An_Cour!$L:$Q,6,0)</f>
        <v>0</v>
      </c>
      <c r="H601" s="165"/>
    </row>
    <row r="602" spans="1:11" ht="15" customHeight="1">
      <c r="A602" s="167"/>
      <c r="B602" s="166"/>
      <c r="C602" s="945"/>
      <c r="D602" s="945"/>
      <c r="E602" s="997"/>
      <c r="F602" s="998"/>
      <c r="G602" s="997">
        <f>+VLOOKUP(Data_Validation!$A602,BV_Data_An_Cour!$L:$Q,6,0)</f>
        <v>0</v>
      </c>
      <c r="H602" s="165"/>
    </row>
    <row r="603" spans="1:11" ht="15" customHeight="1">
      <c r="A603" s="167"/>
      <c r="B603" s="166"/>
      <c r="C603" s="945"/>
      <c r="D603" s="945"/>
      <c r="E603" s="997"/>
      <c r="F603" s="998"/>
      <c r="G603" s="997">
        <f>+VLOOKUP(Data_Validation!$A603,BV_Data_An_Cour!$L:$Q,6,0)</f>
        <v>0</v>
      </c>
      <c r="H603" s="165"/>
    </row>
    <row r="604" spans="1:11" ht="15" customHeight="1">
      <c r="A604" s="167"/>
      <c r="B604" s="1018"/>
      <c r="C604" s="1010"/>
      <c r="D604" s="945"/>
      <c r="E604" s="997"/>
      <c r="F604" s="998"/>
      <c r="G604" s="997">
        <f>+VLOOKUP(Data_Validation!$A604,BV_Data_An_Cour!$L:$Q,6,0)</f>
        <v>0</v>
      </c>
      <c r="H604" s="165"/>
    </row>
    <row r="605" spans="1:11" ht="15" customHeight="1">
      <c r="A605" s="167"/>
      <c r="B605" s="166"/>
      <c r="C605" s="945"/>
      <c r="D605" s="945"/>
      <c r="E605" s="997"/>
      <c r="F605" s="998"/>
      <c r="G605" s="997">
        <f>+VLOOKUP(Data_Validation!$A605,BV_Data_An_Cour!$L:$Q,6,0)</f>
        <v>0</v>
      </c>
      <c r="H605" s="165"/>
    </row>
    <row r="606" spans="1:11" ht="15" customHeight="1">
      <c r="A606" s="167"/>
      <c r="B606" s="166"/>
      <c r="C606" s="945"/>
      <c r="D606" s="945"/>
      <c r="E606" s="997"/>
      <c r="F606" s="998"/>
      <c r="G606" s="997">
        <f>+VLOOKUP(Data_Validation!$A606,BV_Data_An_Cour!$L:$Q,6,0)</f>
        <v>0</v>
      </c>
      <c r="H606" s="165"/>
    </row>
    <row r="607" spans="1:11" ht="15" customHeight="1">
      <c r="A607" s="167"/>
      <c r="B607" s="166"/>
      <c r="C607" s="945"/>
      <c r="D607" s="945"/>
      <c r="E607" s="997"/>
      <c r="F607" s="998"/>
      <c r="G607" s="997">
        <f>+VLOOKUP(Data_Validation!$A607,BV_Data_An_Cour!$L:$Q,6,0)</f>
        <v>0</v>
      </c>
      <c r="H607" s="165"/>
    </row>
    <row r="608" spans="1:11" ht="15" customHeight="1">
      <c r="A608" s="167"/>
      <c r="B608" s="166"/>
      <c r="C608" s="945"/>
      <c r="D608" s="945"/>
      <c r="E608" s="997"/>
      <c r="F608" s="998"/>
      <c r="G608" s="997">
        <f>+VLOOKUP(Data_Validation!$A608,BV_Data_An_Cour!$L:$Q,6,0)</f>
        <v>0</v>
      </c>
      <c r="H608" s="165"/>
    </row>
    <row r="609" spans="1:29" ht="15" customHeight="1">
      <c r="A609" s="167"/>
      <c r="B609" s="166"/>
      <c r="C609" s="945"/>
      <c r="D609" s="945"/>
      <c r="E609" s="997"/>
      <c r="F609" s="998"/>
      <c r="G609" s="997">
        <f>+VLOOKUP(Data_Validation!$A609,BV_Data_An_Cour!$L:$Q,6,0)</f>
        <v>0</v>
      </c>
      <c r="H609" s="165"/>
    </row>
    <row r="610" spans="1:29" ht="15" customHeight="1">
      <c r="A610" s="167"/>
      <c r="B610" s="166"/>
      <c r="C610" s="945"/>
      <c r="D610" s="945"/>
      <c r="E610" s="997"/>
      <c r="F610" s="998"/>
      <c r="G610" s="997">
        <f>+VLOOKUP(Data_Validation!$A610,BV_Data_An_Cour!$L:$Q,6,0)</f>
        <v>0</v>
      </c>
      <c r="H610" s="165"/>
    </row>
    <row r="611" spans="1:29" ht="15" customHeight="1">
      <c r="A611" s="167"/>
      <c r="B611" s="166"/>
      <c r="C611" s="945"/>
      <c r="D611" s="945"/>
      <c r="E611" s="997"/>
      <c r="F611" s="998"/>
      <c r="G611" s="997">
        <f>+VLOOKUP(Data_Validation!$A611,BV_Data_An_Cour!$L:$Q,6,0)</f>
        <v>0</v>
      </c>
      <c r="H611" s="165"/>
    </row>
    <row r="612" spans="1:29" ht="15" customHeight="1">
      <c r="A612" s="167"/>
      <c r="B612" s="166"/>
      <c r="C612" s="945"/>
      <c r="D612" s="945"/>
      <c r="E612" s="997"/>
      <c r="F612" s="998"/>
      <c r="G612" s="997">
        <f>+VLOOKUP(Data_Validation!$A612,BV_Data_An_Cour!$L:$Q,6,0)</f>
        <v>0</v>
      </c>
      <c r="H612" s="165"/>
    </row>
    <row r="613" spans="1:29" ht="15" customHeight="1">
      <c r="A613" s="167"/>
      <c r="B613" s="166"/>
      <c r="C613" s="945"/>
      <c r="D613" s="945"/>
      <c r="E613" s="997"/>
      <c r="F613" s="998"/>
      <c r="G613" s="997">
        <f>+VLOOKUP(Data_Validation!$A613,BV_Data_An_Cour!$L:$Q,6,0)</f>
        <v>0</v>
      </c>
      <c r="H613" s="165"/>
    </row>
    <row r="614" spans="1:29" ht="15" customHeight="1">
      <c r="A614" s="167"/>
      <c r="B614" s="166"/>
      <c r="C614" s="945"/>
      <c r="D614" s="945"/>
      <c r="E614" s="997"/>
      <c r="F614" s="998"/>
      <c r="G614" s="997">
        <f>+VLOOKUP(Data_Validation!$A614,BV_Data_An_Cour!$L:$Q,6,0)</f>
        <v>0</v>
      </c>
      <c r="H614" s="165"/>
    </row>
    <row r="615" spans="1:29" ht="15" customHeight="1">
      <c r="A615" s="167"/>
      <c r="B615" s="166"/>
      <c r="C615" s="945"/>
      <c r="D615" s="945"/>
      <c r="E615" s="997"/>
      <c r="F615" s="998"/>
      <c r="G615" s="997">
        <f>+VLOOKUP(Data_Validation!$A615,BV_Data_An_Cour!$L:$Q,6,0)</f>
        <v>0</v>
      </c>
      <c r="H615" s="165"/>
    </row>
    <row r="616" spans="1:29" ht="15" customHeight="1">
      <c r="A616" s="167"/>
      <c r="B616" s="166"/>
      <c r="C616" s="945"/>
      <c r="D616" s="945"/>
      <c r="E616" s="997"/>
      <c r="F616" s="998"/>
      <c r="G616" s="997">
        <f>+VLOOKUP(Data_Validation!$A616,BV_Data_An_Cour!$L:$Q,6,0)</f>
        <v>0</v>
      </c>
      <c r="H616" s="165"/>
    </row>
    <row r="617" spans="1:29" ht="15" customHeight="1">
      <c r="A617" s="167"/>
      <c r="B617" s="166"/>
      <c r="C617" s="945"/>
      <c r="D617" s="945"/>
      <c r="E617" s="997"/>
      <c r="F617" s="998"/>
      <c r="G617" s="997">
        <f>+VLOOKUP(Data_Validation!$A617,BV_Data_An_Cour!$L:$Q,6,0)</f>
        <v>0</v>
      </c>
      <c r="H617" s="165"/>
    </row>
    <row r="618" spans="1:29" ht="15" customHeight="1">
      <c r="A618" s="167"/>
      <c r="B618" s="166"/>
      <c r="C618" s="945"/>
      <c r="D618" s="945"/>
      <c r="E618" s="997"/>
      <c r="F618" s="998"/>
      <c r="G618" s="997">
        <f>+VLOOKUP(Data_Validation!$A618,BV_Data_An_Cour!$L:$Q,6,0)</f>
        <v>0</v>
      </c>
      <c r="H618" s="165"/>
      <c r="I618" s="2"/>
      <c r="J618" s="2"/>
      <c r="L618" s="2"/>
      <c r="M618" s="2"/>
      <c r="N618" s="2"/>
      <c r="O618" s="2"/>
      <c r="P618" s="2"/>
      <c r="Q618" s="2"/>
      <c r="R618" s="2"/>
      <c r="S618" s="2"/>
      <c r="T618" s="2"/>
      <c r="U618" s="2"/>
      <c r="V618" s="2"/>
      <c r="W618" s="2"/>
      <c r="X618" s="2"/>
      <c r="Y618" s="2"/>
      <c r="Z618" s="2"/>
      <c r="AA618" s="2"/>
      <c r="AB618" s="2"/>
      <c r="AC618" s="2"/>
    </row>
    <row r="619" spans="1:29" ht="15" customHeight="1">
      <c r="A619" s="167"/>
      <c r="B619" s="166"/>
      <c r="C619" s="945"/>
      <c r="D619" s="945"/>
      <c r="E619" s="997"/>
      <c r="F619" s="998"/>
      <c r="G619" s="997">
        <f>+VLOOKUP(Data_Validation!$A619,BV_Data_An_Cour!$L:$Q,6,0)</f>
        <v>0</v>
      </c>
      <c r="H619" s="165"/>
    </row>
    <row r="620" spans="1:29" ht="15" customHeight="1">
      <c r="A620" s="167"/>
      <c r="B620" s="166"/>
      <c r="C620" s="945"/>
      <c r="D620" s="945"/>
      <c r="E620" s="997"/>
      <c r="F620" s="998"/>
      <c r="G620" s="997">
        <f>+VLOOKUP(Data_Validation!$A620,BV_Data_An_Cour!$L:$Q,6,0)</f>
        <v>0</v>
      </c>
      <c r="H620" s="165"/>
    </row>
    <row r="621" spans="1:29" ht="15" customHeight="1">
      <c r="A621" s="167"/>
      <c r="B621" s="166"/>
      <c r="C621" s="945"/>
      <c r="D621" s="945"/>
      <c r="E621" s="997"/>
      <c r="F621" s="998"/>
      <c r="G621" s="997">
        <f>+VLOOKUP(Data_Validation!$A621,BV_Data_An_Cour!$L:$Q,6,0)</f>
        <v>0</v>
      </c>
      <c r="H621" s="165"/>
    </row>
    <row r="622" spans="1:29" ht="15" customHeight="1">
      <c r="A622" s="167"/>
      <c r="B622" s="166"/>
      <c r="C622" s="945"/>
      <c r="D622" s="945"/>
      <c r="E622" s="997"/>
      <c r="F622" s="998"/>
      <c r="G622" s="997">
        <f>+VLOOKUP(Data_Validation!$A622,BV_Data_An_Cour!$L:$Q,6,0)</f>
        <v>0</v>
      </c>
      <c r="H622" s="165"/>
    </row>
    <row r="623" spans="1:29" ht="15" customHeight="1">
      <c r="A623" s="167"/>
      <c r="B623" s="166"/>
      <c r="C623" s="945"/>
      <c r="D623" s="945"/>
      <c r="E623" s="997"/>
      <c r="F623" s="998"/>
      <c r="G623" s="997">
        <f>+VLOOKUP(Data_Validation!$A623,BV_Data_An_Cour!$L:$Q,6,0)</f>
        <v>0</v>
      </c>
      <c r="H623" s="165"/>
    </row>
    <row r="624" spans="1:29" ht="15" customHeight="1">
      <c r="A624" s="167"/>
      <c r="B624" s="166"/>
      <c r="C624" s="945"/>
      <c r="D624" s="945"/>
      <c r="E624" s="997"/>
      <c r="F624" s="998"/>
      <c r="G624" s="997">
        <f>+VLOOKUP(Data_Validation!$A624,BV_Data_An_Cour!$L:$Q,6,0)</f>
        <v>0</v>
      </c>
      <c r="H624" s="165"/>
    </row>
    <row r="625" spans="1:8" ht="15" customHeight="1">
      <c r="A625" s="167"/>
      <c r="B625" s="166"/>
      <c r="C625" s="945"/>
      <c r="D625" s="945"/>
      <c r="E625" s="997"/>
      <c r="F625" s="998"/>
      <c r="G625" s="997">
        <f>+VLOOKUP(Data_Validation!$A625,BV_Data_An_Cour!$L:$Q,6,0)</f>
        <v>0</v>
      </c>
      <c r="H625" s="165"/>
    </row>
    <row r="626" spans="1:8" ht="15" customHeight="1">
      <c r="A626" s="167"/>
      <c r="B626" s="166"/>
      <c r="C626" s="945"/>
      <c r="D626" s="945"/>
      <c r="E626" s="997"/>
      <c r="F626" s="998"/>
      <c r="G626" s="997">
        <f>+VLOOKUP(Data_Validation!$A626,BV_Data_An_Cour!$L:$Q,6,0)</f>
        <v>0</v>
      </c>
      <c r="H626" s="165"/>
    </row>
    <row r="627" spans="1:8" ht="15" customHeight="1">
      <c r="A627" s="167"/>
      <c r="B627" s="166"/>
      <c r="C627" s="945"/>
      <c r="D627" s="945"/>
      <c r="E627" s="997"/>
      <c r="F627" s="998"/>
      <c r="G627" s="997">
        <f>+VLOOKUP(Data_Validation!$A627,BV_Data_An_Cour!$L:$Q,6,0)</f>
        <v>0</v>
      </c>
      <c r="H627" s="165"/>
    </row>
    <row r="628" spans="1:8" ht="15" customHeight="1">
      <c r="A628" s="167"/>
      <c r="B628" s="166"/>
      <c r="C628" s="945"/>
      <c r="D628" s="945"/>
      <c r="E628" s="997"/>
      <c r="F628" s="998"/>
      <c r="G628" s="997">
        <f>+VLOOKUP(Data_Validation!$A628,BV_Data_An_Cour!$L:$Q,6,0)</f>
        <v>0</v>
      </c>
      <c r="H628" s="165"/>
    </row>
    <row r="629" spans="1:8" ht="15" customHeight="1">
      <c r="A629" s="167"/>
      <c r="B629" s="166"/>
      <c r="C629" s="945"/>
      <c r="D629" s="945"/>
      <c r="E629" s="997"/>
      <c r="F629" s="998"/>
      <c r="G629" s="997">
        <f>+VLOOKUP(Data_Validation!$A629,BV_Data_An_Cour!$L:$Q,6,0)</f>
        <v>0</v>
      </c>
      <c r="H629" s="165"/>
    </row>
    <row r="630" spans="1:8" ht="15" customHeight="1">
      <c r="A630" s="167"/>
      <c r="B630" s="166"/>
      <c r="C630" s="945"/>
      <c r="D630" s="945"/>
      <c r="E630" s="997"/>
      <c r="F630" s="998"/>
      <c r="G630" s="997">
        <f>+VLOOKUP(Data_Validation!$A630,BV_Data_An_Cour!$L:$Q,6,0)</f>
        <v>0</v>
      </c>
      <c r="H630" s="165"/>
    </row>
    <row r="631" spans="1:8" ht="15" customHeight="1">
      <c r="A631" s="167"/>
      <c r="B631" s="166"/>
      <c r="C631" s="945"/>
      <c r="D631" s="945"/>
      <c r="E631" s="997"/>
      <c r="F631" s="998"/>
      <c r="G631" s="997">
        <f>+VLOOKUP(Data_Validation!$A631,BV_Data_An_Cour!$L:$Q,6,0)</f>
        <v>0</v>
      </c>
      <c r="H631" s="165"/>
    </row>
    <row r="632" spans="1:8" ht="15" customHeight="1">
      <c r="A632" s="167"/>
      <c r="B632" s="1017"/>
      <c r="C632" s="945"/>
      <c r="D632" s="945"/>
      <c r="E632" s="997"/>
      <c r="F632" s="998"/>
      <c r="G632" s="997">
        <f>+VLOOKUP(Data_Validation!$A632,BV_Data_An_Cour!$L:$Q,6,0)</f>
        <v>0</v>
      </c>
      <c r="H632" s="165"/>
    </row>
    <row r="633" spans="1:8" ht="15" customHeight="1">
      <c r="A633" s="167"/>
      <c r="B633" s="1017"/>
      <c r="C633" s="945"/>
      <c r="D633" s="945"/>
      <c r="E633" s="997"/>
      <c r="F633" s="998"/>
      <c r="G633" s="997">
        <f>+VLOOKUP(Data_Validation!$A633,BV_Data_An_Cour!$L:$Q,6,0)</f>
        <v>0</v>
      </c>
      <c r="H633" s="165"/>
    </row>
    <row r="634" spans="1:8" ht="15" customHeight="1">
      <c r="A634" s="167"/>
      <c r="B634" s="166"/>
      <c r="C634" s="945"/>
      <c r="D634" s="945"/>
      <c r="E634" s="997"/>
      <c r="F634" s="998"/>
      <c r="G634" s="997">
        <f>+VLOOKUP(Data_Validation!$A634,BV_Data_An_Cour!$L:$Q,6,0)</f>
        <v>0</v>
      </c>
      <c r="H634" s="165"/>
    </row>
    <row r="635" spans="1:8" ht="15" customHeight="1">
      <c r="A635" s="167"/>
      <c r="B635" s="166"/>
      <c r="C635" s="945"/>
      <c r="D635" s="945"/>
      <c r="E635" s="997"/>
      <c r="F635" s="998"/>
      <c r="G635" s="997">
        <f>+VLOOKUP(Data_Validation!$A635,BV_Data_An_Cour!$L:$Q,6,0)</f>
        <v>0</v>
      </c>
      <c r="H635" s="165"/>
    </row>
    <row r="636" spans="1:8" ht="15" customHeight="1">
      <c r="A636" s="167"/>
      <c r="B636" s="166"/>
      <c r="C636" s="945"/>
      <c r="D636" s="945"/>
      <c r="E636" s="997"/>
      <c r="F636" s="998"/>
      <c r="G636" s="997">
        <f>+VLOOKUP(Data_Validation!$A636,BV_Data_An_Cour!$L:$Q,6,0)</f>
        <v>0</v>
      </c>
      <c r="H636" s="165"/>
    </row>
    <row r="637" spans="1:8" ht="15" customHeight="1">
      <c r="A637" s="167"/>
      <c r="B637" s="166"/>
      <c r="C637" s="945"/>
      <c r="D637" s="945"/>
      <c r="E637" s="997"/>
      <c r="F637" s="998"/>
      <c r="G637" s="997">
        <f>+VLOOKUP(Data_Validation!$A637,BV_Data_An_Cour!$L:$Q,6,0)</f>
        <v>0</v>
      </c>
      <c r="H637" s="165"/>
    </row>
    <row r="638" spans="1:8" ht="15" customHeight="1">
      <c r="A638" s="167"/>
      <c r="B638" s="166"/>
      <c r="C638" s="945"/>
      <c r="D638" s="945"/>
      <c r="E638" s="997"/>
      <c r="F638" s="998"/>
      <c r="G638" s="997">
        <f>+VLOOKUP(Data_Validation!$A638,BV_Data_An_Cour!$L:$Q,6,0)</f>
        <v>0</v>
      </c>
      <c r="H638" s="165"/>
    </row>
    <row r="639" spans="1:8" ht="15" customHeight="1">
      <c r="A639" s="167"/>
      <c r="B639" s="166"/>
      <c r="C639" s="945"/>
      <c r="D639" s="945"/>
      <c r="E639" s="997"/>
      <c r="F639" s="998"/>
      <c r="G639" s="997">
        <f>+VLOOKUP(Data_Validation!$A639,BV_Data_An_Cour!$L:$Q,6,0)</f>
        <v>0</v>
      </c>
      <c r="H639" s="165"/>
    </row>
    <row r="640" spans="1:8" ht="15" customHeight="1">
      <c r="A640" s="167"/>
      <c r="B640" s="166"/>
      <c r="C640" s="945"/>
      <c r="D640" s="945"/>
      <c r="E640" s="997"/>
      <c r="F640" s="998"/>
      <c r="G640" s="997">
        <f>+VLOOKUP(Data_Validation!$A640,BV_Data_An_Cour!$L:$Q,6,0)</f>
        <v>0</v>
      </c>
      <c r="H640" s="165"/>
    </row>
    <row r="641" spans="1:29" ht="15" customHeight="1">
      <c r="A641" s="167"/>
      <c r="B641" s="166"/>
      <c r="C641" s="945"/>
      <c r="D641" s="945"/>
      <c r="E641" s="997"/>
      <c r="F641" s="998"/>
      <c r="G641" s="997">
        <f>+VLOOKUP(Data_Validation!$A641,BV_Data_An_Cour!$L:$Q,6,0)</f>
        <v>0</v>
      </c>
      <c r="H641" s="165"/>
    </row>
    <row r="642" spans="1:29" ht="15" customHeight="1">
      <c r="A642" s="167"/>
      <c r="B642" s="166"/>
      <c r="C642" s="945"/>
      <c r="D642" s="945"/>
      <c r="E642" s="997"/>
      <c r="F642" s="998"/>
      <c r="G642" s="997">
        <f>+VLOOKUP(Data_Validation!$A642,BV_Data_An_Cour!$L:$Q,6,0)</f>
        <v>0</v>
      </c>
      <c r="H642" s="165"/>
    </row>
    <row r="643" spans="1:29" ht="15" customHeight="1">
      <c r="A643" s="167"/>
      <c r="B643" s="166"/>
      <c r="C643" s="945"/>
      <c r="D643" s="945"/>
      <c r="E643" s="997"/>
      <c r="F643" s="998"/>
      <c r="G643" s="997">
        <f>+VLOOKUP(Data_Validation!$A643,BV_Data_An_Cour!$L:$Q,6,0)</f>
        <v>0</v>
      </c>
      <c r="H643" s="165"/>
    </row>
    <row r="644" spans="1:29" ht="15" customHeight="1">
      <c r="A644" s="167"/>
      <c r="B644" s="166"/>
      <c r="C644" s="945"/>
      <c r="D644" s="945"/>
      <c r="E644" s="997"/>
      <c r="F644" s="998"/>
      <c r="G644" s="997">
        <f>+VLOOKUP(Data_Validation!$A644,BV_Data_An_Cour!$L:$Q,6,0)</f>
        <v>0</v>
      </c>
      <c r="H644" s="165"/>
    </row>
    <row r="645" spans="1:29" ht="15" customHeight="1">
      <c r="A645" s="167"/>
      <c r="B645" s="166"/>
      <c r="C645" s="945"/>
      <c r="D645" s="945"/>
      <c r="E645" s="997"/>
      <c r="F645" s="998"/>
      <c r="G645" s="997">
        <f>+VLOOKUP(Data_Validation!$A645,BV_Data_An_Cour!$L:$Q,6,0)</f>
        <v>0</v>
      </c>
      <c r="H645" s="165"/>
    </row>
    <row r="646" spans="1:29" ht="15" customHeight="1">
      <c r="A646" s="167"/>
      <c r="B646" s="166"/>
      <c r="C646" s="945"/>
      <c r="D646" s="945"/>
      <c r="E646" s="997"/>
      <c r="F646" s="998"/>
      <c r="G646" s="997">
        <f>+VLOOKUP(Data_Validation!$A646,BV_Data_An_Cour!$L:$Q,6,0)</f>
        <v>0</v>
      </c>
      <c r="H646" s="165"/>
    </row>
    <row r="647" spans="1:29" ht="15" customHeight="1">
      <c r="A647" s="168"/>
      <c r="B647" s="169"/>
      <c r="C647" s="945"/>
      <c r="D647" s="945"/>
      <c r="E647" s="997"/>
      <c r="F647" s="998"/>
      <c r="G647" s="997">
        <f>+VLOOKUP(Data_Validation!$A647,BV_Data_An_Cour!$L:$Q,6,0)</f>
        <v>0</v>
      </c>
      <c r="H647" s="165"/>
    </row>
    <row r="648" spans="1:29" ht="15" customHeight="1">
      <c r="A648" s="167"/>
      <c r="B648" s="166"/>
      <c r="C648" s="945"/>
      <c r="D648" s="945"/>
      <c r="E648" s="997"/>
      <c r="F648" s="998"/>
      <c r="G648" s="997">
        <f>+VLOOKUP(Data_Validation!$A648,BV_Data_An_Cour!$L:$Q,6,0)</f>
        <v>0</v>
      </c>
      <c r="H648" s="165"/>
    </row>
    <row r="649" spans="1:29" ht="15" customHeight="1">
      <c r="A649" s="169"/>
      <c r="B649" s="169"/>
      <c r="C649" s="945"/>
      <c r="D649" s="945"/>
      <c r="E649" s="997"/>
      <c r="F649" s="998"/>
      <c r="G649" s="997">
        <f>+VLOOKUP(Data_Validation!$A649,BV_Data_An_Cour!$L:$Q,6,0)</f>
        <v>0</v>
      </c>
      <c r="H649" s="165"/>
    </row>
    <row r="650" spans="1:29" ht="15" customHeight="1">
      <c r="A650" s="166"/>
      <c r="B650" s="166"/>
      <c r="C650" s="945"/>
      <c r="D650" s="945"/>
      <c r="E650" s="997"/>
      <c r="F650" s="998"/>
      <c r="G650" s="997">
        <f>+VLOOKUP(Data_Validation!$A650,BV_Data_An_Cour!$L:$Q,6,0)</f>
        <v>0</v>
      </c>
      <c r="H650" s="165"/>
    </row>
    <row r="651" spans="1:29" ht="15" customHeight="1">
      <c r="A651" s="168"/>
      <c r="B651" s="169"/>
      <c r="C651" s="945"/>
      <c r="D651" s="945"/>
      <c r="E651" s="997"/>
      <c r="F651" s="998"/>
      <c r="G651" s="997">
        <f>+VLOOKUP(Data_Validation!$A651,BV_Data_An_Cour!$L:$Q,6,0)</f>
        <v>0</v>
      </c>
      <c r="H651" s="165"/>
    </row>
    <row r="652" spans="1:29" ht="15" customHeight="1">
      <c r="A652" s="166"/>
      <c r="B652" s="166"/>
      <c r="C652" s="945"/>
      <c r="D652" s="945"/>
      <c r="E652" s="997"/>
      <c r="F652" s="998"/>
      <c r="G652" s="997">
        <f>+VLOOKUP(Data_Validation!$A652,BV_Data_An_Cour!$L:$Q,6,0)</f>
        <v>0</v>
      </c>
      <c r="H652" s="165"/>
    </row>
    <row r="653" spans="1:29" ht="15" customHeight="1">
      <c r="A653" s="168"/>
      <c r="B653" s="169"/>
      <c r="C653" s="945"/>
      <c r="D653" s="945"/>
      <c r="E653" s="997"/>
      <c r="F653" s="998"/>
      <c r="G653" s="997">
        <f>+VLOOKUP(Data_Validation!$A653,BV_Data_An_Cour!$L:$Q,6,0)</f>
        <v>0</v>
      </c>
      <c r="H653" s="165"/>
      <c r="I653" s="2"/>
      <c r="J653" s="2"/>
      <c r="L653" s="2"/>
      <c r="M653" s="2"/>
      <c r="N653" s="2"/>
      <c r="O653" s="2"/>
      <c r="P653" s="2"/>
      <c r="Q653" s="2"/>
      <c r="R653" s="2"/>
      <c r="S653" s="2"/>
      <c r="T653" s="2"/>
      <c r="U653" s="2"/>
      <c r="V653" s="2"/>
      <c r="W653" s="2"/>
      <c r="X653" s="2"/>
      <c r="Y653" s="2"/>
      <c r="Z653" s="2"/>
      <c r="AA653" s="2"/>
      <c r="AB653" s="2"/>
      <c r="AC653" s="2"/>
    </row>
    <row r="654" spans="1:29" ht="15" customHeight="1">
      <c r="A654" s="166"/>
      <c r="B654" s="166"/>
      <c r="C654" s="945"/>
      <c r="D654" s="945"/>
      <c r="E654" s="997"/>
      <c r="F654" s="998"/>
      <c r="G654" s="997">
        <f>+VLOOKUP(Data_Validation!$A654,BV_Data_An_Cour!$L:$Q,6,0)</f>
        <v>0</v>
      </c>
      <c r="H654" s="165"/>
    </row>
    <row r="655" spans="1:29" ht="15" customHeight="1">
      <c r="A655" s="167"/>
      <c r="B655" s="166"/>
      <c r="C655" s="945"/>
      <c r="D655" s="945"/>
      <c r="E655" s="997"/>
      <c r="F655" s="998"/>
      <c r="G655" s="997">
        <f>+VLOOKUP(Data_Validation!$A655,BV_Data_An_Cour!$L:$Q,6,0)</f>
        <v>0</v>
      </c>
      <c r="H655" s="165"/>
    </row>
    <row r="656" spans="1:29" ht="15" customHeight="1">
      <c r="A656" s="167"/>
      <c r="B656" s="166"/>
      <c r="C656" s="945"/>
      <c r="D656" s="945"/>
      <c r="E656" s="997"/>
      <c r="F656" s="998"/>
      <c r="G656" s="997">
        <f>+VLOOKUP(Data_Validation!$A656,BV_Data_An_Cour!$L:$Q,6,0)</f>
        <v>0</v>
      </c>
      <c r="H656" s="165"/>
    </row>
    <row r="657" spans="1:29" ht="15" customHeight="1">
      <c r="A657" s="167"/>
      <c r="B657" s="166"/>
      <c r="C657" s="945"/>
      <c r="D657" s="945"/>
      <c r="E657" s="997"/>
      <c r="F657" s="998"/>
      <c r="G657" s="997">
        <f>+VLOOKUP(Data_Validation!$A657,BV_Data_An_Cour!$L:$Q,6,0)</f>
        <v>0</v>
      </c>
      <c r="H657" s="165"/>
    </row>
    <row r="658" spans="1:29" ht="15" customHeight="1">
      <c r="A658" s="166"/>
      <c r="B658" s="166"/>
      <c r="C658" s="945"/>
      <c r="D658" s="945"/>
      <c r="E658" s="997"/>
      <c r="F658" s="998"/>
      <c r="G658" s="997">
        <f>+VLOOKUP(Data_Validation!$A658,BV_Data_An_Cour!$L:$Q,6,0)</f>
        <v>0</v>
      </c>
      <c r="H658" s="165"/>
    </row>
    <row r="659" spans="1:29" ht="15" customHeight="1">
      <c r="A659" s="166"/>
      <c r="B659" s="166"/>
      <c r="C659" s="945"/>
      <c r="D659" s="945"/>
      <c r="E659" s="997"/>
      <c r="F659" s="998"/>
      <c r="G659" s="997">
        <f>+VLOOKUP(Data_Validation!$A659,BV_Data_An_Cour!$L:$Q,6,0)</f>
        <v>0</v>
      </c>
      <c r="H659" s="165"/>
    </row>
    <row r="660" spans="1:29" ht="15" customHeight="1">
      <c r="A660" s="167"/>
      <c r="B660" s="166"/>
      <c r="C660" s="945"/>
      <c r="D660" s="945"/>
      <c r="E660" s="997"/>
      <c r="F660" s="998"/>
      <c r="G660" s="997">
        <f>+VLOOKUP(Data_Validation!$A660,BV_Data_An_Cour!$L:$Q,6,0)</f>
        <v>0</v>
      </c>
      <c r="H660" s="165"/>
    </row>
    <row r="661" spans="1:29" ht="15" customHeight="1">
      <c r="A661" s="167"/>
      <c r="B661" s="166"/>
      <c r="C661" s="945"/>
      <c r="D661" s="945"/>
      <c r="E661" s="997"/>
      <c r="F661" s="998"/>
      <c r="G661" s="997">
        <f>+VLOOKUP(Data_Validation!$A661,BV_Data_An_Cour!$L:$Q,6,0)</f>
        <v>0</v>
      </c>
      <c r="H661" s="165"/>
    </row>
    <row r="662" spans="1:29" ht="15" customHeight="1">
      <c r="A662" s="167"/>
      <c r="B662" s="166"/>
      <c r="C662" s="945"/>
      <c r="D662" s="945"/>
      <c r="E662" s="997"/>
      <c r="F662" s="998"/>
      <c r="G662" s="997">
        <f>+VLOOKUP(Data_Validation!$A662,BV_Data_An_Cour!$L:$Q,6,0)</f>
        <v>0</v>
      </c>
      <c r="H662" s="165"/>
    </row>
    <row r="663" spans="1:29" ht="15" customHeight="1">
      <c r="A663" s="167"/>
      <c r="B663" s="166"/>
      <c r="C663" s="945"/>
      <c r="D663" s="945"/>
      <c r="E663" s="997"/>
      <c r="F663" s="998"/>
      <c r="G663" s="997">
        <f>+VLOOKUP(Data_Validation!$A663,BV_Data_An_Cour!$L:$Q,6,0)</f>
        <v>0</v>
      </c>
      <c r="H663" s="165"/>
    </row>
    <row r="664" spans="1:29" ht="15" customHeight="1">
      <c r="A664" s="167"/>
      <c r="B664" s="166"/>
      <c r="C664" s="945"/>
      <c r="D664" s="945"/>
      <c r="E664" s="997"/>
      <c r="F664" s="998"/>
      <c r="G664" s="997">
        <f>+VLOOKUP(Data_Validation!$A664,BV_Data_An_Cour!$L:$Q,6,0)</f>
        <v>0</v>
      </c>
      <c r="H664" s="165"/>
    </row>
    <row r="665" spans="1:29" ht="15" customHeight="1">
      <c r="A665" s="167"/>
      <c r="B665" s="166"/>
      <c r="C665" s="945"/>
      <c r="D665" s="945"/>
      <c r="E665" s="997"/>
      <c r="F665" s="998"/>
      <c r="G665" s="997">
        <f>+VLOOKUP(Data_Validation!$A665,BV_Data_An_Cour!$L:$Q,6,0)</f>
        <v>0</v>
      </c>
      <c r="H665" s="165"/>
    </row>
    <row r="666" spans="1:29" ht="15" customHeight="1">
      <c r="A666" s="167"/>
      <c r="B666" s="166"/>
      <c r="C666" s="945"/>
      <c r="D666" s="945"/>
      <c r="E666" s="997"/>
      <c r="F666" s="998"/>
      <c r="G666" s="997">
        <f>+VLOOKUP(Data_Validation!$A666,BV_Data_An_Cour!$L:$Q,6,0)</f>
        <v>0</v>
      </c>
      <c r="H666" s="165"/>
      <c r="I666" s="2"/>
      <c r="J666" s="2"/>
      <c r="L666" s="2"/>
      <c r="M666" s="2"/>
      <c r="N666" s="2"/>
      <c r="O666" s="2"/>
      <c r="P666" s="2"/>
      <c r="Q666" s="2"/>
      <c r="R666" s="2"/>
      <c r="S666" s="2"/>
      <c r="T666" s="2"/>
      <c r="U666" s="2"/>
      <c r="V666" s="2"/>
      <c r="W666" s="2"/>
      <c r="X666" s="2"/>
      <c r="Y666" s="2"/>
      <c r="Z666" s="2"/>
      <c r="AA666" s="2"/>
      <c r="AB666" s="2"/>
      <c r="AC666" s="2"/>
    </row>
    <row r="667" spans="1:29" ht="15" customHeight="1">
      <c r="A667" s="167"/>
      <c r="B667" s="166"/>
      <c r="C667" s="945"/>
      <c r="D667" s="945"/>
      <c r="E667" s="997"/>
      <c r="F667" s="998"/>
      <c r="G667" s="997">
        <f>+VLOOKUP(Data_Validation!$A667,BV_Data_An_Cour!$L:$Q,6,0)</f>
        <v>0</v>
      </c>
      <c r="H667" s="165"/>
    </row>
    <row r="668" spans="1:29" ht="15" customHeight="1">
      <c r="A668" s="167"/>
      <c r="B668" s="166"/>
      <c r="C668" s="945"/>
      <c r="D668" s="945"/>
      <c r="E668" s="997"/>
      <c r="F668" s="998"/>
      <c r="G668" s="997">
        <f>+VLOOKUP(Data_Validation!$A668,BV_Data_An_Cour!$L:$Q,6,0)</f>
        <v>0</v>
      </c>
      <c r="H668" s="165"/>
      <c r="I668" s="2"/>
      <c r="J668" s="2"/>
      <c r="L668" s="2"/>
      <c r="M668" s="2"/>
      <c r="N668" s="2"/>
      <c r="O668" s="2"/>
      <c r="P668" s="2"/>
      <c r="Q668" s="2"/>
      <c r="R668" s="2"/>
      <c r="S668" s="2"/>
      <c r="T668" s="2"/>
      <c r="U668" s="2"/>
      <c r="V668" s="2"/>
      <c r="W668" s="2"/>
      <c r="X668" s="2"/>
      <c r="Y668" s="2"/>
      <c r="Z668" s="2"/>
      <c r="AA668" s="2"/>
      <c r="AB668" s="2"/>
      <c r="AC668" s="2"/>
    </row>
    <row r="669" spans="1:29" ht="15" customHeight="1">
      <c r="A669" s="167"/>
      <c r="B669" s="166"/>
      <c r="C669" s="945"/>
      <c r="D669" s="945"/>
      <c r="E669" s="997"/>
      <c r="F669" s="998"/>
      <c r="G669" s="997">
        <f>+VLOOKUP(Data_Validation!$A669,BV_Data_An_Cour!$L:$Q,6,0)</f>
        <v>0</v>
      </c>
      <c r="H669" s="165"/>
      <c r="K669" s="2"/>
    </row>
    <row r="670" spans="1:29" ht="15" customHeight="1">
      <c r="A670" s="167"/>
      <c r="B670" s="166"/>
      <c r="C670" s="945"/>
      <c r="D670" s="945"/>
      <c r="E670" s="997"/>
      <c r="F670" s="998"/>
      <c r="G670" s="997">
        <f>+VLOOKUP(Data_Validation!$A670,BV_Data_An_Cour!$L:$Q,6,0)</f>
        <v>0</v>
      </c>
      <c r="H670" s="165"/>
    </row>
    <row r="671" spans="1:29" ht="15" customHeight="1">
      <c r="A671" s="176"/>
      <c r="B671" s="1018"/>
      <c r="C671" s="1010"/>
      <c r="D671" s="945"/>
      <c r="E671" s="997"/>
      <c r="F671" s="998"/>
      <c r="G671" s="997">
        <f>+VLOOKUP(Data_Validation!$A671,BV_Data_An_Cour!$L:$Q,6,0)</f>
        <v>0</v>
      </c>
      <c r="H671" s="165"/>
    </row>
    <row r="672" spans="1:29" ht="15" customHeight="1">
      <c r="A672" s="167"/>
      <c r="B672" s="166"/>
      <c r="C672" s="945"/>
      <c r="D672" s="945"/>
      <c r="E672" s="997"/>
      <c r="F672" s="998"/>
      <c r="G672" s="997">
        <f>+VLOOKUP(Data_Validation!$A672,BV_Data_An_Cour!$L:$Q,6,0)</f>
        <v>0</v>
      </c>
      <c r="H672" s="165"/>
    </row>
    <row r="673" spans="1:8" ht="15" customHeight="1">
      <c r="A673" s="167"/>
      <c r="B673" s="166"/>
      <c r="C673" s="945"/>
      <c r="D673" s="945"/>
      <c r="E673" s="997"/>
      <c r="F673" s="998"/>
      <c r="G673" s="997">
        <f>+VLOOKUP(Data_Validation!$A673,BV_Data_An_Cour!$L:$Q,6,0)</f>
        <v>0</v>
      </c>
      <c r="H673" s="165"/>
    </row>
    <row r="674" spans="1:8" ht="15" customHeight="1">
      <c r="A674" s="167"/>
      <c r="B674" s="166"/>
      <c r="C674" s="945"/>
      <c r="D674" s="945"/>
      <c r="E674" s="997"/>
      <c r="F674" s="998"/>
      <c r="G674" s="997">
        <f>+VLOOKUP(Data_Validation!$A674,BV_Data_An_Cour!$L:$Q,6,0)</f>
        <v>0</v>
      </c>
      <c r="H674" s="165"/>
    </row>
    <row r="675" spans="1:8" ht="15" customHeight="1">
      <c r="A675" s="167"/>
      <c r="B675" s="166"/>
      <c r="C675" s="945"/>
      <c r="D675" s="945"/>
      <c r="E675" s="997"/>
      <c r="F675" s="998"/>
      <c r="G675" s="997">
        <f>+VLOOKUP(Data_Validation!$A675,BV_Data_An_Cour!$L:$Q,6,0)</f>
        <v>0</v>
      </c>
      <c r="H675" s="165"/>
    </row>
    <row r="676" spans="1:8" ht="15" customHeight="1">
      <c r="A676" s="167"/>
      <c r="B676" s="166"/>
      <c r="C676" s="945"/>
      <c r="D676" s="945"/>
      <c r="E676" s="997"/>
      <c r="F676" s="998"/>
      <c r="G676" s="997">
        <f>+VLOOKUP(Data_Validation!$A676,BV_Data_An_Cour!$L:$Q,6,0)</f>
        <v>0</v>
      </c>
      <c r="H676" s="165"/>
    </row>
    <row r="677" spans="1:8" ht="15" customHeight="1">
      <c r="A677" s="167"/>
      <c r="B677" s="166"/>
      <c r="C677" s="945"/>
      <c r="D677" s="945"/>
      <c r="E677" s="997"/>
      <c r="F677" s="998"/>
      <c r="G677" s="997">
        <f>+VLOOKUP(Data_Validation!$A677,BV_Data_An_Cour!$L:$Q,6,0)</f>
        <v>0</v>
      </c>
      <c r="H677" s="165"/>
    </row>
    <row r="678" spans="1:8" ht="15" customHeight="1">
      <c r="A678" s="167"/>
      <c r="B678" s="166"/>
      <c r="C678" s="945"/>
      <c r="D678" s="945"/>
      <c r="E678" s="997"/>
      <c r="F678" s="998"/>
      <c r="G678" s="997">
        <f>+VLOOKUP(Data_Validation!$A678,BV_Data_An_Cour!$L:$Q,6,0)</f>
        <v>0</v>
      </c>
      <c r="H678" s="165"/>
    </row>
    <row r="679" spans="1:8" ht="15" customHeight="1">
      <c r="A679" s="167"/>
      <c r="B679" s="166"/>
      <c r="C679" s="945"/>
      <c r="D679" s="945"/>
      <c r="E679" s="997"/>
      <c r="F679" s="998"/>
      <c r="G679" s="997">
        <f>+VLOOKUP(Data_Validation!$A679,BV_Data_An_Cour!$L:$Q,6,0)</f>
        <v>0</v>
      </c>
      <c r="H679" s="165"/>
    </row>
    <row r="680" spans="1:8" ht="15" customHeight="1">
      <c r="A680" s="167"/>
      <c r="B680" s="166"/>
      <c r="C680" s="945"/>
      <c r="D680" s="945"/>
      <c r="E680" s="997"/>
      <c r="F680" s="998"/>
      <c r="G680" s="997">
        <f>+VLOOKUP(Data_Validation!$A680,BV_Data_An_Cour!$L:$Q,6,0)</f>
        <v>0</v>
      </c>
      <c r="H680" s="165"/>
    </row>
    <row r="681" spans="1:8" ht="15" customHeight="1">
      <c r="A681" s="176"/>
      <c r="B681" s="571"/>
      <c r="C681" s="945"/>
      <c r="D681" s="945"/>
      <c r="E681" s="997"/>
      <c r="F681" s="998"/>
      <c r="G681" s="997">
        <f>+VLOOKUP(Data_Validation!$A681,BV_Data_An_Cour!$L:$Q,6,0)</f>
        <v>0</v>
      </c>
      <c r="H681" s="165"/>
    </row>
    <row r="682" spans="1:8" ht="15" customHeight="1">
      <c r="A682" s="167"/>
      <c r="B682" s="171"/>
      <c r="C682" s="945"/>
      <c r="D682" s="945"/>
      <c r="E682" s="997"/>
      <c r="F682" s="998"/>
      <c r="G682" s="997">
        <f>+VLOOKUP(Data_Validation!$A682,BV_Data_An_Cour!$L:$Q,6,0)</f>
        <v>0</v>
      </c>
      <c r="H682" s="165"/>
    </row>
    <row r="683" spans="1:8" ht="15" customHeight="1">
      <c r="A683" s="167"/>
      <c r="B683" s="166"/>
      <c r="C683" s="945"/>
      <c r="D683" s="945"/>
      <c r="E683" s="997"/>
      <c r="F683" s="998"/>
      <c r="G683" s="997">
        <f>+VLOOKUP(Data_Validation!$A683,BV_Data_An_Cour!$L:$Q,6,0)</f>
        <v>0</v>
      </c>
      <c r="H683" s="165"/>
    </row>
    <row r="684" spans="1:8" ht="15" customHeight="1">
      <c r="A684" s="167"/>
      <c r="B684" s="166"/>
      <c r="C684" s="945"/>
      <c r="D684" s="945"/>
      <c r="E684" s="997"/>
      <c r="F684" s="998"/>
      <c r="G684" s="997">
        <f>+VLOOKUP(Data_Validation!$A684,BV_Data_An_Cour!$L:$Q,6,0)</f>
        <v>0</v>
      </c>
      <c r="H684" s="165"/>
    </row>
    <row r="685" spans="1:8" ht="15" customHeight="1">
      <c r="A685" s="167"/>
      <c r="B685" s="166"/>
      <c r="C685" s="945"/>
      <c r="D685" s="945"/>
      <c r="E685" s="997"/>
      <c r="F685" s="998"/>
      <c r="G685" s="997">
        <f>+VLOOKUP(Data_Validation!$A685,BV_Data_An_Cour!$L:$Q,6,0)</f>
        <v>0</v>
      </c>
      <c r="H685" s="165"/>
    </row>
    <row r="686" spans="1:8" ht="15" customHeight="1">
      <c r="A686" s="167"/>
      <c r="B686" s="166"/>
      <c r="C686" s="945"/>
      <c r="D686" s="945"/>
      <c r="E686" s="997"/>
      <c r="F686" s="998"/>
      <c r="G686" s="997">
        <f>+VLOOKUP(Data_Validation!$A686,BV_Data_An_Cour!$L:$Q,6,0)</f>
        <v>0</v>
      </c>
      <c r="H686" s="165"/>
    </row>
    <row r="687" spans="1:8" ht="15" customHeight="1">
      <c r="A687" s="167"/>
      <c r="B687" s="166"/>
      <c r="C687" s="945"/>
      <c r="D687" s="945"/>
      <c r="E687" s="997"/>
      <c r="F687" s="998"/>
      <c r="G687" s="997">
        <f>+VLOOKUP(Data_Validation!$A687,BV_Data_An_Cour!$L:$Q,6,0)</f>
        <v>0</v>
      </c>
      <c r="H687" s="165"/>
    </row>
    <row r="688" spans="1:8" ht="15" customHeight="1">
      <c r="A688" s="168"/>
      <c r="B688" s="169"/>
      <c r="C688" s="945"/>
      <c r="D688" s="945"/>
      <c r="E688" s="997"/>
      <c r="F688" s="998"/>
      <c r="G688" s="997">
        <f>+VLOOKUP(Data_Validation!$A688,BV_Data_An_Cour!$L:$Q,6,0)</f>
        <v>0</v>
      </c>
      <c r="H688" s="165"/>
    </row>
    <row r="689" spans="1:11" ht="15" customHeight="1">
      <c r="A689" s="167"/>
      <c r="B689" s="166"/>
      <c r="C689" s="945"/>
      <c r="D689" s="945"/>
      <c r="E689" s="997"/>
      <c r="F689" s="998"/>
      <c r="G689" s="997">
        <f>+VLOOKUP(Data_Validation!$A689,BV_Data_An_Cour!$L:$Q,6,0)</f>
        <v>0</v>
      </c>
      <c r="H689" s="165"/>
    </row>
    <row r="690" spans="1:11" ht="15" customHeight="1">
      <c r="A690" s="167"/>
      <c r="B690" s="166"/>
      <c r="C690" s="945"/>
      <c r="D690" s="945"/>
      <c r="E690" s="997"/>
      <c r="F690" s="998"/>
      <c r="G690" s="997">
        <f>+VLOOKUP(Data_Validation!$A690,BV_Data_An_Cour!$L:$Q,6,0)</f>
        <v>0</v>
      </c>
      <c r="H690" s="165"/>
    </row>
    <row r="691" spans="1:11" ht="15" customHeight="1">
      <c r="A691" s="167"/>
      <c r="B691" s="166"/>
      <c r="C691" s="945"/>
      <c r="D691" s="945"/>
      <c r="E691" s="997"/>
      <c r="F691" s="998"/>
      <c r="G691" s="997">
        <f>+VLOOKUP(Data_Validation!$A691,BV_Data_An_Cour!$L:$Q,6,0)</f>
        <v>0</v>
      </c>
      <c r="H691" s="165"/>
    </row>
    <row r="692" spans="1:11" ht="15" customHeight="1">
      <c r="A692" s="167"/>
      <c r="B692" s="166"/>
      <c r="C692" s="945"/>
      <c r="D692" s="945"/>
      <c r="E692" s="997"/>
      <c r="F692" s="998"/>
      <c r="G692" s="997">
        <f>+VLOOKUP(Data_Validation!$A692,BV_Data_An_Cour!$L:$Q,6,0)</f>
        <v>0</v>
      </c>
      <c r="H692" s="165"/>
    </row>
    <row r="693" spans="1:11" ht="15" customHeight="1">
      <c r="A693" s="167"/>
      <c r="B693" s="166"/>
      <c r="C693" s="945"/>
      <c r="D693" s="945"/>
      <c r="E693" s="997"/>
      <c r="F693" s="998"/>
      <c r="G693" s="997">
        <f>+VLOOKUP(Data_Validation!$A693,BV_Data_An_Cour!$L:$Q,6,0)</f>
        <v>0</v>
      </c>
      <c r="H693" s="165"/>
    </row>
    <row r="694" spans="1:11" ht="15" customHeight="1">
      <c r="A694" s="167"/>
      <c r="B694" s="166"/>
      <c r="C694" s="945"/>
      <c r="D694" s="945"/>
      <c r="E694" s="997"/>
      <c r="F694" s="998"/>
      <c r="G694" s="997">
        <f>+VLOOKUP(Data_Validation!$A694,BV_Data_An_Cour!$L:$Q,6,0)</f>
        <v>0</v>
      </c>
      <c r="H694" s="165"/>
    </row>
    <row r="695" spans="1:11" ht="15" customHeight="1">
      <c r="A695" s="167"/>
      <c r="B695" s="166"/>
      <c r="C695" s="945"/>
      <c r="D695" s="945"/>
      <c r="E695" s="997"/>
      <c r="F695" s="998"/>
      <c r="G695" s="997">
        <f>+VLOOKUP(Data_Validation!$A695,BV_Data_An_Cour!$L:$Q,6,0)</f>
        <v>0</v>
      </c>
      <c r="H695" s="165"/>
    </row>
    <row r="696" spans="1:11" ht="15" customHeight="1">
      <c r="A696" s="167"/>
      <c r="B696" s="166"/>
      <c r="C696" s="945"/>
      <c r="D696" s="945"/>
      <c r="E696" s="997"/>
      <c r="F696" s="998"/>
      <c r="G696" s="997">
        <f>+VLOOKUP(Data_Validation!$A696,BV_Data_An_Cour!$L:$Q,6,0)</f>
        <v>0</v>
      </c>
      <c r="H696" s="165"/>
    </row>
    <row r="697" spans="1:11" ht="15" customHeight="1">
      <c r="A697" s="167"/>
      <c r="B697" s="1018"/>
      <c r="C697" s="1010"/>
      <c r="D697" s="945"/>
      <c r="E697" s="997"/>
      <c r="F697" s="998"/>
      <c r="G697" s="997">
        <f>+VLOOKUP(Data_Validation!$A697,BV_Data_An_Cour!$L:$Q,6,0)</f>
        <v>0</v>
      </c>
      <c r="H697" s="165"/>
    </row>
    <row r="698" spans="1:11" ht="15" customHeight="1">
      <c r="A698" s="167"/>
      <c r="B698" s="166"/>
      <c r="C698" s="945"/>
      <c r="D698" s="945"/>
      <c r="E698" s="997"/>
      <c r="F698" s="998"/>
      <c r="G698" s="997">
        <f>+VLOOKUP(Data_Validation!$A698,BV_Data_An_Cour!$L:$Q,6,0)</f>
        <v>0</v>
      </c>
      <c r="H698" s="165"/>
    </row>
    <row r="699" spans="1:11" ht="15" customHeight="1">
      <c r="A699" s="167"/>
      <c r="B699" s="166"/>
      <c r="C699" s="945"/>
      <c r="D699" s="945"/>
      <c r="E699" s="997"/>
      <c r="F699" s="998"/>
      <c r="G699" s="997">
        <f>+VLOOKUP(Data_Validation!$A699,BV_Data_An_Cour!$L:$Q,6,0)</f>
        <v>0</v>
      </c>
      <c r="H699" s="165"/>
    </row>
    <row r="700" spans="1:11" ht="15" customHeight="1">
      <c r="A700" s="167"/>
      <c r="B700" s="166"/>
      <c r="C700" s="945"/>
      <c r="D700" s="945"/>
      <c r="E700" s="997"/>
      <c r="F700" s="998"/>
      <c r="G700" s="997">
        <f>+VLOOKUP(Data_Validation!$A700,BV_Data_An_Cour!$L:$Q,6,0)</f>
        <v>0</v>
      </c>
      <c r="H700" s="165"/>
    </row>
    <row r="701" spans="1:11" ht="15" customHeight="1">
      <c r="A701" s="167"/>
      <c r="B701" s="166"/>
      <c r="C701" s="945"/>
      <c r="D701" s="945"/>
      <c r="E701" s="997"/>
      <c r="F701" s="998"/>
      <c r="G701" s="997">
        <f>+VLOOKUP(Data_Validation!$A701,BV_Data_An_Cour!$L:$Q,6,0)</f>
        <v>0</v>
      </c>
      <c r="H701" s="165"/>
    </row>
    <row r="702" spans="1:11" ht="15" customHeight="1">
      <c r="A702" s="167"/>
      <c r="B702" s="166"/>
      <c r="C702" s="945"/>
      <c r="D702" s="945"/>
      <c r="E702" s="997"/>
      <c r="F702" s="998"/>
      <c r="G702" s="997">
        <f>+VLOOKUP(Data_Validation!$A702,BV_Data_An_Cour!$L:$Q,6,0)</f>
        <v>0</v>
      </c>
      <c r="H702" s="165"/>
    </row>
    <row r="703" spans="1:11" ht="15" customHeight="1">
      <c r="A703" s="167"/>
      <c r="B703" s="166"/>
      <c r="C703" s="945"/>
      <c r="D703" s="945"/>
      <c r="E703" s="997"/>
      <c r="F703" s="998"/>
      <c r="G703" s="997">
        <f>+VLOOKUP(Data_Validation!$A703,BV_Data_An_Cour!$L:$Q,6,0)</f>
        <v>0</v>
      </c>
      <c r="H703" s="165"/>
    </row>
    <row r="704" spans="1:11" ht="15" customHeight="1">
      <c r="A704" s="167"/>
      <c r="B704" s="166"/>
      <c r="C704" s="945"/>
      <c r="D704" s="945"/>
      <c r="E704" s="997"/>
      <c r="F704" s="998"/>
      <c r="G704" s="997">
        <f>+VLOOKUP(Data_Validation!$A704,BV_Data_An_Cour!$L:$Q,6,0)</f>
        <v>0</v>
      </c>
      <c r="H704" s="165"/>
      <c r="K704" s="2"/>
    </row>
    <row r="705" spans="1:11" ht="15" customHeight="1">
      <c r="A705" s="166"/>
      <c r="B705" s="166"/>
      <c r="C705" s="945"/>
      <c r="D705" s="945"/>
      <c r="E705" s="997"/>
      <c r="F705" s="998"/>
      <c r="G705" s="997">
        <f>+VLOOKUP(Data_Validation!$A705,BV_Data_An_Cour!$L:$Q,6,0)</f>
        <v>0</v>
      </c>
      <c r="H705" s="165"/>
    </row>
    <row r="706" spans="1:11" ht="15" customHeight="1">
      <c r="A706" s="167"/>
      <c r="B706" s="166"/>
      <c r="C706" s="945"/>
      <c r="D706" s="945"/>
      <c r="E706" s="997"/>
      <c r="F706" s="998"/>
      <c r="G706" s="997">
        <f>+VLOOKUP(Data_Validation!$A706,BV_Data_An_Cour!$L:$Q,6,0)</f>
        <v>0</v>
      </c>
      <c r="H706" s="165"/>
    </row>
    <row r="707" spans="1:11" ht="15" customHeight="1">
      <c r="A707" s="167"/>
      <c r="B707" s="166"/>
      <c r="C707" s="945"/>
      <c r="D707" s="945"/>
      <c r="E707" s="997"/>
      <c r="F707" s="998"/>
      <c r="G707" s="997">
        <f>+VLOOKUP(Data_Validation!$A707,BV_Data_An_Cour!$L:$Q,6,0)</f>
        <v>0</v>
      </c>
      <c r="H707" s="165"/>
    </row>
    <row r="708" spans="1:11" ht="15" customHeight="1">
      <c r="A708" s="167"/>
      <c r="B708" s="166"/>
      <c r="C708" s="945"/>
      <c r="D708" s="945"/>
      <c r="E708" s="997"/>
      <c r="F708" s="998"/>
      <c r="G708" s="997">
        <f>+VLOOKUP(Data_Validation!$A708,BV_Data_An_Cour!$L:$Q,6,0)</f>
        <v>0</v>
      </c>
      <c r="H708" s="165"/>
    </row>
    <row r="709" spans="1:11" ht="15" customHeight="1">
      <c r="A709" s="167"/>
      <c r="B709" s="166"/>
      <c r="C709" s="945"/>
      <c r="D709" s="945"/>
      <c r="E709" s="997"/>
      <c r="F709" s="998"/>
      <c r="G709" s="997">
        <f>+VLOOKUP(Data_Validation!$A709,BV_Data_An_Cour!$L:$Q,6,0)</f>
        <v>0</v>
      </c>
      <c r="H709" s="165"/>
    </row>
    <row r="710" spans="1:11" ht="15" customHeight="1">
      <c r="A710" s="167"/>
      <c r="B710" s="166"/>
      <c r="C710" s="945"/>
      <c r="D710" s="945"/>
      <c r="E710" s="997"/>
      <c r="F710" s="998"/>
      <c r="G710" s="997">
        <f>+VLOOKUP(Data_Validation!$A710,BV_Data_An_Cour!$L:$Q,6,0)</f>
        <v>0</v>
      </c>
      <c r="H710" s="165"/>
    </row>
    <row r="711" spans="1:11" ht="15" customHeight="1">
      <c r="A711" s="167"/>
      <c r="B711" s="166"/>
      <c r="C711" s="945"/>
      <c r="D711" s="945"/>
      <c r="E711" s="997"/>
      <c r="F711" s="998"/>
      <c r="G711" s="997">
        <f>+VLOOKUP(Data_Validation!$A711,BV_Data_An_Cour!$L:$Q,6,0)</f>
        <v>0</v>
      </c>
      <c r="H711" s="165"/>
    </row>
    <row r="712" spans="1:11" ht="15" customHeight="1">
      <c r="A712" s="167"/>
      <c r="B712" s="166"/>
      <c r="C712" s="945"/>
      <c r="D712" s="945"/>
      <c r="E712" s="997"/>
      <c r="F712" s="998"/>
      <c r="G712" s="997">
        <f>+VLOOKUP(Data_Validation!$A712,BV_Data_An_Cour!$L:$Q,6,0)</f>
        <v>0</v>
      </c>
      <c r="H712" s="165"/>
    </row>
    <row r="713" spans="1:11" ht="15" customHeight="1">
      <c r="A713" s="167"/>
      <c r="B713" s="166"/>
      <c r="C713" s="945"/>
      <c r="D713" s="945"/>
      <c r="E713" s="997"/>
      <c r="F713" s="998"/>
      <c r="G713" s="997">
        <f>+VLOOKUP(Data_Validation!$A713,BV_Data_An_Cour!$L:$Q,6,0)</f>
        <v>0</v>
      </c>
      <c r="H713" s="165"/>
    </row>
    <row r="714" spans="1:11" ht="15" customHeight="1">
      <c r="A714" s="167"/>
      <c r="B714" s="166"/>
      <c r="C714" s="945"/>
      <c r="D714" s="945"/>
      <c r="E714" s="997"/>
      <c r="F714" s="998"/>
      <c r="G714" s="997">
        <f>+VLOOKUP(Data_Validation!$A714,BV_Data_An_Cour!$L:$Q,6,0)</f>
        <v>0</v>
      </c>
      <c r="H714" s="165"/>
    </row>
    <row r="715" spans="1:11" ht="15" customHeight="1">
      <c r="A715" s="167"/>
      <c r="B715" s="166"/>
      <c r="C715" s="945"/>
      <c r="D715" s="945"/>
      <c r="E715" s="997"/>
      <c r="F715" s="998"/>
      <c r="G715" s="997">
        <f>+VLOOKUP(Data_Validation!$A715,BV_Data_An_Cour!$L:$Q,6,0)</f>
        <v>0</v>
      </c>
      <c r="H715" s="165"/>
    </row>
    <row r="716" spans="1:11" ht="15" customHeight="1">
      <c r="A716" s="167"/>
      <c r="B716" s="166"/>
      <c r="C716" s="945"/>
      <c r="D716" s="945"/>
      <c r="E716" s="997"/>
      <c r="F716" s="998"/>
      <c r="G716" s="997">
        <f>+VLOOKUP(Data_Validation!$A716,BV_Data_An_Cour!$L:$Q,6,0)</f>
        <v>0</v>
      </c>
      <c r="H716" s="165"/>
    </row>
    <row r="717" spans="1:11" ht="15" customHeight="1">
      <c r="A717" s="167"/>
      <c r="B717" s="166"/>
      <c r="C717" s="945"/>
      <c r="D717" s="945"/>
      <c r="E717" s="997"/>
      <c r="F717" s="998"/>
      <c r="G717" s="997">
        <f>+VLOOKUP(Data_Validation!$A717,BV_Data_An_Cour!$L:$Q,6,0)</f>
        <v>0</v>
      </c>
      <c r="H717" s="165"/>
      <c r="K717" s="2"/>
    </row>
    <row r="718" spans="1:11" ht="15" customHeight="1">
      <c r="A718" s="167"/>
      <c r="B718" s="166"/>
      <c r="C718" s="945"/>
      <c r="D718" s="945"/>
      <c r="E718" s="997"/>
      <c r="F718" s="998"/>
      <c r="G718" s="997">
        <f>+VLOOKUP(Data_Validation!$A718,BV_Data_An_Cour!$L:$Q,6,0)</f>
        <v>0</v>
      </c>
      <c r="H718" s="165"/>
    </row>
    <row r="719" spans="1:11" ht="15" customHeight="1">
      <c r="A719" s="167"/>
      <c r="B719" s="166"/>
      <c r="C719" s="945"/>
      <c r="D719" s="945"/>
      <c r="E719" s="997"/>
      <c r="F719" s="998"/>
      <c r="G719" s="997">
        <f>+VLOOKUP(Data_Validation!$A719,BV_Data_An_Cour!$L:$Q,6,0)</f>
        <v>0</v>
      </c>
      <c r="H719" s="165"/>
      <c r="K719" s="2"/>
    </row>
    <row r="720" spans="1:11" ht="15" customHeight="1">
      <c r="A720" s="167"/>
      <c r="B720" s="166"/>
      <c r="C720" s="945"/>
      <c r="D720" s="945"/>
      <c r="E720" s="997"/>
      <c r="F720" s="998"/>
      <c r="G720" s="997">
        <f>+VLOOKUP(Data_Validation!$A720,BV_Data_An_Cour!$L:$Q,6,0)</f>
        <v>0</v>
      </c>
      <c r="H720" s="165"/>
    </row>
    <row r="721" spans="1:29" ht="15" customHeight="1">
      <c r="A721" s="167"/>
      <c r="B721" s="166"/>
      <c r="C721" s="945"/>
      <c r="D721" s="945"/>
      <c r="E721" s="997"/>
      <c r="F721" s="998"/>
      <c r="G721" s="997">
        <f>+VLOOKUP(Data_Validation!$A721,BV_Data_An_Cour!$L:$Q,6,0)</f>
        <v>0</v>
      </c>
      <c r="H721" s="165"/>
    </row>
    <row r="722" spans="1:29" ht="15" customHeight="1">
      <c r="A722" s="167"/>
      <c r="B722" s="166"/>
      <c r="C722" s="945"/>
      <c r="D722" s="945"/>
      <c r="E722" s="997"/>
      <c r="F722" s="998"/>
      <c r="G722" s="997">
        <f>+VLOOKUP(Data_Validation!$A722,BV_Data_An_Cour!$L:$Q,6,0)</f>
        <v>0</v>
      </c>
      <c r="H722" s="165"/>
    </row>
    <row r="723" spans="1:29" ht="15" customHeight="1">
      <c r="A723" s="167"/>
      <c r="B723" s="166"/>
      <c r="C723" s="945"/>
      <c r="D723" s="945"/>
      <c r="E723" s="997"/>
      <c r="F723" s="998"/>
      <c r="G723" s="997">
        <f>+VLOOKUP(Data_Validation!$A723,BV_Data_An_Cour!$L:$Q,6,0)</f>
        <v>0</v>
      </c>
      <c r="H723" s="165"/>
    </row>
    <row r="724" spans="1:29" ht="15" customHeight="1">
      <c r="A724" s="167"/>
      <c r="B724" s="166"/>
      <c r="C724" s="945"/>
      <c r="D724" s="945"/>
      <c r="E724" s="997"/>
      <c r="F724" s="998"/>
      <c r="G724" s="997">
        <f>+VLOOKUP(Data_Validation!$A724,BV_Data_An_Cour!$L:$Q,6,0)</f>
        <v>0</v>
      </c>
      <c r="H724" s="165"/>
    </row>
    <row r="725" spans="1:29" ht="15" customHeight="1">
      <c r="A725" s="167"/>
      <c r="B725" s="166"/>
      <c r="C725" s="945"/>
      <c r="D725" s="945"/>
      <c r="E725" s="997"/>
      <c r="F725" s="998"/>
      <c r="G725" s="997">
        <f>+VLOOKUP(Data_Validation!$A725,BV_Data_An_Cour!$L:$Q,6,0)</f>
        <v>0</v>
      </c>
      <c r="H725" s="165"/>
    </row>
    <row r="726" spans="1:29" ht="15" customHeight="1">
      <c r="A726" s="167"/>
      <c r="B726" s="166"/>
      <c r="C726" s="945"/>
      <c r="D726" s="945"/>
      <c r="E726" s="997"/>
      <c r="F726" s="998"/>
      <c r="G726" s="997">
        <f>+VLOOKUP(Data_Validation!$A726,BV_Data_An_Cour!$L:$Q,6,0)</f>
        <v>0</v>
      </c>
      <c r="H726" s="165"/>
      <c r="I726" s="2"/>
      <c r="J726" s="2"/>
      <c r="L726" s="2"/>
      <c r="M726" s="2"/>
      <c r="N726" s="2"/>
      <c r="O726" s="2"/>
      <c r="P726" s="2"/>
      <c r="Q726" s="2"/>
      <c r="R726" s="2"/>
      <c r="S726" s="2"/>
      <c r="T726" s="2"/>
      <c r="U726" s="2"/>
      <c r="V726" s="2"/>
      <c r="W726" s="2"/>
      <c r="X726" s="2"/>
      <c r="Y726" s="2"/>
      <c r="Z726" s="2"/>
      <c r="AA726" s="2"/>
      <c r="AB726" s="2"/>
      <c r="AC726" s="2"/>
    </row>
    <row r="727" spans="1:29" ht="15" customHeight="1">
      <c r="A727" s="167"/>
      <c r="B727" s="166"/>
      <c r="C727" s="945"/>
      <c r="D727" s="945"/>
      <c r="E727" s="997"/>
      <c r="F727" s="998"/>
      <c r="G727" s="997">
        <f>+VLOOKUP(Data_Validation!$A727,BV_Data_An_Cour!$L:$Q,6,0)</f>
        <v>0</v>
      </c>
      <c r="H727" s="165"/>
    </row>
    <row r="728" spans="1:29" ht="15" customHeight="1">
      <c r="A728" s="167"/>
      <c r="B728" s="166"/>
      <c r="C728" s="945"/>
      <c r="D728" s="945"/>
      <c r="E728" s="997"/>
      <c r="F728" s="998"/>
      <c r="G728" s="997">
        <f>+VLOOKUP(Data_Validation!$A728,BV_Data_An_Cour!$L:$Q,6,0)</f>
        <v>0</v>
      </c>
      <c r="H728" s="165"/>
    </row>
    <row r="729" spans="1:29" ht="15" customHeight="1">
      <c r="A729" s="167"/>
      <c r="B729" s="166"/>
      <c r="C729" s="945"/>
      <c r="D729" s="945"/>
      <c r="E729" s="997"/>
      <c r="F729" s="998"/>
      <c r="G729" s="997">
        <f>+VLOOKUP(Data_Validation!$A729,BV_Data_An_Cour!$L:$Q,6,0)</f>
        <v>0</v>
      </c>
      <c r="H729" s="165"/>
    </row>
    <row r="730" spans="1:29" ht="15" customHeight="1">
      <c r="A730" s="167"/>
      <c r="B730" s="166"/>
      <c r="C730" s="945"/>
      <c r="D730" s="945"/>
      <c r="E730" s="997"/>
      <c r="F730" s="998"/>
      <c r="G730" s="997">
        <f>+VLOOKUP(Data_Validation!$A730,BV_Data_An_Cour!$L:$Q,6,0)</f>
        <v>0</v>
      </c>
      <c r="H730" s="165"/>
    </row>
    <row r="731" spans="1:29" ht="15" customHeight="1">
      <c r="A731" s="167"/>
      <c r="B731" s="166"/>
      <c r="C731" s="945"/>
      <c r="D731" s="945"/>
      <c r="E731" s="997"/>
      <c r="F731" s="998"/>
      <c r="G731" s="997">
        <f>+VLOOKUP(Data_Validation!$A731,BV_Data_An_Cour!$L:$Q,6,0)</f>
        <v>0</v>
      </c>
      <c r="H731" s="165"/>
    </row>
    <row r="732" spans="1:29" ht="15" customHeight="1">
      <c r="A732" s="167"/>
      <c r="B732" s="166"/>
      <c r="C732" s="945"/>
      <c r="D732" s="945"/>
      <c r="E732" s="997"/>
      <c r="F732" s="998"/>
      <c r="G732" s="997">
        <f>+VLOOKUP(Data_Validation!$A732,BV_Data_An_Cour!$L:$Q,6,0)</f>
        <v>0</v>
      </c>
      <c r="H732" s="165"/>
    </row>
    <row r="733" spans="1:29" ht="15" customHeight="1">
      <c r="A733" s="167"/>
      <c r="B733" s="166"/>
      <c r="C733" s="945"/>
      <c r="D733" s="945"/>
      <c r="E733" s="997"/>
      <c r="F733" s="998"/>
      <c r="G733" s="997">
        <f>+VLOOKUP(Data_Validation!$A733,BV_Data_An_Cour!$L:$Q,6,0)</f>
        <v>0</v>
      </c>
      <c r="H733" s="165"/>
    </row>
    <row r="734" spans="1:29" ht="15" customHeight="1">
      <c r="A734" s="167"/>
      <c r="B734" s="166"/>
      <c r="C734" s="945"/>
      <c r="D734" s="945"/>
      <c r="E734" s="997"/>
      <c r="F734" s="998"/>
      <c r="G734" s="997">
        <f>+VLOOKUP(Data_Validation!$A734,BV_Data_An_Cour!$L:$Q,6,0)</f>
        <v>0</v>
      </c>
      <c r="H734" s="165"/>
    </row>
    <row r="735" spans="1:29" ht="15" customHeight="1">
      <c r="A735" s="167"/>
      <c r="B735" s="166"/>
      <c r="C735" s="945"/>
      <c r="D735" s="945"/>
      <c r="E735" s="997"/>
      <c r="F735" s="998"/>
      <c r="G735" s="997">
        <f>+VLOOKUP(Data_Validation!$A735,BV_Data_An_Cour!$L:$Q,6,0)</f>
        <v>0</v>
      </c>
      <c r="H735" s="165"/>
    </row>
    <row r="736" spans="1:29" ht="15" customHeight="1">
      <c r="A736" s="167"/>
      <c r="B736" s="166"/>
      <c r="C736" s="945"/>
      <c r="D736" s="945"/>
      <c r="E736" s="997"/>
      <c r="F736" s="998"/>
      <c r="G736" s="997">
        <f>+VLOOKUP(Data_Validation!$A736,BV_Data_An_Cour!$L:$Q,6,0)</f>
        <v>0</v>
      </c>
      <c r="H736" s="165"/>
    </row>
    <row r="737" spans="1:8" ht="15" customHeight="1">
      <c r="A737" s="167"/>
      <c r="B737" s="166"/>
      <c r="C737" s="945"/>
      <c r="D737" s="945"/>
      <c r="E737" s="997"/>
      <c r="F737" s="998"/>
      <c r="G737" s="997">
        <f>+VLOOKUP(Data_Validation!$A737,BV_Data_An_Cour!$L:$Q,6,0)</f>
        <v>0</v>
      </c>
      <c r="H737" s="165"/>
    </row>
    <row r="738" spans="1:8" ht="15" customHeight="1">
      <c r="A738" s="167"/>
      <c r="B738" s="166"/>
      <c r="C738" s="945"/>
      <c r="D738" s="945"/>
      <c r="E738" s="997"/>
      <c r="F738" s="998"/>
      <c r="G738" s="997">
        <f>+VLOOKUP(Data_Validation!$A738,BV_Data_An_Cour!$L:$Q,6,0)</f>
        <v>0</v>
      </c>
      <c r="H738" s="165"/>
    </row>
    <row r="739" spans="1:8" ht="15" customHeight="1">
      <c r="A739" s="167"/>
      <c r="B739" s="166"/>
      <c r="C739" s="945"/>
      <c r="D739" s="945"/>
      <c r="E739" s="997"/>
      <c r="F739" s="998"/>
      <c r="G739" s="997">
        <f>+VLOOKUP(Data_Validation!$A739,BV_Data_An_Cour!$L:$Q,6,0)</f>
        <v>0</v>
      </c>
      <c r="H739" s="165"/>
    </row>
    <row r="740" spans="1:8" ht="15" customHeight="1">
      <c r="A740" s="167"/>
      <c r="B740" s="166"/>
      <c r="C740" s="945"/>
      <c r="D740" s="945"/>
      <c r="E740" s="997"/>
      <c r="F740" s="998"/>
      <c r="G740" s="997">
        <f>+VLOOKUP(Data_Validation!$A740,BV_Data_An_Cour!$L:$Q,6,0)</f>
        <v>0</v>
      </c>
      <c r="H740" s="165"/>
    </row>
    <row r="741" spans="1:8" ht="15" customHeight="1">
      <c r="A741" s="167"/>
      <c r="B741" s="166"/>
      <c r="C741" s="945"/>
      <c r="D741" s="945"/>
      <c r="E741" s="997"/>
      <c r="F741" s="998"/>
      <c r="G741" s="997">
        <f>+VLOOKUP(Data_Validation!$A741,BV_Data_An_Cour!$L:$Q,6,0)</f>
        <v>0</v>
      </c>
      <c r="H741" s="165"/>
    </row>
    <row r="742" spans="1:8" ht="15" customHeight="1">
      <c r="A742" s="166"/>
      <c r="B742" s="166"/>
      <c r="C742" s="945"/>
      <c r="D742" s="945"/>
      <c r="E742" s="997"/>
      <c r="F742" s="998"/>
      <c r="G742" s="997">
        <f>+VLOOKUP(Data_Validation!$A742,BV_Data_An_Cour!$L:$Q,6,0)</f>
        <v>0</v>
      </c>
      <c r="H742" s="165"/>
    </row>
    <row r="743" spans="1:8" ht="15" customHeight="1">
      <c r="A743" s="167"/>
      <c r="B743" s="166"/>
      <c r="C743" s="945"/>
      <c r="D743" s="945"/>
      <c r="E743" s="997"/>
      <c r="F743" s="998"/>
      <c r="G743" s="997">
        <f>+VLOOKUP(Data_Validation!$A743,BV_Data_An_Cour!$L:$Q,6,0)</f>
        <v>0</v>
      </c>
      <c r="H743" s="165"/>
    </row>
    <row r="744" spans="1:8" ht="15" customHeight="1">
      <c r="A744" s="167"/>
      <c r="B744" s="166"/>
      <c r="C744" s="945"/>
      <c r="D744" s="945"/>
      <c r="E744" s="997"/>
      <c r="F744" s="998"/>
      <c r="G744" s="997">
        <f>+VLOOKUP(Data_Validation!$A744,BV_Data_An_Cour!$L:$Q,6,0)</f>
        <v>0</v>
      </c>
      <c r="H744" s="165"/>
    </row>
    <row r="745" spans="1:8" ht="15" customHeight="1">
      <c r="A745" s="167"/>
      <c r="B745" s="166"/>
      <c r="C745" s="945"/>
      <c r="D745" s="945"/>
      <c r="E745" s="997"/>
      <c r="F745" s="998"/>
      <c r="G745" s="997">
        <f>+VLOOKUP(Data_Validation!$A745,BV_Data_An_Cour!$L:$Q,6,0)</f>
        <v>0</v>
      </c>
      <c r="H745" s="165"/>
    </row>
    <row r="746" spans="1:8" ht="15" customHeight="1">
      <c r="A746" s="167"/>
      <c r="B746" s="166"/>
      <c r="C746" s="945"/>
      <c r="D746" s="945"/>
      <c r="E746" s="997"/>
      <c r="F746" s="998"/>
      <c r="G746" s="997">
        <f>+VLOOKUP(Data_Validation!$A746,BV_Data_An_Cour!$L:$Q,6,0)</f>
        <v>0</v>
      </c>
      <c r="H746" s="165"/>
    </row>
    <row r="747" spans="1:8" ht="15" customHeight="1">
      <c r="A747" s="167"/>
      <c r="B747" s="166"/>
      <c r="C747" s="945"/>
      <c r="D747" s="945"/>
      <c r="E747" s="997"/>
      <c r="F747" s="998"/>
      <c r="G747" s="997">
        <f>+VLOOKUP(Data_Validation!$A747,BV_Data_An_Cour!$L:$Q,6,0)</f>
        <v>0</v>
      </c>
      <c r="H747" s="165"/>
    </row>
    <row r="748" spans="1:8" ht="15" customHeight="1">
      <c r="A748" s="167"/>
      <c r="B748" s="166"/>
      <c r="C748" s="945"/>
      <c r="D748" s="945"/>
      <c r="E748" s="997"/>
      <c r="F748" s="998"/>
      <c r="G748" s="997">
        <f>+VLOOKUP(Data_Validation!$A748,BV_Data_An_Cour!$L:$Q,6,0)</f>
        <v>0</v>
      </c>
      <c r="H748" s="165"/>
    </row>
    <row r="749" spans="1:8" ht="15" customHeight="1">
      <c r="A749" s="167"/>
      <c r="B749" s="166"/>
      <c r="C749" s="945"/>
      <c r="D749" s="945"/>
      <c r="E749" s="997"/>
      <c r="F749" s="998"/>
      <c r="G749" s="997">
        <f>+VLOOKUP(Data_Validation!$A749,BV_Data_An_Cour!$L:$Q,6,0)</f>
        <v>0</v>
      </c>
      <c r="H749" s="165"/>
    </row>
    <row r="750" spans="1:8" ht="15" customHeight="1">
      <c r="A750" s="167"/>
      <c r="B750" s="166"/>
      <c r="C750" s="945"/>
      <c r="D750" s="945"/>
      <c r="E750" s="997"/>
      <c r="F750" s="998"/>
      <c r="G750" s="997">
        <f>+VLOOKUP(Data_Validation!$A750,BV_Data_An_Cour!$L:$Q,6,0)</f>
        <v>0</v>
      </c>
      <c r="H750" s="165"/>
    </row>
    <row r="751" spans="1:8" ht="15" customHeight="1">
      <c r="A751" s="167"/>
      <c r="B751" s="166"/>
      <c r="C751" s="945"/>
      <c r="D751" s="945"/>
      <c r="E751" s="997"/>
      <c r="F751" s="998"/>
      <c r="G751" s="997">
        <f>+VLOOKUP(Data_Validation!$A751,BV_Data_An_Cour!$L:$Q,6,0)</f>
        <v>0</v>
      </c>
      <c r="H751" s="165"/>
    </row>
    <row r="752" spans="1:8" ht="15" customHeight="1">
      <c r="A752" s="167"/>
      <c r="B752" s="166"/>
      <c r="C752" s="945"/>
      <c r="D752" s="945"/>
      <c r="E752" s="997"/>
      <c r="F752" s="998"/>
      <c r="G752" s="997">
        <f>+VLOOKUP(Data_Validation!$A752,BV_Data_An_Cour!$L:$Q,6,0)</f>
        <v>0</v>
      </c>
      <c r="H752" s="165"/>
    </row>
    <row r="753" spans="1:29" ht="15" customHeight="1">
      <c r="A753" s="167"/>
      <c r="B753" s="166"/>
      <c r="C753" s="945"/>
      <c r="D753" s="945"/>
      <c r="E753" s="997"/>
      <c r="F753" s="998"/>
      <c r="G753" s="997">
        <f>+VLOOKUP(Data_Validation!$A753,BV_Data_An_Cour!$L:$Q,6,0)</f>
        <v>0</v>
      </c>
      <c r="H753" s="165"/>
    </row>
    <row r="754" spans="1:29" ht="15" customHeight="1">
      <c r="A754" s="167"/>
      <c r="B754" s="166"/>
      <c r="C754" s="945"/>
      <c r="D754" s="945"/>
      <c r="E754" s="997"/>
      <c r="F754" s="998"/>
      <c r="G754" s="997">
        <f>+VLOOKUP(Data_Validation!$A754,BV_Data_An_Cour!$L:$Q,6,0)</f>
        <v>0</v>
      </c>
      <c r="H754" s="165"/>
    </row>
    <row r="755" spans="1:29" ht="15" customHeight="1">
      <c r="A755" s="167"/>
      <c r="B755" s="166"/>
      <c r="C755" s="945"/>
      <c r="D755" s="945"/>
      <c r="E755" s="997"/>
      <c r="F755" s="998"/>
      <c r="G755" s="997">
        <f>+VLOOKUP(Data_Validation!$A755,BV_Data_An_Cour!$L:$Q,6,0)</f>
        <v>0</v>
      </c>
      <c r="H755" s="165"/>
    </row>
    <row r="756" spans="1:29" ht="15" customHeight="1">
      <c r="A756" s="167"/>
      <c r="B756" s="166"/>
      <c r="C756" s="945"/>
      <c r="D756" s="945"/>
      <c r="E756" s="997"/>
      <c r="F756" s="998"/>
      <c r="G756" s="997">
        <f>+VLOOKUP(Data_Validation!$A756,BV_Data_An_Cour!$L:$Q,6,0)</f>
        <v>0</v>
      </c>
      <c r="H756" s="165"/>
    </row>
    <row r="757" spans="1:29" ht="15" customHeight="1">
      <c r="A757" s="167"/>
      <c r="B757" s="166"/>
      <c r="C757" s="945"/>
      <c r="D757" s="945"/>
      <c r="E757" s="997"/>
      <c r="F757" s="998"/>
      <c r="G757" s="997">
        <f>+VLOOKUP(Data_Validation!$A757,BV_Data_An_Cour!$L:$Q,6,0)</f>
        <v>0</v>
      </c>
      <c r="H757" s="165"/>
    </row>
    <row r="758" spans="1:29" ht="15" customHeight="1">
      <c r="A758" s="167"/>
      <c r="B758" s="166"/>
      <c r="C758" s="945"/>
      <c r="D758" s="945"/>
      <c r="E758" s="997"/>
      <c r="F758" s="998"/>
      <c r="G758" s="997">
        <f>+VLOOKUP(Data_Validation!$A758,BV_Data_An_Cour!$L:$Q,6,0)</f>
        <v>0</v>
      </c>
      <c r="H758" s="165"/>
    </row>
    <row r="759" spans="1:29" ht="15" customHeight="1">
      <c r="A759" s="167"/>
      <c r="B759" s="166"/>
      <c r="C759" s="945"/>
      <c r="D759" s="945"/>
      <c r="E759" s="997"/>
      <c r="F759" s="998"/>
      <c r="G759" s="997">
        <f>+VLOOKUP(Data_Validation!$A759,BV_Data_An_Cour!$L:$Q,6,0)</f>
        <v>0</v>
      </c>
      <c r="H759" s="165"/>
    </row>
    <row r="760" spans="1:29" ht="15" customHeight="1">
      <c r="A760" s="167"/>
      <c r="B760" s="166"/>
      <c r="C760" s="945"/>
      <c r="D760" s="945"/>
      <c r="E760" s="997"/>
      <c r="F760" s="998"/>
      <c r="G760" s="997">
        <f>+VLOOKUP(Data_Validation!$A760,BV_Data_An_Cour!$L:$Q,6,0)</f>
        <v>0</v>
      </c>
      <c r="H760" s="165"/>
    </row>
    <row r="761" spans="1:29" ht="15" customHeight="1">
      <c r="A761" s="167"/>
      <c r="B761" s="166"/>
      <c r="C761" s="945"/>
      <c r="D761" s="945"/>
      <c r="E761" s="997"/>
      <c r="F761" s="998"/>
      <c r="G761" s="997">
        <f>+VLOOKUP(Data_Validation!$A761,BV_Data_An_Cour!$L:$Q,6,0)</f>
        <v>0</v>
      </c>
      <c r="H761" s="165"/>
    </row>
    <row r="762" spans="1:29" ht="15" customHeight="1">
      <c r="A762" s="167"/>
      <c r="B762" s="166"/>
      <c r="C762" s="945"/>
      <c r="D762" s="945"/>
      <c r="E762" s="997"/>
      <c r="F762" s="998"/>
      <c r="G762" s="997">
        <f>+VLOOKUP(Data_Validation!$A762,BV_Data_An_Cour!$L:$Q,6,0)</f>
        <v>0</v>
      </c>
      <c r="H762" s="165"/>
      <c r="I762" s="2"/>
      <c r="J762" s="2"/>
      <c r="L762" s="2"/>
      <c r="M762" s="2"/>
      <c r="N762" s="2"/>
      <c r="O762" s="2"/>
      <c r="P762" s="2"/>
      <c r="Q762" s="2"/>
      <c r="R762" s="2"/>
      <c r="S762" s="2"/>
      <c r="T762" s="2"/>
      <c r="U762" s="2"/>
      <c r="V762" s="2"/>
      <c r="W762" s="2"/>
      <c r="X762" s="2"/>
      <c r="Y762" s="2"/>
      <c r="Z762" s="2"/>
      <c r="AA762" s="2"/>
      <c r="AB762" s="2"/>
      <c r="AC762" s="2"/>
    </row>
    <row r="763" spans="1:29" ht="15" customHeight="1">
      <c r="A763" s="167"/>
      <c r="B763" s="166"/>
      <c r="C763" s="945"/>
      <c r="D763" s="945"/>
      <c r="E763" s="997"/>
      <c r="F763" s="998"/>
      <c r="G763" s="997">
        <f>+VLOOKUP(Data_Validation!$A763,BV_Data_An_Cour!$L:$Q,6,0)</f>
        <v>0</v>
      </c>
      <c r="H763" s="165"/>
    </row>
    <row r="764" spans="1:29" ht="15" customHeight="1">
      <c r="A764" s="167"/>
      <c r="B764" s="571"/>
      <c r="C764" s="945"/>
      <c r="D764" s="945"/>
      <c r="E764" s="997"/>
      <c r="F764" s="998"/>
      <c r="G764" s="997">
        <f>+VLOOKUP(Data_Validation!$A764,BV_Data_An_Cour!$L:$Q,6,0)</f>
        <v>0</v>
      </c>
      <c r="H764" s="165"/>
    </row>
    <row r="765" spans="1:29" ht="15" customHeight="1">
      <c r="A765" s="167"/>
      <c r="B765" s="166"/>
      <c r="C765" s="945"/>
      <c r="D765" s="945"/>
      <c r="E765" s="997"/>
      <c r="F765" s="998"/>
      <c r="G765" s="997">
        <f>+VLOOKUP(Data_Validation!$A765,BV_Data_An_Cour!$L:$Q,6,0)</f>
        <v>0</v>
      </c>
      <c r="H765" s="165"/>
    </row>
    <row r="766" spans="1:29" ht="15" customHeight="1">
      <c r="A766" s="167"/>
      <c r="B766" s="166"/>
      <c r="C766" s="945"/>
      <c r="D766" s="945"/>
      <c r="E766" s="997"/>
      <c r="F766" s="998"/>
      <c r="G766" s="997">
        <f>+VLOOKUP(Data_Validation!$A766,BV_Data_An_Cour!$L:$Q,6,0)</f>
        <v>0</v>
      </c>
      <c r="H766" s="165"/>
    </row>
    <row r="767" spans="1:29" ht="15" customHeight="1">
      <c r="A767" s="167"/>
      <c r="B767" s="166"/>
      <c r="C767" s="945"/>
      <c r="D767" s="945"/>
      <c r="E767" s="997"/>
      <c r="F767" s="998"/>
      <c r="G767" s="997">
        <f>+VLOOKUP(Data_Validation!$A767,BV_Data_An_Cour!$L:$Q,6,0)</f>
        <v>0</v>
      </c>
      <c r="H767" s="165"/>
    </row>
    <row r="768" spans="1:29" ht="15" customHeight="1">
      <c r="A768" s="167"/>
      <c r="B768" s="166"/>
      <c r="C768" s="945"/>
      <c r="D768" s="945"/>
      <c r="E768" s="997"/>
      <c r="F768" s="998"/>
      <c r="G768" s="997">
        <f>+VLOOKUP(Data_Validation!$A768,BV_Data_An_Cour!$L:$Q,6,0)</f>
        <v>0</v>
      </c>
      <c r="H768" s="165"/>
    </row>
    <row r="769" spans="1:29" ht="15" customHeight="1">
      <c r="A769" s="167"/>
      <c r="B769" s="166"/>
      <c r="C769" s="945"/>
      <c r="D769" s="945"/>
      <c r="E769" s="997"/>
      <c r="F769" s="998"/>
      <c r="G769" s="997">
        <f>+VLOOKUP(Data_Validation!$A769,BV_Data_An_Cour!$L:$Q,6,0)</f>
        <v>0</v>
      </c>
      <c r="H769" s="165"/>
      <c r="K769" s="2"/>
    </row>
    <row r="770" spans="1:29" ht="15" customHeight="1">
      <c r="A770" s="167"/>
      <c r="B770" s="166"/>
      <c r="C770" s="945"/>
      <c r="D770" s="945"/>
      <c r="E770" s="997"/>
      <c r="F770" s="998"/>
      <c r="G770" s="997">
        <f>+VLOOKUP(Data_Validation!$A770,BV_Data_An_Cour!$L:$Q,6,0)</f>
        <v>0</v>
      </c>
      <c r="H770" s="165"/>
    </row>
    <row r="771" spans="1:29" ht="15" customHeight="1">
      <c r="A771" s="167"/>
      <c r="B771" s="166"/>
      <c r="C771" s="945"/>
      <c r="D771" s="945"/>
      <c r="E771" s="997"/>
      <c r="F771" s="998"/>
      <c r="G771" s="997">
        <f>+VLOOKUP(Data_Validation!$A771,BV_Data_An_Cour!$L:$Q,6,0)</f>
        <v>0</v>
      </c>
      <c r="H771" s="165"/>
    </row>
    <row r="772" spans="1:29" ht="15" customHeight="1">
      <c r="A772" s="167"/>
      <c r="B772" s="166"/>
      <c r="C772" s="945"/>
      <c r="D772" s="945"/>
      <c r="E772" s="997"/>
      <c r="F772" s="998"/>
      <c r="G772" s="997">
        <f>+VLOOKUP(Data_Validation!$A772,BV_Data_An_Cour!$L:$Q,6,0)</f>
        <v>0</v>
      </c>
      <c r="H772" s="165"/>
    </row>
    <row r="773" spans="1:29" ht="15" customHeight="1">
      <c r="A773" s="167"/>
      <c r="B773" s="166"/>
      <c r="C773" s="945"/>
      <c r="D773" s="945"/>
      <c r="E773" s="997"/>
      <c r="F773" s="998"/>
      <c r="G773" s="997">
        <f>+VLOOKUP(Data_Validation!$A773,BV_Data_An_Cour!$L:$Q,6,0)</f>
        <v>0</v>
      </c>
      <c r="H773" s="165"/>
    </row>
    <row r="774" spans="1:29" ht="15" customHeight="1">
      <c r="A774" s="167"/>
      <c r="B774" s="166"/>
      <c r="C774" s="945"/>
      <c r="D774" s="945"/>
      <c r="E774" s="997"/>
      <c r="F774" s="998"/>
      <c r="G774" s="997">
        <f>+VLOOKUP(Data_Validation!$A774,BV_Data_An_Cour!$L:$Q,6,0)</f>
        <v>0</v>
      </c>
    </row>
    <row r="775" spans="1:29" ht="15" customHeight="1">
      <c r="A775" s="166"/>
      <c r="B775" s="166"/>
      <c r="C775" s="945"/>
      <c r="D775" s="945"/>
      <c r="E775" s="997"/>
      <c r="F775" s="998"/>
      <c r="G775" s="997">
        <f>+VLOOKUP(Data_Validation!$A775,BV_Data_An_Cour!$L:$Q,6,0)</f>
        <v>0</v>
      </c>
    </row>
    <row r="776" spans="1:29" ht="15" customHeight="1">
      <c r="A776" s="166"/>
      <c r="B776" s="166"/>
      <c r="C776" s="945"/>
      <c r="D776" s="945"/>
      <c r="E776" s="997"/>
      <c r="F776" s="998"/>
      <c r="G776" s="997">
        <f>+VLOOKUP(Data_Validation!$A776,BV_Data_An_Cour!$L:$Q,6,0)</f>
        <v>0</v>
      </c>
      <c r="H776" s="165"/>
    </row>
    <row r="777" spans="1:29" ht="15" customHeight="1">
      <c r="A777" s="167"/>
      <c r="B777" s="166"/>
      <c r="C777" s="945"/>
      <c r="D777" s="945"/>
      <c r="E777" s="997"/>
      <c r="F777" s="998"/>
      <c r="G777" s="997">
        <f>+VLOOKUP(Data_Validation!$A777,BV_Data_An_Cour!$L:$Q,6,0)</f>
        <v>0</v>
      </c>
      <c r="H777" s="165"/>
    </row>
    <row r="778" spans="1:29" ht="15" customHeight="1">
      <c r="A778" s="167"/>
      <c r="B778" s="166"/>
      <c r="C778" s="945"/>
      <c r="D778" s="945"/>
      <c r="E778" s="997"/>
      <c r="F778" s="998"/>
      <c r="G778" s="997">
        <f>+VLOOKUP(Data_Validation!$A778,BV_Data_An_Cour!$L:$Q,6,0)</f>
        <v>0</v>
      </c>
      <c r="H778" s="165"/>
      <c r="I778" s="2"/>
      <c r="J778" s="2"/>
      <c r="K778" s="2"/>
      <c r="L778" s="2"/>
      <c r="M778" s="2"/>
      <c r="N778" s="2"/>
      <c r="O778" s="2"/>
      <c r="P778" s="2"/>
      <c r="Q778" s="2"/>
      <c r="R778" s="2"/>
      <c r="S778" s="2"/>
      <c r="T778" s="2"/>
      <c r="U778" s="2"/>
      <c r="V778" s="2"/>
      <c r="W778" s="2"/>
      <c r="X778" s="2"/>
      <c r="Y778" s="2"/>
      <c r="Z778" s="2"/>
      <c r="AA778" s="2"/>
      <c r="AB778" s="2"/>
      <c r="AC778" s="2"/>
    </row>
    <row r="779" spans="1:29" ht="15" customHeight="1">
      <c r="A779" s="167"/>
      <c r="B779" s="166"/>
      <c r="C779" s="945"/>
      <c r="D779" s="945"/>
      <c r="E779" s="997"/>
      <c r="F779" s="998"/>
      <c r="G779" s="997">
        <f>+VLOOKUP(Data_Validation!$A779,BV_Data_An_Cour!$L:$Q,6,0)</f>
        <v>0</v>
      </c>
      <c r="H779" s="165"/>
      <c r="I779" s="2"/>
      <c r="J779" s="2"/>
      <c r="L779" s="2"/>
      <c r="M779" s="2"/>
      <c r="N779" s="2"/>
      <c r="O779" s="2"/>
      <c r="P779" s="2"/>
      <c r="Q779" s="2"/>
      <c r="R779" s="2"/>
      <c r="S779" s="2"/>
      <c r="T779" s="2"/>
      <c r="U779" s="2"/>
      <c r="V779" s="2"/>
      <c r="W779" s="2"/>
      <c r="X779" s="2"/>
      <c r="Y779" s="2"/>
      <c r="Z779" s="2"/>
      <c r="AA779" s="2"/>
      <c r="AB779" s="2"/>
      <c r="AC779" s="2"/>
    </row>
    <row r="780" spans="1:29" ht="15" customHeight="1">
      <c r="A780" s="167"/>
      <c r="B780" s="166"/>
      <c r="C780" s="945"/>
      <c r="D780" s="945"/>
      <c r="E780" s="997"/>
      <c r="F780" s="998"/>
      <c r="G780" s="997">
        <f>+VLOOKUP(Data_Validation!$A780,BV_Data_An_Cour!$L:$Q,6,0)</f>
        <v>0</v>
      </c>
      <c r="H780" s="165"/>
    </row>
    <row r="781" spans="1:29" ht="15" customHeight="1">
      <c r="A781" s="167"/>
      <c r="B781" s="166"/>
      <c r="C781" s="945"/>
      <c r="D781" s="945"/>
      <c r="E781" s="997"/>
      <c r="F781" s="998"/>
      <c r="G781" s="997">
        <f>+VLOOKUP(Data_Validation!$A781,BV_Data_An_Cour!$L:$Q,6,0)</f>
        <v>0</v>
      </c>
      <c r="H781" s="165"/>
    </row>
    <row r="782" spans="1:29" ht="15" customHeight="1">
      <c r="A782" s="167"/>
      <c r="B782" s="166"/>
      <c r="C782" s="945"/>
      <c r="D782" s="945"/>
      <c r="E782" s="997"/>
      <c r="F782" s="998"/>
      <c r="G782" s="997">
        <f>+VLOOKUP(Data_Validation!$A782,BV_Data_An_Cour!$L:$Q,6,0)</f>
        <v>0</v>
      </c>
      <c r="H782" s="165"/>
    </row>
    <row r="783" spans="1:29" ht="15" customHeight="1">
      <c r="A783" s="167"/>
      <c r="B783" s="1018"/>
      <c r="C783" s="1010"/>
      <c r="D783" s="945"/>
      <c r="E783" s="997"/>
      <c r="F783" s="998"/>
      <c r="G783" s="997">
        <f>+VLOOKUP(Data_Validation!$A783,BV_Data_An_Cour!$L:$Q,6,0)</f>
        <v>0</v>
      </c>
      <c r="H783" s="165"/>
    </row>
    <row r="784" spans="1:29" ht="15" customHeight="1">
      <c r="A784" s="167"/>
      <c r="B784" s="166"/>
      <c r="C784" s="945"/>
      <c r="D784" s="945"/>
      <c r="E784" s="997"/>
      <c r="F784" s="998"/>
      <c r="G784" s="997">
        <f>+VLOOKUP(Data_Validation!$A784,BV_Data_An_Cour!$L:$Q,6,0)</f>
        <v>0</v>
      </c>
      <c r="H784" s="188"/>
    </row>
    <row r="785" spans="1:29" ht="15" customHeight="1">
      <c r="A785" s="167"/>
      <c r="B785" s="166"/>
      <c r="C785" s="945"/>
      <c r="D785" s="945"/>
      <c r="E785" s="997"/>
      <c r="F785" s="998"/>
      <c r="G785" s="997">
        <f>+VLOOKUP(Data_Validation!$A785,BV_Data_An_Cour!$L:$Q,6,0)</f>
        <v>0</v>
      </c>
      <c r="H785" s="188"/>
      <c r="I785" s="2"/>
      <c r="J785" s="2"/>
      <c r="L785" s="2"/>
      <c r="M785" s="2"/>
      <c r="N785" s="2"/>
      <c r="O785" s="2"/>
      <c r="P785" s="2"/>
      <c r="Q785" s="2"/>
      <c r="R785" s="2"/>
      <c r="S785" s="2"/>
      <c r="T785" s="2"/>
      <c r="U785" s="2"/>
      <c r="V785" s="2"/>
      <c r="W785" s="2"/>
      <c r="X785" s="2"/>
      <c r="Y785" s="2"/>
      <c r="Z785" s="2"/>
      <c r="AA785" s="2"/>
      <c r="AB785" s="2"/>
      <c r="AC785" s="2"/>
    </row>
    <row r="786" spans="1:29" ht="15" customHeight="1">
      <c r="A786" s="167"/>
      <c r="B786" s="166"/>
      <c r="C786" s="945"/>
      <c r="D786" s="945"/>
      <c r="E786" s="997"/>
      <c r="F786" s="998"/>
      <c r="G786" s="997">
        <f>+VLOOKUP(Data_Validation!$A786,BV_Data_An_Cour!$L:$Q,6,0)</f>
        <v>0</v>
      </c>
      <c r="H786" s="188"/>
    </row>
    <row r="787" spans="1:29" ht="15" customHeight="1">
      <c r="A787" s="167"/>
      <c r="B787" s="166"/>
      <c r="C787" s="945"/>
      <c r="D787" s="945"/>
      <c r="E787" s="997"/>
      <c r="F787" s="998"/>
      <c r="G787" s="997">
        <f>+VLOOKUP(Data_Validation!$A787,BV_Data_An_Cour!$L:$Q,6,0)</f>
        <v>0</v>
      </c>
      <c r="H787" s="188"/>
    </row>
    <row r="788" spans="1:29" ht="15" customHeight="1">
      <c r="A788" s="167"/>
      <c r="B788" s="166"/>
      <c r="C788" s="945"/>
      <c r="D788" s="945"/>
      <c r="E788" s="997"/>
      <c r="F788" s="998"/>
      <c r="G788" s="997">
        <f>+VLOOKUP(Data_Validation!$A788,BV_Data_An_Cour!$L:$Q,6,0)</f>
        <v>0</v>
      </c>
      <c r="H788" s="188"/>
    </row>
    <row r="789" spans="1:29" ht="15" customHeight="1">
      <c r="A789" s="167"/>
      <c r="B789" s="166"/>
      <c r="C789" s="945"/>
      <c r="D789" s="945"/>
      <c r="E789" s="997"/>
      <c r="F789" s="998"/>
      <c r="G789" s="997">
        <f>+VLOOKUP(Data_Validation!$A789,BV_Data_An_Cour!$L:$Q,6,0)</f>
        <v>0</v>
      </c>
      <c r="H789" s="188"/>
    </row>
    <row r="790" spans="1:29" ht="15" customHeight="1">
      <c r="A790" s="167"/>
      <c r="B790" s="166"/>
      <c r="C790" s="945"/>
      <c r="D790" s="945"/>
      <c r="E790" s="997"/>
      <c r="F790" s="998"/>
      <c r="G790" s="997">
        <f>+VLOOKUP(Data_Validation!$A790,BV_Data_An_Cour!$L:$Q,6,0)</f>
        <v>0</v>
      </c>
      <c r="H790" s="188"/>
    </row>
    <row r="791" spans="1:29" ht="15" customHeight="1">
      <c r="A791" s="167"/>
      <c r="B791" s="166"/>
      <c r="C791" s="945"/>
      <c r="D791" s="945"/>
      <c r="E791" s="997"/>
      <c r="F791" s="998"/>
      <c r="G791" s="997">
        <f>+VLOOKUP(Data_Validation!$A791,BV_Data_An_Cour!$L:$Q,6,0)</f>
        <v>0</v>
      </c>
      <c r="H791" s="188"/>
    </row>
    <row r="792" spans="1:29" ht="15" customHeight="1">
      <c r="A792" s="167"/>
      <c r="B792" s="166"/>
      <c r="C792" s="945"/>
      <c r="D792" s="945"/>
      <c r="E792" s="997"/>
      <c r="F792" s="998"/>
      <c r="G792" s="997">
        <f>+VLOOKUP(Data_Validation!$A792,BV_Data_An_Cour!$L:$Q,6,0)</f>
        <v>0</v>
      </c>
      <c r="H792" s="188"/>
    </row>
    <row r="793" spans="1:29" ht="15" customHeight="1">
      <c r="A793" s="167"/>
      <c r="B793" s="166"/>
      <c r="C793" s="945"/>
      <c r="D793" s="945"/>
      <c r="E793" s="997"/>
      <c r="F793" s="998"/>
      <c r="G793" s="997">
        <f>+VLOOKUP(Data_Validation!$A793,BV_Data_An_Cour!$L:$Q,6,0)</f>
        <v>0</v>
      </c>
      <c r="H793" s="188"/>
    </row>
    <row r="794" spans="1:29" ht="15" customHeight="1">
      <c r="A794" s="167"/>
      <c r="B794" s="166"/>
      <c r="C794" s="945"/>
      <c r="D794" s="945"/>
      <c r="E794" s="997"/>
      <c r="F794" s="998"/>
      <c r="G794" s="997">
        <f>+VLOOKUP(Data_Validation!$A794,BV_Data_An_Cour!$L:$Q,6,0)</f>
        <v>0</v>
      </c>
      <c r="H794" s="188"/>
    </row>
    <row r="795" spans="1:29" ht="15" customHeight="1">
      <c r="A795" s="167"/>
      <c r="B795" s="166"/>
      <c r="C795" s="945"/>
      <c r="D795" s="945"/>
      <c r="E795" s="997"/>
      <c r="F795" s="998"/>
      <c r="G795" s="997">
        <f>+VLOOKUP(Data_Validation!$A795,BV_Data_An_Cour!$L:$Q,6,0)</f>
        <v>0</v>
      </c>
      <c r="H795" s="188"/>
    </row>
    <row r="796" spans="1:29" ht="15" customHeight="1">
      <c r="A796" s="167"/>
      <c r="B796" s="166"/>
      <c r="C796" s="945"/>
      <c r="D796" s="945"/>
      <c r="E796" s="997"/>
      <c r="F796" s="998"/>
      <c r="G796" s="997">
        <f>+VLOOKUP(Data_Validation!$A796,BV_Data_An_Cour!$L:$Q,6,0)</f>
        <v>0</v>
      </c>
      <c r="H796" s="188"/>
    </row>
    <row r="797" spans="1:29" ht="15" customHeight="1">
      <c r="A797" s="167"/>
      <c r="B797" s="166"/>
      <c r="C797" s="945"/>
      <c r="D797" s="945"/>
      <c r="E797" s="997"/>
      <c r="F797" s="998"/>
      <c r="G797" s="997">
        <f>+VLOOKUP(Data_Validation!$A797,BV_Data_An_Cour!$L:$Q,6,0)</f>
        <v>0</v>
      </c>
      <c r="H797" s="165"/>
    </row>
    <row r="798" spans="1:29" ht="15" customHeight="1">
      <c r="A798" s="167"/>
      <c r="B798" s="166"/>
      <c r="C798" s="945"/>
      <c r="D798" s="945"/>
      <c r="E798" s="997"/>
      <c r="F798" s="998"/>
      <c r="G798" s="997">
        <f>+VLOOKUP(Data_Validation!$A798,BV_Data_An_Cour!$L:$Q,6,0)</f>
        <v>0</v>
      </c>
      <c r="H798" s="165"/>
    </row>
    <row r="799" spans="1:29" ht="15" customHeight="1">
      <c r="A799" s="167"/>
      <c r="B799" s="166"/>
      <c r="C799" s="945"/>
      <c r="D799" s="945"/>
      <c r="E799" s="997"/>
      <c r="F799" s="998"/>
      <c r="G799" s="997">
        <f>+VLOOKUP(Data_Validation!$A799,BV_Data_An_Cour!$L:$Q,6,0)</f>
        <v>0</v>
      </c>
      <c r="H799" s="165"/>
    </row>
    <row r="800" spans="1:29" ht="15" customHeight="1">
      <c r="A800" s="167"/>
      <c r="B800" s="166"/>
      <c r="C800" s="945"/>
      <c r="D800" s="945"/>
      <c r="E800" s="997"/>
      <c r="F800" s="998"/>
      <c r="G800" s="997">
        <f>+VLOOKUP(Data_Validation!$A800,BV_Data_An_Cour!$L:$Q,6,0)</f>
        <v>0</v>
      </c>
      <c r="H800" s="165"/>
    </row>
    <row r="801" spans="1:8" ht="15" customHeight="1">
      <c r="A801" s="167"/>
      <c r="B801" s="166"/>
      <c r="C801" s="945"/>
      <c r="D801" s="945"/>
      <c r="E801" s="997"/>
      <c r="F801" s="998"/>
      <c r="G801" s="997">
        <f>+VLOOKUP(Data_Validation!$A801,BV_Data_An_Cour!$L:$Q,6,0)</f>
        <v>0</v>
      </c>
      <c r="H801" s="165"/>
    </row>
    <row r="802" spans="1:8" ht="15" customHeight="1">
      <c r="A802" s="167"/>
      <c r="B802" s="166"/>
      <c r="C802" s="945"/>
      <c r="D802" s="945"/>
      <c r="E802" s="997"/>
      <c r="F802" s="998"/>
      <c r="G802" s="997">
        <f>+VLOOKUP(Data_Validation!$A802,BV_Data_An_Cour!$L:$Q,6,0)</f>
        <v>0</v>
      </c>
      <c r="H802" s="165"/>
    </row>
    <row r="803" spans="1:8" ht="15" customHeight="1">
      <c r="A803" s="167"/>
      <c r="B803" s="166"/>
      <c r="C803" s="945"/>
      <c r="D803" s="945"/>
      <c r="E803" s="997"/>
      <c r="F803" s="998"/>
      <c r="G803" s="997">
        <f>+VLOOKUP(Data_Validation!$A803,BV_Data_An_Cour!$L:$Q,6,0)</f>
        <v>0</v>
      </c>
      <c r="H803" s="165"/>
    </row>
    <row r="804" spans="1:8" ht="15" customHeight="1">
      <c r="A804" s="167"/>
      <c r="B804" s="166"/>
      <c r="C804" s="945"/>
      <c r="D804" s="945"/>
      <c r="E804" s="997"/>
      <c r="F804" s="998"/>
      <c r="G804" s="997">
        <f>+VLOOKUP(Data_Validation!$A804,BV_Data_An_Cour!$L:$Q,6,0)</f>
        <v>0</v>
      </c>
      <c r="H804" s="165"/>
    </row>
    <row r="805" spans="1:8" ht="15" customHeight="1">
      <c r="A805" s="176"/>
      <c r="B805" s="1017"/>
      <c r="C805" s="945"/>
      <c r="D805" s="945"/>
      <c r="E805" s="997"/>
      <c r="F805" s="998"/>
      <c r="G805" s="997">
        <f>+VLOOKUP(Data_Validation!$A805,BV_Data_An_Cour!$L:$Q,6,0)</f>
        <v>0</v>
      </c>
      <c r="H805" s="165"/>
    </row>
    <row r="806" spans="1:8" ht="15" customHeight="1">
      <c r="A806" s="167"/>
      <c r="B806" s="166"/>
      <c r="C806" s="945"/>
      <c r="D806" s="945"/>
      <c r="E806" s="997"/>
      <c r="F806" s="998"/>
      <c r="G806" s="997">
        <f>+VLOOKUP(Data_Validation!$A806,BV_Data_An_Cour!$L:$Q,6,0)</f>
        <v>0</v>
      </c>
      <c r="H806" s="165"/>
    </row>
    <row r="807" spans="1:8" ht="15" customHeight="1">
      <c r="A807" s="167"/>
      <c r="B807" s="166"/>
      <c r="C807" s="945"/>
      <c r="D807" s="945"/>
      <c r="E807" s="997"/>
      <c r="F807" s="998"/>
      <c r="G807" s="997">
        <f>+VLOOKUP(Data_Validation!$A807,BV_Data_An_Cour!$L:$Q,6,0)</f>
        <v>0</v>
      </c>
      <c r="H807" s="188"/>
    </row>
    <row r="808" spans="1:8" ht="15" customHeight="1">
      <c r="A808" s="167"/>
      <c r="B808" s="166"/>
      <c r="C808" s="945"/>
      <c r="D808" s="945"/>
      <c r="E808" s="997"/>
      <c r="F808" s="998"/>
      <c r="G808" s="997">
        <f>+VLOOKUP(Data_Validation!$A808,BV_Data_An_Cour!$L:$Q,6,0)</f>
        <v>0</v>
      </c>
      <c r="H808" s="188"/>
    </row>
    <row r="809" spans="1:8" ht="15" customHeight="1">
      <c r="A809" s="167"/>
      <c r="B809" s="166"/>
      <c r="C809" s="945"/>
      <c r="D809" s="945"/>
      <c r="E809" s="997"/>
      <c r="F809" s="998"/>
      <c r="G809" s="997">
        <f>+VLOOKUP(Data_Validation!$A809,BV_Data_An_Cour!$L:$Q,6,0)</f>
        <v>0</v>
      </c>
      <c r="H809" s="188"/>
    </row>
    <row r="810" spans="1:8" ht="15" customHeight="1">
      <c r="A810" s="166"/>
      <c r="B810" s="166"/>
      <c r="C810" s="945"/>
      <c r="D810" s="945"/>
      <c r="E810" s="997"/>
      <c r="F810" s="998"/>
      <c r="G810" s="997">
        <f>+VLOOKUP(Data_Validation!$A810,BV_Data_An_Cour!$L:$Q,6,0)</f>
        <v>0</v>
      </c>
      <c r="H810" s="188"/>
    </row>
    <row r="811" spans="1:8" ht="15" customHeight="1">
      <c r="A811" s="167"/>
      <c r="B811" s="166"/>
      <c r="C811" s="945"/>
      <c r="D811" s="945"/>
      <c r="E811" s="997"/>
      <c r="F811" s="998"/>
      <c r="G811" s="997">
        <f>+VLOOKUP(Data_Validation!$A811,BV_Data_An_Cour!$L:$Q,6,0)</f>
        <v>0</v>
      </c>
      <c r="H811" s="188"/>
    </row>
    <row r="812" spans="1:8" ht="15" customHeight="1">
      <c r="A812" s="167"/>
      <c r="B812" s="166"/>
      <c r="C812" s="945"/>
      <c r="D812" s="945"/>
      <c r="E812" s="997"/>
      <c r="F812" s="998"/>
      <c r="G812" s="997">
        <f>+VLOOKUP(Data_Validation!$A812,BV_Data_An_Cour!$L:$Q,6,0)</f>
        <v>0</v>
      </c>
      <c r="H812" s="188"/>
    </row>
    <row r="813" spans="1:8" ht="15" customHeight="1">
      <c r="A813" s="167"/>
      <c r="B813" s="166"/>
      <c r="C813" s="945"/>
      <c r="D813" s="945"/>
      <c r="E813" s="997"/>
      <c r="F813" s="998"/>
      <c r="G813" s="997">
        <f>+VLOOKUP(Data_Validation!$A813,BV_Data_An_Cour!$L:$Q,6,0)</f>
        <v>0</v>
      </c>
      <c r="H813" s="188"/>
    </row>
    <row r="814" spans="1:8" ht="15" customHeight="1">
      <c r="A814" s="167"/>
      <c r="B814" s="166"/>
      <c r="C814" s="945"/>
      <c r="D814" s="945"/>
      <c r="E814" s="997"/>
      <c r="F814" s="998"/>
      <c r="G814" s="997">
        <f>+VLOOKUP(Data_Validation!$A814,BV_Data_An_Cour!$L:$Q,6,0)</f>
        <v>0</v>
      </c>
      <c r="H814" s="188"/>
    </row>
    <row r="815" spans="1:8" ht="15" customHeight="1">
      <c r="A815" s="167"/>
      <c r="B815" s="166"/>
      <c r="C815" s="945"/>
      <c r="D815" s="945"/>
      <c r="E815" s="997"/>
      <c r="F815" s="998"/>
      <c r="G815" s="997">
        <f>+VLOOKUP(Data_Validation!$A815,BV_Data_An_Cour!$L:$Q,6,0)</f>
        <v>0</v>
      </c>
      <c r="H815" s="188"/>
    </row>
    <row r="816" spans="1:8" ht="15" customHeight="1">
      <c r="A816" s="167"/>
      <c r="B816" s="166"/>
      <c r="C816" s="945"/>
      <c r="D816" s="945"/>
      <c r="E816" s="997"/>
      <c r="F816" s="998"/>
      <c r="G816" s="997">
        <f>+VLOOKUP(Data_Validation!$A816,BV_Data_An_Cour!$L:$Q,6,0)</f>
        <v>0</v>
      </c>
      <c r="H816" s="188"/>
    </row>
    <row r="817" spans="1:11" ht="15" customHeight="1">
      <c r="A817" s="167"/>
      <c r="B817" s="166"/>
      <c r="C817" s="945"/>
      <c r="D817" s="945"/>
      <c r="E817" s="997"/>
      <c r="F817" s="998"/>
      <c r="G817" s="997">
        <f>+VLOOKUP(Data_Validation!$A817,BV_Data_An_Cour!$L:$Q,6,0)</f>
        <v>0</v>
      </c>
      <c r="H817" s="188"/>
    </row>
    <row r="818" spans="1:11" ht="15" customHeight="1">
      <c r="A818" s="167"/>
      <c r="B818" s="166"/>
      <c r="C818" s="945"/>
      <c r="D818" s="945"/>
      <c r="E818" s="997"/>
      <c r="F818" s="998"/>
      <c r="G818" s="997">
        <f>+VLOOKUP(Data_Validation!$A818,BV_Data_An_Cour!$L:$Q,6,0)</f>
        <v>0</v>
      </c>
      <c r="H818" s="188"/>
    </row>
    <row r="819" spans="1:11" ht="15" customHeight="1">
      <c r="A819" s="167"/>
      <c r="B819" s="166"/>
      <c r="C819" s="945"/>
      <c r="D819" s="945"/>
      <c r="E819" s="997"/>
      <c r="F819" s="998"/>
      <c r="G819" s="997">
        <f>+VLOOKUP(Data_Validation!$A819,BV_Data_An_Cour!$L:$Q,6,0)</f>
        <v>0</v>
      </c>
      <c r="H819" s="188"/>
    </row>
    <row r="820" spans="1:11" ht="15" customHeight="1">
      <c r="A820" s="167"/>
      <c r="B820" s="166"/>
      <c r="C820" s="945"/>
      <c r="D820" s="945"/>
      <c r="E820" s="997"/>
      <c r="F820" s="998"/>
      <c r="G820" s="997">
        <f>+VLOOKUP(Data_Validation!$A820,BV_Data_An_Cour!$L:$Q,6,0)</f>
        <v>0</v>
      </c>
      <c r="H820" s="188"/>
    </row>
    <row r="821" spans="1:11" ht="15" customHeight="1">
      <c r="A821" s="167"/>
      <c r="B821" s="166"/>
      <c r="C821" s="945"/>
      <c r="D821" s="945"/>
      <c r="E821" s="997"/>
      <c r="F821" s="998"/>
      <c r="G821" s="997">
        <f>+VLOOKUP(Data_Validation!$A821,BV_Data_An_Cour!$L:$Q,6,0)</f>
        <v>0</v>
      </c>
      <c r="H821" s="188"/>
    </row>
    <row r="822" spans="1:11" ht="15" customHeight="1">
      <c r="A822" s="167"/>
      <c r="B822" s="166"/>
      <c r="C822" s="945"/>
      <c r="D822" s="945"/>
      <c r="E822" s="997"/>
      <c r="F822" s="998"/>
      <c r="G822" s="997">
        <f>+VLOOKUP(Data_Validation!$A822,BV_Data_An_Cour!$L:$Q,6,0)</f>
        <v>0</v>
      </c>
      <c r="H822" s="188"/>
    </row>
    <row r="823" spans="1:11" ht="15" customHeight="1">
      <c r="A823" s="167"/>
      <c r="B823" s="166"/>
      <c r="C823" s="945"/>
      <c r="D823" s="945"/>
      <c r="E823" s="997"/>
      <c r="F823" s="998"/>
      <c r="G823" s="997">
        <f>+VLOOKUP(Data_Validation!$A823,BV_Data_An_Cour!$L:$Q,6,0)</f>
        <v>0</v>
      </c>
      <c r="H823" s="188"/>
    </row>
    <row r="824" spans="1:11" ht="15" customHeight="1">
      <c r="A824" s="167"/>
      <c r="B824" s="166"/>
      <c r="C824" s="945"/>
      <c r="D824" s="945"/>
      <c r="E824" s="997"/>
      <c r="F824" s="998"/>
      <c r="G824" s="997">
        <f>+VLOOKUP(Data_Validation!$A824,BV_Data_An_Cour!$L:$Q,6,0)</f>
        <v>0</v>
      </c>
      <c r="H824" s="188"/>
    </row>
    <row r="825" spans="1:11" ht="15" customHeight="1">
      <c r="A825" s="167"/>
      <c r="B825" s="166"/>
      <c r="C825" s="945"/>
      <c r="D825" s="945"/>
      <c r="E825" s="997"/>
      <c r="F825" s="998"/>
      <c r="G825" s="997">
        <f>+VLOOKUP(Data_Validation!$A825,BV_Data_An_Cour!$L:$Q,6,0)</f>
        <v>0</v>
      </c>
      <c r="H825" s="188"/>
    </row>
    <row r="826" spans="1:11" ht="15" customHeight="1">
      <c r="A826" s="167"/>
      <c r="B826" s="166"/>
      <c r="C826" s="945"/>
      <c r="D826" s="945"/>
      <c r="E826" s="997"/>
      <c r="F826" s="998"/>
      <c r="G826" s="997">
        <f>+VLOOKUP(Data_Validation!$A826,BV_Data_An_Cour!$L:$Q,6,0)</f>
        <v>0</v>
      </c>
      <c r="H826" s="188"/>
    </row>
    <row r="827" spans="1:11" ht="15" customHeight="1">
      <c r="A827" s="167"/>
      <c r="B827" s="166"/>
      <c r="C827" s="945"/>
      <c r="D827" s="945"/>
      <c r="E827" s="997"/>
      <c r="F827" s="998"/>
      <c r="G827" s="997">
        <f>+VLOOKUP(Data_Validation!$A827,BV_Data_An_Cour!$L:$Q,6,0)</f>
        <v>0</v>
      </c>
      <c r="H827" s="188"/>
    </row>
    <row r="828" spans="1:11" ht="15" customHeight="1">
      <c r="A828" s="167"/>
      <c r="B828" s="166"/>
      <c r="C828" s="945"/>
      <c r="D828" s="945"/>
      <c r="E828" s="997"/>
      <c r="F828" s="998"/>
      <c r="G828" s="997">
        <f>+VLOOKUP(Data_Validation!$A828,BV_Data_An_Cour!$L:$Q,6,0)</f>
        <v>0</v>
      </c>
      <c r="H828" s="188"/>
    </row>
    <row r="829" spans="1:11" ht="15" customHeight="1">
      <c r="A829" s="167"/>
      <c r="B829" s="166"/>
      <c r="C829" s="945"/>
      <c r="D829" s="945"/>
      <c r="E829" s="997"/>
      <c r="F829" s="998"/>
      <c r="G829" s="997">
        <f>+VLOOKUP(Data_Validation!$A829,BV_Data_An_Cour!$L:$Q,6,0)</f>
        <v>0</v>
      </c>
      <c r="H829" s="188"/>
      <c r="K829" s="2"/>
    </row>
    <row r="830" spans="1:11" ht="15" customHeight="1">
      <c r="A830" s="167"/>
      <c r="B830" s="166"/>
      <c r="C830" s="945"/>
      <c r="D830" s="945"/>
      <c r="E830" s="997"/>
      <c r="F830" s="998"/>
      <c r="G830" s="997">
        <f>+VLOOKUP(Data_Validation!$A830,BV_Data_An_Cour!$L:$Q,6,0)</f>
        <v>0</v>
      </c>
      <c r="H830" s="188"/>
      <c r="K830" s="2"/>
    </row>
    <row r="831" spans="1:11" ht="15" customHeight="1">
      <c r="A831" s="166"/>
      <c r="B831" s="166"/>
      <c r="C831" s="945"/>
      <c r="D831" s="945"/>
      <c r="E831" s="997"/>
      <c r="F831" s="998"/>
      <c r="G831" s="997">
        <f>+VLOOKUP(Data_Validation!$A831,BV_Data_An_Cour!$L:$Q,6,0)</f>
        <v>0</v>
      </c>
      <c r="H831" s="188"/>
    </row>
    <row r="832" spans="1:11" ht="15" customHeight="1">
      <c r="A832" s="167"/>
      <c r="B832" s="166"/>
      <c r="C832" s="945"/>
      <c r="D832" s="945"/>
      <c r="E832" s="997"/>
      <c r="F832" s="998"/>
      <c r="G832" s="997">
        <f>+VLOOKUP(Data_Validation!$A832,BV_Data_An_Cour!$L:$Q,6,0)</f>
        <v>0</v>
      </c>
      <c r="H832" s="188"/>
    </row>
    <row r="833" spans="1:29" ht="15" customHeight="1">
      <c r="A833" s="167"/>
      <c r="B833" s="166"/>
      <c r="C833" s="945"/>
      <c r="D833" s="945"/>
      <c r="E833" s="997"/>
      <c r="F833" s="998"/>
      <c r="G833" s="997">
        <f>+VLOOKUP(Data_Validation!$A833,BV_Data_An_Cour!$L:$Q,6,0)</f>
        <v>0</v>
      </c>
      <c r="H833" s="188"/>
    </row>
    <row r="834" spans="1:29" ht="15" customHeight="1">
      <c r="A834" s="167"/>
      <c r="B834" s="166"/>
      <c r="C834" s="945"/>
      <c r="D834" s="945"/>
      <c r="E834" s="997"/>
      <c r="F834" s="998"/>
      <c r="G834" s="997">
        <f>+VLOOKUP(Data_Validation!$A834,BV_Data_An_Cour!$L:$Q,6,0)</f>
        <v>0</v>
      </c>
      <c r="H834" s="188"/>
      <c r="I834" s="2"/>
      <c r="J834" s="2"/>
      <c r="L834" s="2"/>
      <c r="M834" s="2"/>
      <c r="N834" s="2"/>
      <c r="O834" s="2"/>
      <c r="P834" s="2"/>
      <c r="Q834" s="2"/>
      <c r="R834" s="2"/>
      <c r="S834" s="2"/>
      <c r="T834" s="2"/>
      <c r="U834" s="2"/>
      <c r="V834" s="2"/>
      <c r="W834" s="2"/>
      <c r="X834" s="2"/>
      <c r="Y834" s="2"/>
      <c r="Z834" s="2"/>
      <c r="AA834" s="2"/>
      <c r="AB834" s="2"/>
      <c r="AC834" s="2"/>
    </row>
    <row r="835" spans="1:29" ht="15" customHeight="1">
      <c r="A835" s="167"/>
      <c r="B835" s="166"/>
      <c r="C835" s="945"/>
      <c r="D835" s="945"/>
      <c r="E835" s="997"/>
      <c r="F835" s="998"/>
      <c r="G835" s="997">
        <f>+VLOOKUP(Data_Validation!$A835,BV_Data_An_Cour!$L:$Q,6,0)</f>
        <v>0</v>
      </c>
      <c r="H835" s="188"/>
    </row>
    <row r="836" spans="1:29" ht="15" customHeight="1">
      <c r="A836" s="167"/>
      <c r="B836" s="166"/>
      <c r="C836" s="945"/>
      <c r="D836" s="945"/>
      <c r="E836" s="997"/>
      <c r="F836" s="998"/>
      <c r="G836" s="997">
        <f>+VLOOKUP(Data_Validation!$A836,BV_Data_An_Cour!$L:$Q,6,0)</f>
        <v>0</v>
      </c>
      <c r="H836" s="188"/>
      <c r="K836" s="2"/>
    </row>
    <row r="837" spans="1:29" ht="15" customHeight="1">
      <c r="A837" s="167"/>
      <c r="B837" s="166"/>
      <c r="C837" s="945"/>
      <c r="D837" s="945"/>
      <c r="E837" s="997"/>
      <c r="F837" s="998"/>
      <c r="G837" s="997">
        <f>+VLOOKUP(Data_Validation!$A837,BV_Data_An_Cour!$L:$Q,6,0)</f>
        <v>0</v>
      </c>
      <c r="H837" s="188"/>
    </row>
    <row r="838" spans="1:29" ht="15" customHeight="1">
      <c r="A838" s="167"/>
      <c r="B838" s="166"/>
      <c r="C838" s="945"/>
      <c r="D838" s="945"/>
      <c r="E838" s="997"/>
      <c r="F838" s="998"/>
      <c r="G838" s="997">
        <f>+VLOOKUP(Data_Validation!$A838,BV_Data_An_Cour!$L:$Q,6,0)</f>
        <v>0</v>
      </c>
      <c r="H838" s="188"/>
    </row>
    <row r="839" spans="1:29" ht="15" customHeight="1">
      <c r="A839" s="167"/>
      <c r="B839" s="166"/>
      <c r="C839" s="945"/>
      <c r="D839" s="945"/>
      <c r="E839" s="997"/>
      <c r="F839" s="998"/>
      <c r="G839" s="997">
        <f>+VLOOKUP(Data_Validation!$A839,BV_Data_An_Cour!$L:$Q,6,0)</f>
        <v>0</v>
      </c>
      <c r="H839" s="188"/>
    </row>
    <row r="840" spans="1:29" ht="15" customHeight="1">
      <c r="A840" s="167"/>
      <c r="B840" s="166"/>
      <c r="C840" s="945"/>
      <c r="D840" s="945"/>
      <c r="E840" s="997"/>
      <c r="F840" s="998"/>
      <c r="G840" s="997">
        <f>+VLOOKUP(Data_Validation!$A840,BV_Data_An_Cour!$L:$Q,6,0)</f>
        <v>0</v>
      </c>
      <c r="H840" s="188"/>
    </row>
    <row r="841" spans="1:29" ht="15" customHeight="1">
      <c r="A841" s="167"/>
      <c r="B841" s="166"/>
      <c r="C841" s="945"/>
      <c r="D841" s="945"/>
      <c r="E841" s="997"/>
      <c r="F841" s="998"/>
      <c r="G841" s="997">
        <f>+VLOOKUP(Data_Validation!$A841,BV_Data_An_Cour!$L:$Q,6,0)</f>
        <v>0</v>
      </c>
      <c r="H841" s="188"/>
      <c r="K841" s="2"/>
    </row>
    <row r="842" spans="1:29" ht="15" customHeight="1">
      <c r="A842" s="166"/>
      <c r="B842" s="166"/>
      <c r="C842" s="945"/>
      <c r="D842" s="945"/>
      <c r="E842" s="997"/>
      <c r="F842" s="998"/>
      <c r="G842" s="997">
        <f>+VLOOKUP(Data_Validation!$A842,BV_Data_An_Cour!$L:$Q,6,0)</f>
        <v>0</v>
      </c>
      <c r="H842" s="188"/>
    </row>
    <row r="843" spans="1:29" ht="15" customHeight="1">
      <c r="A843" s="166"/>
      <c r="B843" s="166"/>
      <c r="C843" s="945"/>
      <c r="D843" s="945"/>
      <c r="E843" s="997"/>
      <c r="F843" s="998"/>
      <c r="G843" s="997">
        <f>+VLOOKUP(Data_Validation!$A843,BV_Data_An_Cour!$L:$Q,6,0)</f>
        <v>0</v>
      </c>
      <c r="H843" s="188"/>
    </row>
    <row r="844" spans="1:29" ht="15" customHeight="1">
      <c r="A844" s="167"/>
      <c r="B844" s="166"/>
      <c r="C844" s="945"/>
      <c r="D844" s="945"/>
      <c r="E844" s="997"/>
      <c r="F844" s="998"/>
      <c r="G844" s="997">
        <f>+VLOOKUP(Data_Validation!$A844,BV_Data_An_Cour!$L:$Q,6,0)</f>
        <v>0</v>
      </c>
      <c r="H844" s="188"/>
    </row>
    <row r="845" spans="1:29" ht="15" customHeight="1">
      <c r="A845" s="167"/>
      <c r="B845" s="166"/>
      <c r="C845" s="945"/>
      <c r="D845" s="945"/>
      <c r="E845" s="997"/>
      <c r="F845" s="998"/>
      <c r="G845" s="997">
        <f>+VLOOKUP(Data_Validation!$A845,BV_Data_An_Cour!$L:$Q,6,0)</f>
        <v>0</v>
      </c>
      <c r="H845" s="188"/>
    </row>
    <row r="846" spans="1:29" ht="15" customHeight="1">
      <c r="A846" s="167"/>
      <c r="B846" s="166"/>
      <c r="C846" s="945"/>
      <c r="D846" s="945"/>
      <c r="E846" s="997"/>
      <c r="F846" s="998"/>
      <c r="G846" s="997">
        <f>+VLOOKUP(Data_Validation!$A846,BV_Data_An_Cour!$L:$Q,6,0)</f>
        <v>0</v>
      </c>
      <c r="H846" s="188"/>
    </row>
    <row r="847" spans="1:29" ht="15" customHeight="1">
      <c r="A847" s="167"/>
      <c r="B847" s="166"/>
      <c r="C847" s="945"/>
      <c r="D847" s="945"/>
      <c r="E847" s="997"/>
      <c r="F847" s="998"/>
      <c r="G847" s="997">
        <f>+VLOOKUP(Data_Validation!$A847,BV_Data_An_Cour!$L:$Q,6,0)</f>
        <v>0</v>
      </c>
      <c r="H847" s="188"/>
    </row>
    <row r="848" spans="1:29" ht="15" customHeight="1">
      <c r="A848" s="167"/>
      <c r="B848" s="166"/>
      <c r="C848" s="945"/>
      <c r="D848" s="945"/>
      <c r="E848" s="997"/>
      <c r="F848" s="998"/>
      <c r="G848" s="997">
        <f>+VLOOKUP(Data_Validation!$A848,BV_Data_An_Cour!$L:$Q,6,0)</f>
        <v>0</v>
      </c>
      <c r="H848" s="188"/>
    </row>
    <row r="849" spans="1:8" ht="15" customHeight="1">
      <c r="A849" s="167"/>
      <c r="B849" s="166"/>
      <c r="C849" s="945"/>
      <c r="D849" s="945"/>
      <c r="E849" s="997"/>
      <c r="F849" s="998"/>
      <c r="G849" s="997">
        <f>+VLOOKUP(Data_Validation!$A849,BV_Data_An_Cour!$L:$Q,6,0)</f>
        <v>0</v>
      </c>
      <c r="H849" s="188"/>
    </row>
    <row r="850" spans="1:8" ht="15" customHeight="1">
      <c r="A850" s="167"/>
      <c r="B850" s="166"/>
      <c r="C850" s="945"/>
      <c r="D850" s="945"/>
      <c r="E850" s="997"/>
      <c r="F850" s="998"/>
      <c r="G850" s="997">
        <f>+VLOOKUP(Data_Validation!$A850,BV_Data_An_Cour!$L:$Q,6,0)</f>
        <v>0</v>
      </c>
      <c r="H850" s="188"/>
    </row>
    <row r="851" spans="1:8" ht="15" customHeight="1">
      <c r="A851" s="167"/>
      <c r="B851" s="166"/>
      <c r="C851" s="945"/>
      <c r="D851" s="945"/>
      <c r="E851" s="997"/>
      <c r="F851" s="998"/>
      <c r="G851" s="997">
        <f>+VLOOKUP(Data_Validation!$A851,BV_Data_An_Cour!$L:$Q,6,0)</f>
        <v>0</v>
      </c>
      <c r="H851" s="188"/>
    </row>
    <row r="852" spans="1:8" ht="15" customHeight="1">
      <c r="A852" s="167"/>
      <c r="B852" s="166"/>
      <c r="C852" s="945"/>
      <c r="D852" s="945"/>
      <c r="E852" s="997"/>
      <c r="F852" s="998"/>
      <c r="G852" s="997">
        <f>+VLOOKUP(Data_Validation!$A852,BV_Data_An_Cour!$L:$Q,6,0)</f>
        <v>0</v>
      </c>
      <c r="H852" s="188"/>
    </row>
    <row r="853" spans="1:8" ht="15" customHeight="1">
      <c r="A853" s="167"/>
      <c r="B853" s="166"/>
      <c r="C853" s="945"/>
      <c r="D853" s="945"/>
      <c r="E853" s="997"/>
      <c r="F853" s="998"/>
      <c r="G853" s="997">
        <f>+VLOOKUP(Data_Validation!$A853,BV_Data_An_Cour!$L:$Q,6,0)</f>
        <v>0</v>
      </c>
      <c r="H853" s="188"/>
    </row>
    <row r="854" spans="1:8" ht="15" customHeight="1">
      <c r="A854" s="167"/>
      <c r="B854" s="166"/>
      <c r="C854" s="945"/>
      <c r="D854" s="945"/>
      <c r="E854" s="997"/>
      <c r="F854" s="998"/>
      <c r="G854" s="997">
        <f>+VLOOKUP(Data_Validation!$A854,BV_Data_An_Cour!$L:$Q,6,0)</f>
        <v>0</v>
      </c>
      <c r="H854" s="188"/>
    </row>
    <row r="855" spans="1:8" ht="15" customHeight="1">
      <c r="A855" s="167"/>
      <c r="B855" s="166"/>
      <c r="C855" s="945"/>
      <c r="D855" s="945"/>
      <c r="E855" s="997"/>
      <c r="F855" s="998"/>
      <c r="G855" s="997">
        <f>+VLOOKUP(Data_Validation!$A855,BV_Data_An_Cour!$L:$Q,6,0)</f>
        <v>0</v>
      </c>
      <c r="H855" s="188"/>
    </row>
    <row r="856" spans="1:8" ht="15" customHeight="1">
      <c r="A856" s="167"/>
      <c r="B856" s="166"/>
      <c r="C856" s="945"/>
      <c r="D856" s="945"/>
      <c r="E856" s="997"/>
      <c r="F856" s="998"/>
      <c r="G856" s="997">
        <f>+VLOOKUP(Data_Validation!$A856,BV_Data_An_Cour!$L:$Q,6,0)</f>
        <v>0</v>
      </c>
      <c r="H856" s="188"/>
    </row>
    <row r="857" spans="1:8" ht="15" customHeight="1">
      <c r="A857" s="167"/>
      <c r="B857" s="166"/>
      <c r="C857" s="945"/>
      <c r="D857" s="945"/>
      <c r="E857" s="997"/>
      <c r="F857" s="998"/>
      <c r="G857" s="997">
        <f>+VLOOKUP(Data_Validation!$A857,BV_Data_An_Cour!$L:$Q,6,0)</f>
        <v>0</v>
      </c>
      <c r="H857" s="188"/>
    </row>
    <row r="858" spans="1:8" ht="15" customHeight="1">
      <c r="A858" s="167"/>
      <c r="B858" s="166"/>
      <c r="C858" s="945"/>
      <c r="D858" s="945"/>
      <c r="E858" s="997"/>
      <c r="F858" s="998"/>
      <c r="G858" s="997">
        <f>+VLOOKUP(Data_Validation!$A858,BV_Data_An_Cour!$L:$Q,6,0)</f>
        <v>0</v>
      </c>
      <c r="H858" s="188"/>
    </row>
    <row r="859" spans="1:8" ht="15" customHeight="1">
      <c r="A859" s="167"/>
      <c r="B859" s="166"/>
      <c r="C859" s="945"/>
      <c r="D859" s="945"/>
      <c r="E859" s="997"/>
      <c r="F859" s="998"/>
      <c r="G859" s="997">
        <f>+VLOOKUP(Data_Validation!$A859,BV_Data_An_Cour!$L:$Q,6,0)</f>
        <v>0</v>
      </c>
      <c r="H859" s="188"/>
    </row>
    <row r="860" spans="1:8" ht="15" customHeight="1">
      <c r="A860" s="167"/>
      <c r="B860" s="166"/>
      <c r="C860" s="945"/>
      <c r="D860" s="945"/>
      <c r="E860" s="997"/>
      <c r="F860" s="998"/>
      <c r="G860" s="997">
        <f>+VLOOKUP(Data_Validation!$A860,BV_Data_An_Cour!$L:$Q,6,0)</f>
        <v>0</v>
      </c>
      <c r="H860" s="188"/>
    </row>
    <row r="861" spans="1:8" ht="15" customHeight="1">
      <c r="A861" s="167"/>
      <c r="B861" s="166"/>
      <c r="C861" s="945"/>
      <c r="D861" s="945"/>
      <c r="E861" s="997"/>
      <c r="F861" s="998"/>
      <c r="G861" s="997">
        <f>+VLOOKUP(Data_Validation!$A861,BV_Data_An_Cour!$L:$Q,6,0)</f>
        <v>0</v>
      </c>
      <c r="H861" s="188"/>
    </row>
    <row r="862" spans="1:8" ht="15" customHeight="1">
      <c r="A862" s="167"/>
      <c r="B862" s="166"/>
      <c r="C862" s="945"/>
      <c r="D862" s="945"/>
      <c r="E862" s="997"/>
      <c r="F862" s="998"/>
      <c r="G862" s="997">
        <f>+VLOOKUP(Data_Validation!$A862,BV_Data_An_Cour!$L:$Q,6,0)</f>
        <v>0</v>
      </c>
      <c r="H862" s="188"/>
    </row>
    <row r="863" spans="1:8" ht="15" customHeight="1">
      <c r="A863" s="167"/>
      <c r="B863" s="166"/>
      <c r="C863" s="945"/>
      <c r="D863" s="945"/>
      <c r="E863" s="997"/>
      <c r="F863" s="998"/>
      <c r="G863" s="997">
        <f>+VLOOKUP(Data_Validation!$A863,BV_Data_An_Cour!$L:$Q,6,0)</f>
        <v>0</v>
      </c>
      <c r="H863" s="188"/>
    </row>
    <row r="864" spans="1:8" ht="15" customHeight="1">
      <c r="A864" s="167"/>
      <c r="B864" s="166"/>
      <c r="C864" s="945"/>
      <c r="D864" s="945"/>
      <c r="E864" s="997"/>
      <c r="F864" s="998"/>
      <c r="G864" s="997">
        <f>+VLOOKUP(Data_Validation!$A864,BV_Data_An_Cour!$L:$Q,6,0)</f>
        <v>0</v>
      </c>
      <c r="H864" s="188"/>
    </row>
    <row r="865" spans="1:8" ht="15" customHeight="1">
      <c r="A865" s="167"/>
      <c r="B865" s="166"/>
      <c r="C865" s="945"/>
      <c r="D865" s="945"/>
      <c r="E865" s="997"/>
      <c r="F865" s="998"/>
      <c r="G865" s="997">
        <f>+VLOOKUP(Data_Validation!$A865,BV_Data_An_Cour!$L:$Q,6,0)</f>
        <v>0</v>
      </c>
      <c r="H865" s="188"/>
    </row>
    <row r="866" spans="1:8" ht="15" customHeight="1">
      <c r="A866" s="168"/>
      <c r="B866" s="169"/>
      <c r="C866" s="945"/>
      <c r="D866" s="945"/>
      <c r="E866" s="997"/>
      <c r="F866" s="998"/>
      <c r="G866" s="997">
        <f>+VLOOKUP(Data_Validation!$A866,BV_Data_An_Cour!$L:$Q,6,0)</f>
        <v>0</v>
      </c>
      <c r="H866" s="188"/>
    </row>
    <row r="867" spans="1:8" ht="15" customHeight="1">
      <c r="A867" s="166"/>
      <c r="B867" s="166"/>
      <c r="C867" s="945"/>
      <c r="D867" s="945"/>
      <c r="E867" s="997"/>
      <c r="F867" s="998"/>
      <c r="G867" s="997">
        <f>+VLOOKUP(Data_Validation!$A867,BV_Data_An_Cour!$L:$Q,6,0)</f>
        <v>0</v>
      </c>
      <c r="H867" s="188"/>
    </row>
    <row r="868" spans="1:8" ht="15" customHeight="1">
      <c r="A868" s="166"/>
      <c r="B868" s="166"/>
      <c r="C868" s="945"/>
      <c r="D868" s="945"/>
      <c r="E868" s="997"/>
      <c r="F868" s="998"/>
      <c r="G868" s="997">
        <f>+VLOOKUP(Data_Validation!$A868,BV_Data_An_Cour!$L:$Q,6,0)</f>
        <v>0</v>
      </c>
      <c r="H868" s="188"/>
    </row>
    <row r="869" spans="1:8" ht="15" customHeight="1">
      <c r="A869" s="167"/>
      <c r="B869" s="166"/>
      <c r="C869" s="945"/>
      <c r="D869" s="945"/>
      <c r="E869" s="997"/>
      <c r="F869" s="998"/>
      <c r="G869" s="997">
        <f>+VLOOKUP(Data_Validation!$A869,BV_Data_An_Cour!$L:$Q,6,0)</f>
        <v>0</v>
      </c>
      <c r="H869" s="188"/>
    </row>
    <row r="870" spans="1:8" ht="15" customHeight="1">
      <c r="A870" s="167"/>
      <c r="B870" s="166"/>
      <c r="C870" s="945"/>
      <c r="D870" s="945"/>
      <c r="E870" s="997"/>
      <c r="F870" s="998"/>
      <c r="G870" s="997">
        <f>+VLOOKUP(Data_Validation!$A870,BV_Data_An_Cour!$L:$Q,6,0)</f>
        <v>0</v>
      </c>
      <c r="H870" s="188"/>
    </row>
    <row r="871" spans="1:8" ht="15" customHeight="1">
      <c r="A871" s="167"/>
      <c r="B871" s="166"/>
      <c r="C871" s="945"/>
      <c r="D871" s="945"/>
      <c r="E871" s="997"/>
      <c r="F871" s="998"/>
      <c r="G871" s="997">
        <f>+VLOOKUP(Data_Validation!$A871,BV_Data_An_Cour!$L:$Q,6,0)</f>
        <v>0</v>
      </c>
      <c r="H871" s="188"/>
    </row>
    <row r="872" spans="1:8" ht="15" customHeight="1">
      <c r="A872" s="167"/>
      <c r="B872" s="166"/>
      <c r="C872" s="945"/>
      <c r="D872" s="945"/>
      <c r="E872" s="997"/>
      <c r="F872" s="998"/>
      <c r="G872" s="997">
        <f>+VLOOKUP(Data_Validation!$A872,BV_Data_An_Cour!$L:$Q,6,0)</f>
        <v>0</v>
      </c>
      <c r="H872" s="188"/>
    </row>
    <row r="873" spans="1:8" ht="15" customHeight="1">
      <c r="A873" s="167"/>
      <c r="B873" s="166"/>
      <c r="C873" s="945"/>
      <c r="D873" s="945"/>
      <c r="E873" s="997"/>
      <c r="F873" s="998"/>
      <c r="G873" s="997">
        <f>+VLOOKUP(Data_Validation!$A873,BV_Data_An_Cour!$L:$Q,6,0)</f>
        <v>0</v>
      </c>
      <c r="H873" s="188"/>
    </row>
    <row r="874" spans="1:8" ht="15" customHeight="1">
      <c r="A874" s="168"/>
      <c r="B874" s="169"/>
      <c r="C874" s="945"/>
      <c r="D874" s="945"/>
      <c r="E874" s="1000"/>
      <c r="F874" s="1000"/>
      <c r="G874" s="1000">
        <f>+VLOOKUP(Data_Validation!$A874,BV_Data_An_Cour!$L:$Q,6,0)</f>
        <v>0</v>
      </c>
    </row>
    <row r="875" spans="1:8" ht="15" customHeight="1">
      <c r="A875" s="167"/>
      <c r="B875" s="166"/>
      <c r="C875" s="945"/>
      <c r="D875" s="945"/>
      <c r="E875" s="997"/>
      <c r="F875" s="998"/>
      <c r="G875" s="997">
        <f>+VLOOKUP(Data_Validation!$A875,BV_Data_An_Cour!$L:$Q,6,0)</f>
        <v>0</v>
      </c>
    </row>
    <row r="876" spans="1:8" ht="15" customHeight="1">
      <c r="A876" s="168"/>
      <c r="B876" s="169"/>
      <c r="C876" s="945"/>
      <c r="D876" s="945"/>
      <c r="E876" s="1000"/>
      <c r="F876" s="1000"/>
      <c r="G876" s="1000">
        <f>+VLOOKUP(Data_Validation!$A876,BV_Data_An_Cour!$L:$Q,6,0)</f>
        <v>0</v>
      </c>
    </row>
    <row r="877" spans="1:8" ht="15" customHeight="1">
      <c r="A877" s="167"/>
      <c r="B877" s="166"/>
      <c r="C877" s="945"/>
      <c r="D877" s="945"/>
      <c r="E877" s="997"/>
      <c r="F877" s="998"/>
      <c r="G877" s="997">
        <f>+VLOOKUP(Data_Validation!$A877,BV_Data_An_Cour!$L:$Q,6,0)</f>
        <v>0</v>
      </c>
    </row>
    <row r="878" spans="1:8" ht="15" customHeight="1">
      <c r="A878" s="167"/>
      <c r="B878" s="166"/>
      <c r="C878" s="945"/>
      <c r="D878" s="945"/>
      <c r="E878" s="997"/>
      <c r="F878" s="998"/>
      <c r="G878" s="997">
        <f>+VLOOKUP(Data_Validation!$A878,BV_Data_An_Cour!$L:$Q,6,0)</f>
        <v>0</v>
      </c>
    </row>
    <row r="879" spans="1:8" ht="15" customHeight="1">
      <c r="A879" s="168"/>
      <c r="B879" s="169"/>
      <c r="C879" s="945"/>
      <c r="D879" s="945"/>
      <c r="E879" s="1000"/>
      <c r="F879" s="1000"/>
      <c r="G879" s="1000">
        <f>+VLOOKUP(Data_Validation!$A879,BV_Data_An_Cour!$L:$Q,6,0)</f>
        <v>0</v>
      </c>
    </row>
    <row r="880" spans="1:8" ht="15" customHeight="1">
      <c r="A880" s="166"/>
      <c r="B880" s="166"/>
      <c r="C880" s="945"/>
      <c r="D880" s="945"/>
      <c r="E880" s="997"/>
      <c r="F880" s="998"/>
      <c r="G880" s="997">
        <f>+VLOOKUP(Data_Validation!$A880,BV_Data_An_Cour!$L:$Q,6,0)</f>
        <v>0</v>
      </c>
    </row>
    <row r="881" spans="1:29" ht="15" customHeight="1">
      <c r="A881" s="168"/>
      <c r="B881" s="169"/>
      <c r="C881" s="945"/>
      <c r="D881" s="945"/>
      <c r="E881" s="1000"/>
      <c r="F881" s="1000"/>
      <c r="G881" s="1000">
        <f>+VLOOKUP(Data_Validation!$A881,BV_Data_An_Cour!$L:$Q,6,0)</f>
        <v>0</v>
      </c>
    </row>
    <row r="882" spans="1:29" ht="15" customHeight="1">
      <c r="A882" s="167"/>
      <c r="B882" s="166"/>
      <c r="C882" s="945"/>
      <c r="D882" s="945"/>
      <c r="E882" s="997"/>
      <c r="F882" s="998"/>
      <c r="G882" s="997">
        <f>+VLOOKUP(Data_Validation!$A882,BV_Data_An_Cour!$L:$Q,6,0)</f>
        <v>0</v>
      </c>
      <c r="I882" s="2"/>
      <c r="J882" s="2"/>
      <c r="L882" s="2"/>
      <c r="M882" s="2"/>
      <c r="N882" s="2"/>
      <c r="O882" s="2"/>
      <c r="P882" s="2"/>
      <c r="Q882" s="2"/>
      <c r="R882" s="2"/>
      <c r="S882" s="2"/>
      <c r="T882" s="2"/>
      <c r="U882" s="2"/>
      <c r="V882" s="2"/>
      <c r="W882" s="2"/>
      <c r="X882" s="2"/>
      <c r="Y882" s="2"/>
      <c r="Z882" s="2"/>
      <c r="AA882" s="2"/>
      <c r="AB882" s="2"/>
      <c r="AC882" s="2"/>
    </row>
    <row r="883" spans="1:29" ht="15" customHeight="1">
      <c r="A883" s="168"/>
      <c r="B883" s="169"/>
      <c r="C883" s="945"/>
      <c r="D883" s="945"/>
      <c r="E883" s="1000"/>
      <c r="F883" s="1000"/>
      <c r="G883" s="1000">
        <f>+VLOOKUP(Data_Validation!$A883,BV_Data_An_Cour!$L:$Q,6,0)</f>
        <v>0</v>
      </c>
    </row>
    <row r="884" spans="1:29" ht="15" customHeight="1">
      <c r="A884" s="167"/>
      <c r="B884" s="166"/>
      <c r="C884" s="945"/>
      <c r="D884" s="945"/>
      <c r="E884" s="997"/>
      <c r="F884" s="998"/>
      <c r="G884" s="997">
        <f>+VLOOKUP(Data_Validation!$A884,BV_Data_An_Cour!$L:$Q,6,0)</f>
        <v>0</v>
      </c>
    </row>
    <row r="885" spans="1:29" ht="15" customHeight="1">
      <c r="A885" s="168"/>
      <c r="B885" s="169"/>
      <c r="C885" s="945"/>
      <c r="D885" s="945"/>
      <c r="E885" s="1000"/>
      <c r="F885" s="1000"/>
      <c r="G885" s="1000">
        <f>+VLOOKUP(Data_Validation!$A885,BV_Data_An_Cour!$L:$Q,6,0)</f>
        <v>0</v>
      </c>
    </row>
    <row r="886" spans="1:29" ht="15" customHeight="1">
      <c r="A886" s="167"/>
      <c r="B886" s="166"/>
      <c r="C886" s="945"/>
      <c r="D886" s="945"/>
      <c r="E886" s="997"/>
      <c r="F886" s="998"/>
      <c r="G886" s="997">
        <f>+VLOOKUP(Data_Validation!$A886,BV_Data_An_Cour!$L:$Q,6,0)</f>
        <v>0</v>
      </c>
    </row>
    <row r="887" spans="1:29" ht="15" customHeight="1">
      <c r="A887" s="168"/>
      <c r="B887" s="169"/>
      <c r="C887" s="945"/>
      <c r="D887" s="945"/>
      <c r="E887" s="1000"/>
      <c r="F887" s="1000"/>
      <c r="G887" s="1000">
        <f>+VLOOKUP(Data_Validation!$A887,BV_Data_An_Cour!$L:$Q,6,0)</f>
        <v>0</v>
      </c>
    </row>
    <row r="888" spans="1:29" ht="15" customHeight="1">
      <c r="A888" s="167"/>
      <c r="B888" s="166"/>
      <c r="C888" s="945"/>
      <c r="D888" s="945"/>
      <c r="E888" s="997"/>
      <c r="F888" s="998"/>
      <c r="G888" s="997">
        <f>+VLOOKUP(Data_Validation!$A888,BV_Data_An_Cour!$L:$Q,6,0)</f>
        <v>0</v>
      </c>
      <c r="H888" s="538"/>
    </row>
    <row r="889" spans="1:29" ht="15" customHeight="1">
      <c r="A889" s="168"/>
      <c r="B889" s="169"/>
      <c r="C889" s="945"/>
      <c r="D889" s="945"/>
      <c r="E889" s="1000"/>
      <c r="F889" s="1000"/>
      <c r="G889" s="1000">
        <f>+VLOOKUP(Data_Validation!$A889,BV_Data_An_Cour!$L:$Q,6,0)</f>
        <v>0</v>
      </c>
      <c r="H889" s="163"/>
    </row>
    <row r="890" spans="1:29" ht="15" customHeight="1">
      <c r="A890" s="166"/>
      <c r="B890" s="166"/>
      <c r="C890" s="945"/>
      <c r="D890" s="945"/>
      <c r="E890" s="997"/>
      <c r="F890" s="998"/>
      <c r="G890" s="997">
        <f>+VLOOKUP(Data_Validation!$A890,BV_Data_An_Cour!$L:$Q,6,0)</f>
        <v>0</v>
      </c>
      <c r="H890" s="163"/>
    </row>
    <row r="891" spans="1:29" ht="15" customHeight="1">
      <c r="A891" s="166"/>
      <c r="B891" s="166"/>
      <c r="C891" s="945"/>
      <c r="D891" s="945"/>
      <c r="E891" s="997"/>
      <c r="F891" s="998"/>
      <c r="G891" s="997">
        <f>+VLOOKUP(Data_Validation!$A891,BV_Data_An_Cour!$L:$Q,6,0)</f>
        <v>0</v>
      </c>
      <c r="H891" s="163"/>
    </row>
    <row r="892" spans="1:29" ht="15" customHeight="1">
      <c r="A892" s="166"/>
      <c r="B892" s="166"/>
      <c r="C892" s="945"/>
      <c r="D892" s="945"/>
      <c r="E892" s="997"/>
      <c r="F892" s="998"/>
      <c r="G892" s="997">
        <f>+VLOOKUP(Data_Validation!$A892,BV_Data_An_Cour!$L:$Q,6,0)</f>
        <v>0</v>
      </c>
      <c r="H892" s="163"/>
    </row>
    <row r="893" spans="1:29" ht="15" customHeight="1">
      <c r="A893" s="166"/>
      <c r="B893" s="166"/>
      <c r="C893" s="945"/>
      <c r="D893" s="945"/>
      <c r="E893" s="997"/>
      <c r="F893" s="998"/>
      <c r="G893" s="997">
        <f>+VLOOKUP(Data_Validation!$A893,BV_Data_An_Cour!$L:$Q,6,0)</f>
        <v>0</v>
      </c>
      <c r="H893" s="165"/>
      <c r="I893" s="2"/>
      <c r="J893" s="2"/>
      <c r="L893" s="2"/>
      <c r="M893" s="2"/>
      <c r="N893" s="2"/>
      <c r="O893" s="2"/>
      <c r="P893" s="2"/>
      <c r="Q893" s="2"/>
      <c r="R893" s="2"/>
      <c r="S893" s="2"/>
      <c r="T893" s="2"/>
      <c r="U893" s="2"/>
      <c r="V893" s="2"/>
      <c r="W893" s="2"/>
      <c r="X893" s="2"/>
      <c r="Y893" s="2"/>
      <c r="Z893" s="2"/>
      <c r="AA893" s="2"/>
      <c r="AB893" s="2"/>
      <c r="AC893" s="2"/>
    </row>
    <row r="894" spans="1:29" ht="15" customHeight="1">
      <c r="A894" s="166"/>
      <c r="B894" s="166"/>
      <c r="C894" s="945"/>
      <c r="D894" s="945"/>
      <c r="E894" s="997"/>
      <c r="F894" s="998"/>
      <c r="G894" s="997">
        <f>+VLOOKUP(Data_Validation!$A894,BV_Data_An_Cour!$L:$Q,6,0)</f>
        <v>0</v>
      </c>
      <c r="H894" s="163"/>
    </row>
    <row r="895" spans="1:29" ht="15" customHeight="1">
      <c r="A895" s="166"/>
      <c r="B895" s="166"/>
      <c r="C895" s="945"/>
      <c r="D895" s="945"/>
      <c r="E895" s="997"/>
      <c r="F895" s="998"/>
      <c r="G895" s="997">
        <f>+VLOOKUP(Data_Validation!$A895,BV_Data_An_Cour!$L:$Q,6,0)</f>
        <v>0</v>
      </c>
      <c r="H895" s="163"/>
    </row>
    <row r="896" spans="1:29" ht="15" customHeight="1">
      <c r="A896" s="167"/>
      <c r="B896" s="171"/>
      <c r="C896" s="945"/>
      <c r="D896" s="945"/>
      <c r="E896" s="997"/>
      <c r="F896" s="998"/>
      <c r="G896" s="997"/>
      <c r="H896" s="163"/>
    </row>
    <row r="897" spans="1:29" ht="15" customHeight="1">
      <c r="A897" s="167"/>
      <c r="B897" s="171"/>
      <c r="C897" s="945"/>
      <c r="D897" s="945"/>
      <c r="E897" s="997"/>
      <c r="F897" s="998"/>
      <c r="G897" s="997"/>
      <c r="H897" s="163"/>
    </row>
    <row r="898" spans="1:29" ht="15" customHeight="1">
      <c r="A898" s="167"/>
      <c r="B898" s="171"/>
      <c r="C898" s="945"/>
      <c r="D898" s="945"/>
      <c r="E898" s="997"/>
      <c r="F898" s="998"/>
      <c r="G898" s="997"/>
      <c r="H898" s="163"/>
    </row>
    <row r="899" spans="1:29" ht="15" customHeight="1">
      <c r="A899" s="167"/>
      <c r="B899" s="171"/>
      <c r="C899" s="945"/>
      <c r="D899" s="945"/>
      <c r="E899" s="997"/>
      <c r="F899" s="998"/>
      <c r="G899" s="997"/>
      <c r="H899" s="165"/>
      <c r="I899" s="2"/>
      <c r="J899" s="2"/>
      <c r="L899" s="2"/>
      <c r="M899" s="2"/>
      <c r="N899" s="2"/>
      <c r="O899" s="2"/>
      <c r="P899" s="2"/>
      <c r="Q899" s="2"/>
      <c r="R899" s="2"/>
      <c r="S899" s="2"/>
      <c r="T899" s="2"/>
      <c r="U899" s="2"/>
      <c r="V899" s="2"/>
      <c r="W899" s="2"/>
      <c r="X899" s="2"/>
      <c r="Y899" s="2"/>
      <c r="Z899" s="2"/>
      <c r="AA899" s="2"/>
      <c r="AB899" s="2"/>
      <c r="AC899" s="2"/>
    </row>
    <row r="900" spans="1:29" ht="15" customHeight="1">
      <c r="A900" s="167"/>
      <c r="B900" s="171"/>
      <c r="C900" s="945"/>
      <c r="D900" s="945"/>
      <c r="E900" s="997"/>
      <c r="F900" s="998"/>
      <c r="G900" s="997"/>
      <c r="H900" s="163"/>
    </row>
    <row r="901" spans="1:29" ht="15" customHeight="1">
      <c r="A901" s="167"/>
      <c r="B901" s="171"/>
      <c r="C901" s="945"/>
      <c r="D901" s="945"/>
      <c r="E901" s="997"/>
      <c r="F901" s="998"/>
      <c r="G901" s="997"/>
      <c r="H901" s="163"/>
    </row>
    <row r="902" spans="1:29" ht="15" customHeight="1">
      <c r="A902" s="167"/>
      <c r="B902" s="171"/>
      <c r="C902" s="945"/>
      <c r="D902" s="945"/>
      <c r="E902" s="997"/>
      <c r="F902" s="998"/>
      <c r="G902" s="997"/>
      <c r="H902" s="165"/>
      <c r="I902" s="2"/>
      <c r="J902" s="2"/>
      <c r="L902" s="2"/>
      <c r="M902" s="2"/>
      <c r="N902" s="2"/>
      <c r="O902" s="2"/>
      <c r="P902" s="2"/>
      <c r="Q902" s="2"/>
      <c r="R902" s="2"/>
      <c r="S902" s="2"/>
      <c r="T902" s="2"/>
      <c r="U902" s="2"/>
      <c r="V902" s="2"/>
      <c r="W902" s="2"/>
      <c r="X902" s="2"/>
      <c r="Y902" s="2"/>
      <c r="Z902" s="2"/>
      <c r="AA902" s="2"/>
      <c r="AB902" s="2"/>
      <c r="AC902" s="2"/>
    </row>
    <row r="903" spans="1:29" ht="15" customHeight="1">
      <c r="A903" s="1016"/>
      <c r="B903" s="1009"/>
      <c r="C903" s="1010"/>
      <c r="D903" s="945"/>
      <c r="E903" s="997"/>
      <c r="F903" s="998"/>
      <c r="G903" s="997"/>
      <c r="H903" s="163"/>
    </row>
    <row r="904" spans="1:29" ht="15" customHeight="1">
      <c r="A904" s="167"/>
      <c r="B904" s="171"/>
      <c r="C904" s="945"/>
      <c r="D904" s="945"/>
      <c r="E904" s="997"/>
      <c r="F904" s="998"/>
      <c r="G904" s="997"/>
      <c r="H904" s="163"/>
    </row>
    <row r="905" spans="1:29" ht="15" customHeight="1">
      <c r="A905" s="167"/>
      <c r="B905" s="171"/>
      <c r="C905" s="945"/>
      <c r="D905" s="945"/>
      <c r="E905" s="997"/>
      <c r="F905" s="998"/>
      <c r="G905" s="997"/>
      <c r="H905" s="163"/>
    </row>
    <row r="906" spans="1:29" ht="15" customHeight="1">
      <c r="A906" s="167"/>
      <c r="B906" s="171"/>
      <c r="C906" s="945"/>
      <c r="D906" s="945"/>
      <c r="E906" s="997"/>
      <c r="F906" s="998"/>
      <c r="G906" s="997"/>
      <c r="H906" s="163"/>
    </row>
    <row r="907" spans="1:29" ht="15" customHeight="1">
      <c r="A907" s="167"/>
      <c r="B907" s="171"/>
      <c r="C907" s="945"/>
      <c r="D907" s="945"/>
      <c r="E907" s="997"/>
      <c r="F907" s="998"/>
      <c r="G907" s="997"/>
      <c r="H907" s="163"/>
    </row>
    <row r="908" spans="1:29" ht="15" customHeight="1">
      <c r="A908" s="167"/>
      <c r="B908" s="171"/>
      <c r="C908" s="945"/>
      <c r="D908" s="945"/>
      <c r="E908" s="997"/>
      <c r="F908" s="998"/>
      <c r="G908" s="997"/>
      <c r="H908" s="163"/>
    </row>
    <row r="909" spans="1:29" ht="15" customHeight="1">
      <c r="A909" s="167"/>
      <c r="B909" s="171"/>
      <c r="C909" s="945"/>
      <c r="D909" s="945"/>
      <c r="E909" s="997"/>
      <c r="F909" s="998"/>
      <c r="G909" s="997"/>
      <c r="H909" s="163"/>
    </row>
    <row r="910" spans="1:29" ht="15" customHeight="1">
      <c r="A910" s="167"/>
      <c r="B910" s="171"/>
      <c r="C910" s="945"/>
      <c r="D910" s="945"/>
      <c r="E910" s="997"/>
      <c r="F910" s="998"/>
      <c r="G910" s="997"/>
      <c r="H910" s="163"/>
    </row>
    <row r="911" spans="1:29" ht="15" customHeight="1">
      <c r="A911" s="167"/>
      <c r="B911" s="171"/>
      <c r="C911" s="945"/>
      <c r="D911" s="945"/>
      <c r="E911" s="997"/>
      <c r="F911" s="998"/>
      <c r="G911" s="997"/>
      <c r="H911" s="163"/>
    </row>
    <row r="912" spans="1:29" ht="15" customHeight="1">
      <c r="A912" s="167"/>
      <c r="B912" s="171"/>
      <c r="C912" s="945"/>
      <c r="D912" s="945"/>
      <c r="E912" s="997"/>
      <c r="F912" s="998"/>
      <c r="G912" s="997"/>
      <c r="H912" s="163"/>
    </row>
    <row r="913" spans="1:8" ht="15" customHeight="1">
      <c r="A913" s="167"/>
      <c r="B913" s="171"/>
      <c r="C913" s="945"/>
      <c r="D913" s="945"/>
      <c r="E913" s="997"/>
      <c r="F913" s="998"/>
      <c r="G913" s="997"/>
      <c r="H913" s="163"/>
    </row>
    <row r="914" spans="1:8" ht="15" customHeight="1">
      <c r="A914" s="167"/>
      <c r="B914" s="171"/>
      <c r="C914" s="945"/>
      <c r="D914" s="945"/>
      <c r="E914" s="997"/>
      <c r="F914" s="998"/>
      <c r="G914" s="997"/>
      <c r="H914" s="163"/>
    </row>
    <row r="915" spans="1:8" ht="15" customHeight="1">
      <c r="A915" s="953"/>
      <c r="B915" s="171"/>
      <c r="C915" s="945"/>
      <c r="D915" s="945"/>
      <c r="E915" s="997"/>
      <c r="F915" s="998"/>
      <c r="G915" s="997"/>
      <c r="H915" s="163"/>
    </row>
    <row r="916" spans="1:8" ht="15" customHeight="1">
      <c r="A916" s="953"/>
      <c r="B916" s="171"/>
      <c r="C916" s="945"/>
      <c r="D916" s="945"/>
      <c r="E916" s="997"/>
      <c r="F916" s="998"/>
      <c r="G916" s="997"/>
      <c r="H916" s="163"/>
    </row>
    <row r="917" spans="1:8" ht="15" customHeight="1">
      <c r="A917" s="167"/>
      <c r="B917" s="171"/>
      <c r="C917" s="945"/>
      <c r="D917" s="945"/>
      <c r="E917" s="997"/>
      <c r="F917" s="998"/>
      <c r="G917" s="997"/>
      <c r="H917" s="163"/>
    </row>
    <row r="918" spans="1:8" ht="15" customHeight="1">
      <c r="A918" s="167"/>
      <c r="B918" s="171"/>
      <c r="C918" s="945"/>
      <c r="D918" s="945"/>
      <c r="E918" s="997"/>
      <c r="F918" s="998"/>
      <c r="G918" s="997"/>
      <c r="H918" s="163"/>
    </row>
    <row r="919" spans="1:8" ht="15" customHeight="1">
      <c r="A919" s="167"/>
      <c r="B919" s="171"/>
      <c r="C919" s="945"/>
      <c r="D919" s="945"/>
      <c r="E919" s="997"/>
      <c r="F919" s="998"/>
      <c r="G919" s="997"/>
      <c r="H919" s="163"/>
    </row>
    <row r="920" spans="1:8" ht="15" customHeight="1">
      <c r="A920" s="954"/>
      <c r="B920" s="1019"/>
      <c r="C920" s="945"/>
      <c r="D920" s="945"/>
      <c r="E920" s="997"/>
      <c r="F920" s="998"/>
      <c r="G920" s="997"/>
      <c r="H920" s="163"/>
    </row>
    <row r="921" spans="1:8" ht="15" customHeight="1">
      <c r="A921" s="167"/>
      <c r="B921" s="171"/>
      <c r="C921" s="945"/>
      <c r="D921" s="945"/>
      <c r="E921" s="997"/>
      <c r="F921" s="998"/>
      <c r="G921" s="997"/>
      <c r="H921" s="163"/>
    </row>
    <row r="922" spans="1:8" ht="15" customHeight="1">
      <c r="A922" s="167"/>
      <c r="B922" s="171"/>
      <c r="C922" s="945"/>
      <c r="D922" s="945"/>
      <c r="E922" s="997"/>
      <c r="F922" s="998"/>
      <c r="G922" s="997"/>
      <c r="H922" s="163"/>
    </row>
    <row r="923" spans="1:8" ht="15" customHeight="1">
      <c r="A923" s="167"/>
      <c r="B923" s="171"/>
      <c r="C923" s="945"/>
      <c r="D923" s="945"/>
      <c r="E923" s="997"/>
      <c r="F923" s="998"/>
      <c r="G923" s="997"/>
      <c r="H923" s="163"/>
    </row>
    <row r="924" spans="1:8" ht="15" customHeight="1">
      <c r="A924" s="167"/>
      <c r="B924" s="171"/>
      <c r="C924" s="945"/>
      <c r="D924" s="945"/>
      <c r="E924" s="997"/>
      <c r="F924" s="998"/>
      <c r="G924" s="997"/>
      <c r="H924" s="163"/>
    </row>
    <row r="925" spans="1:8" ht="15" customHeight="1">
      <c r="A925" s="167"/>
      <c r="B925" s="171"/>
      <c r="C925" s="945"/>
      <c r="D925" s="945"/>
      <c r="E925" s="997"/>
      <c r="F925" s="998"/>
      <c r="G925" s="997"/>
      <c r="H925" s="163"/>
    </row>
    <row r="926" spans="1:8" ht="15" customHeight="1">
      <c r="A926" s="167"/>
      <c r="B926" s="171"/>
      <c r="C926" s="945"/>
      <c r="D926" s="945"/>
      <c r="E926" s="997"/>
      <c r="F926" s="998"/>
      <c r="G926" s="997"/>
      <c r="H926" s="163"/>
    </row>
    <row r="927" spans="1:8" ht="15" customHeight="1">
      <c r="A927" s="167"/>
      <c r="B927" s="171"/>
      <c r="C927" s="945"/>
      <c r="D927" s="945"/>
      <c r="E927" s="997"/>
      <c r="F927" s="998"/>
      <c r="G927" s="997"/>
      <c r="H927" s="163"/>
    </row>
    <row r="928" spans="1:8" ht="15" customHeight="1">
      <c r="A928" s="167"/>
      <c r="B928" s="171"/>
      <c r="C928" s="945"/>
      <c r="D928" s="945"/>
      <c r="E928" s="997"/>
      <c r="F928" s="998"/>
      <c r="G928" s="997"/>
      <c r="H928" s="163"/>
    </row>
    <row r="929" spans="1:11" ht="15" customHeight="1">
      <c r="A929" s="167"/>
      <c r="B929" s="171"/>
      <c r="C929" s="945"/>
      <c r="D929" s="945"/>
      <c r="E929" s="997"/>
      <c r="F929" s="998"/>
      <c r="G929" s="997"/>
      <c r="H929" s="163"/>
    </row>
    <row r="930" spans="1:11" ht="15" customHeight="1">
      <c r="A930" s="167"/>
      <c r="B930" s="945"/>
      <c r="C930" s="945"/>
      <c r="D930" s="945"/>
      <c r="E930" s="997"/>
      <c r="F930" s="998"/>
      <c r="G930" s="997"/>
      <c r="H930" s="163"/>
    </row>
    <row r="931" spans="1:11" ht="15" customHeight="1">
      <c r="A931" s="167"/>
      <c r="B931" s="171"/>
      <c r="C931" s="945"/>
      <c r="D931" s="945"/>
      <c r="E931" s="997"/>
      <c r="F931" s="998"/>
      <c r="G931" s="997"/>
      <c r="H931" s="163"/>
    </row>
    <row r="932" spans="1:11" ht="15" customHeight="1">
      <c r="A932" s="167"/>
      <c r="B932" s="171"/>
      <c r="C932" s="945"/>
      <c r="D932" s="945"/>
      <c r="E932" s="997"/>
      <c r="F932" s="998"/>
      <c r="G932" s="997"/>
      <c r="H932" s="163"/>
    </row>
    <row r="933" spans="1:11" ht="15" customHeight="1">
      <c r="A933" s="167"/>
      <c r="B933" s="171"/>
      <c r="C933" s="945"/>
      <c r="D933" s="945"/>
      <c r="E933" s="997"/>
      <c r="F933" s="998"/>
      <c r="G933" s="997"/>
      <c r="H933" s="163"/>
      <c r="K933" s="2"/>
    </row>
    <row r="934" spans="1:11" ht="15" customHeight="1">
      <c r="A934" s="167"/>
      <c r="B934" s="171"/>
      <c r="C934" s="945"/>
      <c r="D934" s="945"/>
      <c r="E934" s="997"/>
      <c r="F934" s="998"/>
      <c r="G934" s="997"/>
      <c r="H934" s="163"/>
    </row>
    <row r="935" spans="1:11" ht="15" customHeight="1">
      <c r="A935" s="167"/>
      <c r="B935" s="171"/>
      <c r="C935" s="945"/>
      <c r="D935" s="945"/>
      <c r="E935" s="997"/>
      <c r="F935" s="998"/>
      <c r="G935" s="997"/>
      <c r="H935" s="163"/>
    </row>
    <row r="936" spans="1:11" ht="15" customHeight="1">
      <c r="A936" s="167"/>
      <c r="B936" s="171"/>
      <c r="C936" s="945"/>
      <c r="D936" s="945"/>
      <c r="E936" s="997"/>
      <c r="F936" s="998"/>
      <c r="G936" s="997"/>
      <c r="H936" s="163"/>
    </row>
    <row r="937" spans="1:11" ht="15" customHeight="1">
      <c r="A937" s="167"/>
      <c r="B937" s="171"/>
      <c r="C937" s="945"/>
      <c r="D937" s="945"/>
      <c r="E937" s="997"/>
      <c r="F937" s="998"/>
      <c r="G937" s="997"/>
      <c r="H937" s="163"/>
    </row>
    <row r="938" spans="1:11" ht="15" customHeight="1">
      <c r="A938" s="167"/>
      <c r="B938" s="171"/>
      <c r="C938" s="945"/>
      <c r="D938" s="945"/>
      <c r="E938" s="997"/>
      <c r="F938" s="998"/>
      <c r="G938" s="997"/>
      <c r="H938" s="163"/>
    </row>
    <row r="939" spans="1:11" ht="15" customHeight="1">
      <c r="A939" s="167"/>
      <c r="B939" s="171"/>
      <c r="C939" s="945"/>
      <c r="D939" s="945"/>
      <c r="E939" s="997"/>
      <c r="F939" s="998"/>
      <c r="G939" s="997"/>
      <c r="H939" s="163"/>
    </row>
    <row r="940" spans="1:11" ht="15" customHeight="1">
      <c r="A940" s="167"/>
      <c r="B940" s="171"/>
      <c r="C940" s="945"/>
      <c r="D940" s="945"/>
      <c r="E940" s="997"/>
      <c r="F940" s="998"/>
      <c r="G940" s="997"/>
      <c r="H940" s="163"/>
    </row>
    <row r="941" spans="1:11" ht="15" customHeight="1">
      <c r="A941" s="167"/>
      <c r="B941" s="171"/>
      <c r="C941" s="945"/>
      <c r="D941" s="945"/>
      <c r="E941" s="997"/>
      <c r="F941" s="998"/>
      <c r="G941" s="997"/>
      <c r="H941" s="163"/>
    </row>
    <row r="942" spans="1:11" ht="15" customHeight="1">
      <c r="A942" s="167"/>
      <c r="B942" s="171"/>
      <c r="C942" s="945"/>
      <c r="D942" s="945"/>
      <c r="E942" s="997"/>
      <c r="F942" s="998"/>
      <c r="G942" s="997"/>
      <c r="H942" s="163"/>
    </row>
    <row r="943" spans="1:11" ht="15" customHeight="1">
      <c r="A943" s="167"/>
      <c r="B943" s="171"/>
      <c r="C943" s="945"/>
      <c r="D943" s="945"/>
      <c r="E943" s="997"/>
      <c r="F943" s="998"/>
      <c r="G943" s="997"/>
      <c r="H943" s="163"/>
    </row>
    <row r="944" spans="1:11" ht="15" customHeight="1">
      <c r="A944" s="167"/>
      <c r="B944" s="171"/>
      <c r="C944" s="945"/>
      <c r="D944" s="945"/>
      <c r="E944" s="997"/>
      <c r="F944" s="998"/>
      <c r="G944" s="997"/>
      <c r="H944" s="163"/>
      <c r="K944" s="2"/>
    </row>
    <row r="945" spans="1:11" ht="15" customHeight="1">
      <c r="A945" s="167"/>
      <c r="B945" s="171"/>
      <c r="C945" s="945"/>
      <c r="D945" s="945"/>
      <c r="E945" s="997"/>
      <c r="F945" s="998"/>
      <c r="G945" s="997"/>
      <c r="H945" s="163"/>
    </row>
    <row r="946" spans="1:11" ht="15" customHeight="1">
      <c r="A946" s="167"/>
      <c r="B946" s="171"/>
      <c r="C946" s="945"/>
      <c r="D946" s="945"/>
      <c r="E946" s="997"/>
      <c r="F946" s="998"/>
      <c r="G946" s="997"/>
      <c r="H946" s="163"/>
    </row>
    <row r="947" spans="1:11" ht="15" customHeight="1">
      <c r="A947" s="167"/>
      <c r="B947" s="171"/>
      <c r="C947" s="945"/>
      <c r="D947" s="945"/>
      <c r="E947" s="997"/>
      <c r="F947" s="998"/>
      <c r="G947" s="997"/>
      <c r="H947" s="163"/>
    </row>
    <row r="948" spans="1:11" ht="15" customHeight="1">
      <c r="A948" s="167"/>
      <c r="B948" s="171"/>
      <c r="C948" s="945"/>
      <c r="D948" s="945"/>
      <c r="E948" s="997"/>
      <c r="F948" s="998"/>
      <c r="G948" s="997"/>
      <c r="H948" s="163"/>
    </row>
    <row r="949" spans="1:11" ht="15" customHeight="1">
      <c r="A949" s="167"/>
      <c r="B949" s="171"/>
      <c r="C949" s="945"/>
      <c r="D949" s="945"/>
      <c r="E949" s="997"/>
      <c r="F949" s="998"/>
      <c r="G949" s="997"/>
      <c r="H949" s="163"/>
    </row>
    <row r="950" spans="1:11" ht="15" customHeight="1">
      <c r="A950" s="167"/>
      <c r="B950" s="171"/>
      <c r="C950" s="945"/>
      <c r="D950" s="945"/>
      <c r="E950" s="997"/>
      <c r="F950" s="998"/>
      <c r="G950" s="997"/>
      <c r="H950" s="163"/>
      <c r="K950" s="2"/>
    </row>
    <row r="951" spans="1:11" ht="15" customHeight="1">
      <c r="A951" s="167"/>
      <c r="B951" s="171"/>
      <c r="C951" s="945"/>
      <c r="D951" s="945"/>
      <c r="E951" s="997"/>
      <c r="F951" s="998"/>
      <c r="G951" s="997"/>
      <c r="H951" s="163"/>
    </row>
    <row r="952" spans="1:11" ht="15" customHeight="1">
      <c r="A952" s="167"/>
      <c r="B952" s="171"/>
      <c r="C952" s="945"/>
      <c r="D952" s="945"/>
      <c r="E952" s="997"/>
      <c r="F952" s="998"/>
      <c r="G952" s="997"/>
      <c r="H952" s="163"/>
    </row>
    <row r="953" spans="1:11" ht="15" customHeight="1">
      <c r="A953" s="167"/>
      <c r="B953" s="171"/>
      <c r="C953" s="945"/>
      <c r="D953" s="945"/>
      <c r="E953" s="997"/>
      <c r="F953" s="998"/>
      <c r="G953" s="997"/>
      <c r="H953" s="163"/>
      <c r="K953" s="2"/>
    </row>
    <row r="954" spans="1:11" ht="15" customHeight="1">
      <c r="A954" s="167"/>
      <c r="B954" s="171"/>
      <c r="C954" s="945"/>
      <c r="D954" s="945"/>
      <c r="E954" s="997"/>
      <c r="F954" s="998"/>
      <c r="G954" s="997"/>
      <c r="H954" s="163"/>
    </row>
    <row r="955" spans="1:11" ht="15" customHeight="1">
      <c r="A955" s="167"/>
      <c r="B955" s="171"/>
      <c r="C955" s="945"/>
      <c r="D955" s="945"/>
      <c r="E955" s="997"/>
      <c r="F955" s="998"/>
      <c r="G955" s="997"/>
      <c r="H955" s="163"/>
    </row>
    <row r="956" spans="1:11" ht="15" customHeight="1">
      <c r="A956" s="167"/>
      <c r="B956" s="171"/>
      <c r="C956" s="945"/>
      <c r="D956" s="945"/>
      <c r="E956" s="997"/>
      <c r="F956" s="998"/>
      <c r="G956" s="997"/>
      <c r="H956" s="163"/>
    </row>
    <row r="957" spans="1:11" ht="15" customHeight="1">
      <c r="A957" s="1020"/>
      <c r="B957" s="172"/>
      <c r="C957" s="945"/>
      <c r="D957" s="945"/>
      <c r="E957" s="997"/>
      <c r="F957" s="998"/>
      <c r="G957" s="997"/>
      <c r="H957" s="163"/>
    </row>
    <row r="958" spans="1:11" ht="15" customHeight="1">
      <c r="A958" s="167"/>
      <c r="B958" s="171"/>
      <c r="C958" s="945"/>
      <c r="D958" s="945"/>
      <c r="E958" s="997"/>
      <c r="F958" s="998"/>
      <c r="G958" s="997"/>
      <c r="H958" s="163"/>
    </row>
    <row r="959" spans="1:11" ht="15" customHeight="1">
      <c r="A959" s="167"/>
      <c r="B959" s="171"/>
      <c r="C959" s="945"/>
      <c r="D959" s="945"/>
      <c r="E959" s="997"/>
      <c r="F959" s="998"/>
      <c r="G959" s="997"/>
      <c r="H959" s="163"/>
    </row>
    <row r="960" spans="1:11" ht="15" customHeight="1">
      <c r="A960" s="167"/>
      <c r="B960" s="171"/>
      <c r="C960" s="945"/>
      <c r="D960" s="945"/>
      <c r="E960" s="997"/>
      <c r="F960" s="998"/>
      <c r="G960" s="997"/>
      <c r="H960" s="163"/>
    </row>
    <row r="961" spans="1:29" ht="15" customHeight="1">
      <c r="A961" s="167"/>
      <c r="B961" s="171"/>
      <c r="C961" s="945"/>
      <c r="D961" s="945"/>
      <c r="E961" s="997"/>
      <c r="F961" s="998"/>
      <c r="G961" s="997"/>
      <c r="H961" s="163"/>
    </row>
    <row r="962" spans="1:29" ht="15" customHeight="1">
      <c r="A962" s="167"/>
      <c r="B962" s="171"/>
      <c r="C962" s="945"/>
      <c r="D962" s="945"/>
      <c r="E962" s="997"/>
      <c r="F962" s="998"/>
      <c r="G962" s="997"/>
      <c r="H962" s="163"/>
    </row>
    <row r="963" spans="1:29" ht="15" customHeight="1">
      <c r="A963" s="167"/>
      <c r="B963" s="171"/>
      <c r="C963" s="945"/>
      <c r="D963" s="945"/>
      <c r="E963" s="997"/>
      <c r="F963" s="998"/>
      <c r="G963" s="997"/>
      <c r="H963" s="165"/>
      <c r="I963" s="2"/>
      <c r="J963" s="2"/>
      <c r="L963" s="2"/>
      <c r="M963" s="2"/>
      <c r="N963" s="2"/>
      <c r="O963" s="2"/>
      <c r="P963" s="2"/>
      <c r="Q963" s="2"/>
      <c r="R963" s="2"/>
      <c r="S963" s="2"/>
      <c r="T963" s="2"/>
      <c r="U963" s="2"/>
      <c r="V963" s="2"/>
      <c r="W963" s="2"/>
      <c r="X963" s="2"/>
      <c r="Y963" s="2"/>
      <c r="Z963" s="2"/>
      <c r="AA963" s="2"/>
      <c r="AB963" s="2"/>
      <c r="AC963" s="2"/>
    </row>
    <row r="964" spans="1:29" ht="15" customHeight="1">
      <c r="A964" s="167"/>
      <c r="B964" s="171"/>
      <c r="C964" s="945"/>
      <c r="D964" s="945"/>
      <c r="E964" s="997"/>
      <c r="F964" s="998"/>
      <c r="G964" s="997"/>
      <c r="H964" s="163"/>
    </row>
    <row r="965" spans="1:29" ht="15" customHeight="1">
      <c r="A965" s="167"/>
      <c r="B965" s="171"/>
      <c r="C965" s="945"/>
      <c r="D965" s="945"/>
      <c r="E965" s="997"/>
      <c r="F965" s="998"/>
      <c r="G965" s="997"/>
      <c r="H965" s="163"/>
    </row>
    <row r="966" spans="1:29" ht="15" customHeight="1">
      <c r="A966" s="167"/>
      <c r="B966" s="171"/>
      <c r="C966" s="945"/>
      <c r="D966" s="945"/>
      <c r="E966" s="997"/>
      <c r="F966" s="998"/>
      <c r="G966" s="997"/>
      <c r="H966" s="163"/>
    </row>
    <row r="967" spans="1:29" ht="15" customHeight="1">
      <c r="A967" s="167"/>
      <c r="B967" s="171"/>
      <c r="C967" s="945"/>
      <c r="D967" s="945"/>
      <c r="E967" s="997"/>
      <c r="F967" s="998"/>
      <c r="G967" s="997"/>
      <c r="H967" s="163"/>
    </row>
    <row r="968" spans="1:29" ht="15" customHeight="1">
      <c r="A968" s="167"/>
      <c r="B968" s="171"/>
      <c r="C968" s="945"/>
      <c r="D968" s="945"/>
      <c r="E968" s="997"/>
      <c r="F968" s="998"/>
      <c r="G968" s="997"/>
      <c r="H968" s="163"/>
    </row>
    <row r="969" spans="1:29" ht="15" customHeight="1">
      <c r="A969" s="167"/>
      <c r="B969" s="171"/>
      <c r="C969" s="945"/>
      <c r="D969" s="945"/>
      <c r="E969" s="997"/>
      <c r="F969" s="998"/>
      <c r="G969" s="997"/>
      <c r="H969" s="163"/>
    </row>
    <row r="970" spans="1:29" ht="15" customHeight="1">
      <c r="A970" s="167"/>
      <c r="B970" s="171"/>
      <c r="C970" s="945"/>
      <c r="D970" s="945"/>
      <c r="E970" s="997"/>
      <c r="F970" s="998"/>
      <c r="G970" s="997"/>
      <c r="H970" s="163"/>
    </row>
    <row r="971" spans="1:29" ht="15" customHeight="1">
      <c r="A971" s="167"/>
      <c r="B971" s="171"/>
      <c r="C971" s="945"/>
      <c r="D971" s="945"/>
      <c r="E971" s="997"/>
      <c r="F971" s="998"/>
      <c r="G971" s="997"/>
      <c r="H971" s="163"/>
    </row>
    <row r="972" spans="1:29" ht="15" customHeight="1">
      <c r="A972" s="167"/>
      <c r="B972" s="171"/>
      <c r="C972" s="945"/>
      <c r="D972" s="945"/>
      <c r="E972" s="997"/>
      <c r="F972" s="998"/>
      <c r="G972" s="997"/>
      <c r="H972" s="163"/>
    </row>
    <row r="973" spans="1:29" ht="15" customHeight="1">
      <c r="A973" s="167"/>
      <c r="B973" s="171"/>
      <c r="C973" s="945"/>
      <c r="D973" s="945"/>
      <c r="E973" s="997"/>
      <c r="F973" s="998"/>
      <c r="G973" s="997"/>
      <c r="H973" s="163"/>
    </row>
    <row r="974" spans="1:29" ht="15" customHeight="1">
      <c r="A974" s="1020"/>
      <c r="B974" s="172"/>
      <c r="C974" s="945"/>
      <c r="D974" s="945"/>
      <c r="E974" s="997"/>
      <c r="F974" s="998"/>
      <c r="G974" s="997"/>
      <c r="H974" s="163"/>
      <c r="M974" s="2"/>
      <c r="N974" s="2"/>
      <c r="O974" s="2"/>
    </row>
    <row r="975" spans="1:29" ht="15" customHeight="1">
      <c r="A975" s="167"/>
      <c r="B975" s="171"/>
      <c r="C975" s="945"/>
      <c r="D975" s="945"/>
      <c r="E975" s="997"/>
      <c r="F975" s="998"/>
      <c r="G975" s="997"/>
      <c r="H975" s="163"/>
    </row>
    <row r="976" spans="1:29" ht="15" customHeight="1">
      <c r="A976" s="167"/>
      <c r="B976" s="171"/>
      <c r="C976" s="945"/>
      <c r="D976" s="945"/>
      <c r="E976" s="997"/>
      <c r="F976" s="998"/>
      <c r="G976" s="997"/>
      <c r="H976" s="163"/>
    </row>
    <row r="977" spans="1:8" ht="15" customHeight="1">
      <c r="A977" s="167"/>
      <c r="B977" s="171"/>
      <c r="C977" s="945"/>
      <c r="D977" s="945"/>
      <c r="E977" s="997"/>
      <c r="F977" s="998"/>
      <c r="G977" s="997"/>
      <c r="H977" s="163"/>
    </row>
    <row r="978" spans="1:8" ht="15" customHeight="1">
      <c r="A978" s="167"/>
      <c r="B978" s="171"/>
      <c r="C978" s="945"/>
      <c r="D978" s="945"/>
      <c r="E978" s="997"/>
      <c r="F978" s="998"/>
      <c r="G978" s="997"/>
      <c r="H978" s="163"/>
    </row>
    <row r="979" spans="1:8" ht="15" customHeight="1">
      <c r="A979" s="167"/>
      <c r="B979" s="171"/>
      <c r="C979" s="945"/>
      <c r="D979" s="945"/>
      <c r="E979" s="997"/>
      <c r="F979" s="998"/>
      <c r="G979" s="997"/>
      <c r="H979" s="163"/>
    </row>
    <row r="980" spans="1:8" ht="15" customHeight="1">
      <c r="A980" s="167"/>
      <c r="B980" s="171"/>
      <c r="C980" s="945"/>
      <c r="D980" s="945"/>
      <c r="E980" s="997"/>
      <c r="F980" s="998"/>
      <c r="G980" s="997"/>
      <c r="H980" s="163"/>
    </row>
    <row r="981" spans="1:8" ht="15" customHeight="1">
      <c r="A981" s="167"/>
      <c r="B981" s="171"/>
      <c r="C981" s="945"/>
      <c r="D981" s="945"/>
      <c r="E981" s="997"/>
      <c r="F981" s="998"/>
      <c r="G981" s="997"/>
      <c r="H981" s="163"/>
    </row>
    <row r="982" spans="1:8" ht="15" customHeight="1">
      <c r="A982" s="167"/>
      <c r="B982" s="171"/>
      <c r="C982" s="945"/>
      <c r="D982" s="945"/>
      <c r="E982" s="997"/>
      <c r="F982" s="998"/>
      <c r="G982" s="997"/>
      <c r="H982" s="163"/>
    </row>
    <row r="983" spans="1:8" ht="15" customHeight="1">
      <c r="A983" s="167"/>
      <c r="B983" s="171"/>
      <c r="C983" s="945"/>
      <c r="D983" s="945"/>
      <c r="E983" s="997"/>
      <c r="F983" s="998"/>
      <c r="G983" s="997"/>
      <c r="H983" s="163"/>
    </row>
    <row r="984" spans="1:8" ht="15" customHeight="1">
      <c r="A984" s="167"/>
      <c r="B984" s="171"/>
      <c r="C984" s="945"/>
      <c r="D984" s="945"/>
      <c r="E984" s="997"/>
      <c r="F984" s="998"/>
      <c r="G984" s="997"/>
      <c r="H984" s="163"/>
    </row>
    <row r="985" spans="1:8" ht="15" customHeight="1">
      <c r="A985" s="167"/>
      <c r="B985" s="171"/>
      <c r="C985" s="945"/>
      <c r="D985" s="945"/>
      <c r="E985" s="997"/>
      <c r="F985" s="998"/>
      <c r="G985" s="997"/>
      <c r="H985" s="163"/>
    </row>
    <row r="986" spans="1:8" ht="15" customHeight="1">
      <c r="A986" s="167"/>
      <c r="B986" s="171"/>
      <c r="C986" s="945"/>
      <c r="D986" s="945"/>
      <c r="E986" s="997"/>
      <c r="F986" s="998"/>
      <c r="G986" s="997"/>
      <c r="H986" s="163"/>
    </row>
    <row r="987" spans="1:8" ht="15" customHeight="1">
      <c r="A987" s="167"/>
      <c r="B987" s="171"/>
      <c r="C987" s="945"/>
      <c r="D987" s="945"/>
      <c r="E987" s="997"/>
      <c r="F987" s="998"/>
      <c r="G987" s="997"/>
      <c r="H987" s="163"/>
    </row>
    <row r="988" spans="1:8" ht="15" customHeight="1">
      <c r="A988" s="167"/>
      <c r="B988" s="171"/>
      <c r="C988" s="945"/>
      <c r="D988" s="945"/>
      <c r="E988" s="997"/>
      <c r="F988" s="998"/>
      <c r="G988" s="997"/>
      <c r="H988" s="163"/>
    </row>
    <row r="989" spans="1:8" ht="15" customHeight="1">
      <c r="A989" s="167"/>
      <c r="B989" s="171"/>
      <c r="C989" s="945"/>
      <c r="D989" s="945"/>
      <c r="E989" s="997"/>
      <c r="F989" s="998"/>
      <c r="G989" s="997"/>
      <c r="H989" s="163"/>
    </row>
    <row r="990" spans="1:8" ht="15" customHeight="1">
      <c r="A990" s="167"/>
      <c r="B990" s="171"/>
      <c r="C990" s="945"/>
      <c r="D990" s="945"/>
      <c r="E990" s="997"/>
      <c r="F990" s="998"/>
      <c r="G990" s="997"/>
      <c r="H990" s="163"/>
    </row>
    <row r="991" spans="1:8" ht="15" customHeight="1">
      <c r="A991" s="167"/>
      <c r="B991" s="171"/>
      <c r="C991" s="945"/>
      <c r="D991" s="945"/>
      <c r="E991" s="997"/>
      <c r="F991" s="998"/>
      <c r="G991" s="997"/>
      <c r="H991" s="163"/>
    </row>
    <row r="992" spans="1:8" ht="15" customHeight="1">
      <c r="A992" s="167"/>
      <c r="B992" s="945"/>
      <c r="C992" s="945"/>
      <c r="D992" s="945"/>
      <c r="E992" s="997"/>
      <c r="F992" s="998"/>
      <c r="G992" s="997"/>
      <c r="H992" s="163"/>
    </row>
    <row r="993" spans="1:29" ht="15" customHeight="1">
      <c r="A993" s="167"/>
      <c r="B993" s="171"/>
      <c r="C993" s="945"/>
      <c r="D993" s="945"/>
      <c r="E993" s="997"/>
      <c r="F993" s="998"/>
      <c r="G993" s="997"/>
      <c r="H993" s="163"/>
    </row>
    <row r="994" spans="1:29" ht="15" customHeight="1">
      <c r="A994" s="167"/>
      <c r="B994" s="171"/>
      <c r="C994" s="945"/>
      <c r="D994" s="945"/>
      <c r="E994" s="997"/>
      <c r="F994" s="998"/>
      <c r="G994" s="997"/>
      <c r="H994" s="163"/>
    </row>
    <row r="995" spans="1:29" ht="15" customHeight="1">
      <c r="A995" s="173"/>
      <c r="B995" s="174"/>
      <c r="C995" s="175"/>
      <c r="D995" s="175"/>
      <c r="E995" s="997"/>
      <c r="F995" s="998"/>
      <c r="G995" s="997"/>
      <c r="H995" s="163"/>
    </row>
    <row r="996" spans="1:29" ht="15" customHeight="1">
      <c r="A996" s="167"/>
      <c r="B996" s="171"/>
      <c r="C996" s="945"/>
      <c r="D996" s="945"/>
      <c r="E996" s="997"/>
      <c r="F996" s="998"/>
      <c r="G996" s="997"/>
      <c r="H996" s="163"/>
    </row>
    <row r="997" spans="1:29" ht="15" customHeight="1">
      <c r="A997" s="167"/>
      <c r="B997" s="171"/>
      <c r="C997" s="945"/>
      <c r="D997" s="945"/>
      <c r="E997" s="997"/>
      <c r="F997" s="998"/>
      <c r="G997" s="997"/>
      <c r="H997" s="163"/>
    </row>
    <row r="998" spans="1:29" ht="15" customHeight="1">
      <c r="A998" s="167"/>
      <c r="B998" s="171"/>
      <c r="C998" s="945"/>
      <c r="D998" s="945"/>
      <c r="E998" s="997"/>
      <c r="F998" s="998"/>
      <c r="G998" s="997"/>
      <c r="H998" s="163"/>
    </row>
    <row r="999" spans="1:29" ht="15" customHeight="1">
      <c r="A999" s="167"/>
      <c r="B999" s="171"/>
      <c r="C999" s="945"/>
      <c r="D999" s="945"/>
      <c r="E999" s="997"/>
      <c r="F999" s="998"/>
      <c r="G999" s="997"/>
      <c r="H999" s="165"/>
      <c r="I999" s="2"/>
      <c r="J999" s="2"/>
      <c r="L999" s="2"/>
      <c r="M999" s="2"/>
      <c r="N999" s="2"/>
      <c r="O999" s="2"/>
      <c r="P999" s="2"/>
      <c r="Q999" s="2"/>
      <c r="R999" s="2"/>
      <c r="S999" s="2"/>
      <c r="T999" s="2"/>
      <c r="U999" s="2"/>
      <c r="V999" s="2"/>
      <c r="W999" s="2"/>
      <c r="X999" s="2"/>
      <c r="Y999" s="2"/>
      <c r="Z999" s="2"/>
      <c r="AA999" s="2"/>
      <c r="AB999" s="2"/>
      <c r="AC999" s="2"/>
    </row>
    <row r="1000" spans="1:29" ht="15" customHeight="1">
      <c r="A1000" s="167"/>
      <c r="B1000" s="171"/>
      <c r="C1000" s="945"/>
      <c r="D1000" s="945"/>
      <c r="E1000" s="997"/>
      <c r="F1000" s="998"/>
      <c r="G1000" s="997"/>
      <c r="H1000" s="163"/>
    </row>
    <row r="1001" spans="1:29" ht="15" customHeight="1">
      <c r="A1001" s="167"/>
      <c r="B1001" s="171"/>
      <c r="C1001" s="945"/>
      <c r="D1001" s="945"/>
      <c r="E1001" s="997"/>
      <c r="F1001" s="998"/>
      <c r="G1001" s="997"/>
      <c r="H1001" s="163"/>
    </row>
    <row r="1002" spans="1:29" ht="15" customHeight="1">
      <c r="A1002" s="167"/>
      <c r="B1002" s="171"/>
      <c r="C1002" s="945"/>
      <c r="D1002" s="945"/>
      <c r="E1002" s="997"/>
      <c r="F1002" s="998"/>
      <c r="G1002" s="997"/>
      <c r="H1002" s="165"/>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7"/>
      <c r="B1003" s="171"/>
      <c r="C1003" s="945"/>
      <c r="D1003" s="945"/>
      <c r="E1003" s="997"/>
      <c r="F1003" s="998"/>
      <c r="G1003" s="997"/>
      <c r="H1003" s="165"/>
      <c r="I1003" s="2"/>
      <c r="J1003" s="2"/>
      <c r="L1003" s="2"/>
      <c r="M1003" s="2"/>
      <c r="N1003" s="2"/>
      <c r="O1003" s="2"/>
      <c r="P1003" s="2"/>
      <c r="Q1003" s="2"/>
      <c r="R1003" s="2"/>
      <c r="S1003" s="2"/>
      <c r="T1003" s="2"/>
      <c r="U1003" s="2"/>
      <c r="V1003" s="2"/>
      <c r="W1003" s="2"/>
      <c r="X1003" s="2"/>
      <c r="Y1003" s="2"/>
      <c r="Z1003" s="2"/>
      <c r="AA1003" s="2"/>
      <c r="AB1003" s="2"/>
      <c r="AC1003" s="2"/>
    </row>
    <row r="1004" spans="1:29" ht="15" customHeight="1">
      <c r="A1004" s="167"/>
      <c r="B1004" s="171"/>
      <c r="C1004" s="945"/>
      <c r="D1004" s="945"/>
      <c r="E1004" s="997"/>
      <c r="F1004" s="998"/>
      <c r="G1004" s="997"/>
      <c r="H1004" s="163"/>
    </row>
    <row r="1005" spans="1:29" ht="15" customHeight="1">
      <c r="A1005" s="167"/>
      <c r="B1005" s="171"/>
      <c r="C1005" s="945"/>
      <c r="D1005" s="945"/>
      <c r="E1005" s="997"/>
      <c r="F1005" s="998"/>
      <c r="G1005" s="997"/>
      <c r="H1005" s="163"/>
    </row>
    <row r="1006" spans="1:29" ht="15" customHeight="1">
      <c r="A1006" s="167"/>
      <c r="B1006" s="171"/>
      <c r="C1006" s="945"/>
      <c r="D1006" s="945"/>
      <c r="E1006" s="997"/>
      <c r="F1006" s="998"/>
      <c r="G1006" s="997"/>
      <c r="H1006" s="163"/>
      <c r="K1006" s="2"/>
    </row>
    <row r="1007" spans="1:29" ht="15" customHeight="1">
      <c r="A1007" s="167"/>
      <c r="B1007" s="171"/>
      <c r="C1007" s="945"/>
      <c r="D1007" s="945"/>
      <c r="E1007" s="997"/>
      <c r="F1007" s="998"/>
      <c r="G1007" s="997"/>
      <c r="H1007" s="163"/>
    </row>
    <row r="1008" spans="1:29" ht="15" customHeight="1">
      <c r="A1008" s="167"/>
      <c r="B1008" s="171"/>
      <c r="C1008" s="945"/>
      <c r="D1008" s="945"/>
      <c r="E1008" s="997"/>
      <c r="F1008" s="998"/>
      <c r="G1008" s="997"/>
      <c r="H1008" s="163"/>
    </row>
    <row r="1009" spans="1:29" ht="15" customHeight="1">
      <c r="A1009" s="167"/>
      <c r="B1009" s="171"/>
      <c r="C1009" s="945"/>
      <c r="D1009" s="945"/>
      <c r="E1009" s="997"/>
      <c r="F1009" s="998"/>
      <c r="G1009" s="997"/>
      <c r="H1009" s="165"/>
      <c r="I1009" s="2"/>
      <c r="J1009" s="2"/>
      <c r="L1009" s="2"/>
      <c r="M1009" s="2"/>
      <c r="N1009" s="2"/>
      <c r="O1009" s="2"/>
      <c r="P1009" s="2"/>
      <c r="Q1009" s="2"/>
      <c r="R1009" s="2"/>
      <c r="S1009" s="2"/>
      <c r="T1009" s="2"/>
      <c r="U1009" s="2"/>
      <c r="V1009" s="2"/>
      <c r="W1009" s="2"/>
      <c r="X1009" s="2"/>
      <c r="Y1009" s="2"/>
      <c r="Z1009" s="2"/>
      <c r="AA1009" s="2"/>
      <c r="AB1009" s="2"/>
      <c r="AC1009" s="2"/>
    </row>
    <row r="1010" spans="1:29" ht="15" customHeight="1">
      <c r="A1010" s="167"/>
      <c r="B1010" s="171"/>
      <c r="C1010" s="945"/>
      <c r="D1010" s="945"/>
      <c r="E1010" s="997"/>
      <c r="F1010" s="998"/>
      <c r="G1010" s="997"/>
      <c r="H1010" s="163"/>
    </row>
    <row r="1011" spans="1:29" ht="15" customHeight="1">
      <c r="A1011" s="167"/>
      <c r="B1011" s="171"/>
      <c r="C1011" s="945"/>
      <c r="D1011" s="945"/>
      <c r="E1011" s="997"/>
      <c r="F1011" s="998"/>
      <c r="G1011" s="997"/>
      <c r="H1011" s="163"/>
    </row>
    <row r="1012" spans="1:29" ht="15" customHeight="1">
      <c r="A1012" s="167"/>
      <c r="B1012" s="171"/>
      <c r="C1012" s="945"/>
      <c r="D1012" s="945"/>
      <c r="E1012" s="997"/>
      <c r="F1012" s="998"/>
      <c r="G1012" s="997"/>
      <c r="H1012" s="163"/>
    </row>
    <row r="1013" spans="1:29" ht="15" customHeight="1">
      <c r="A1013" s="167"/>
      <c r="B1013" s="171"/>
      <c r="C1013" s="945"/>
      <c r="D1013" s="945"/>
      <c r="E1013" s="997"/>
      <c r="F1013" s="998"/>
      <c r="G1013" s="997"/>
      <c r="H1013" s="163"/>
    </row>
    <row r="1014" spans="1:29" ht="15" customHeight="1">
      <c r="A1014" s="167"/>
      <c r="B1014" s="171"/>
      <c r="C1014" s="945"/>
      <c r="D1014" s="945"/>
      <c r="E1014" s="997"/>
      <c r="F1014" s="998"/>
      <c r="G1014" s="997"/>
      <c r="H1014" s="163"/>
      <c r="K1014" s="2"/>
    </row>
    <row r="1015" spans="1:29" ht="15" customHeight="1">
      <c r="A1015" s="167"/>
      <c r="B1015" s="171"/>
      <c r="C1015" s="945"/>
      <c r="D1015" s="945"/>
      <c r="E1015" s="997"/>
      <c r="F1015" s="998"/>
      <c r="G1015" s="997"/>
      <c r="H1015" s="163"/>
    </row>
    <row r="1016" spans="1:29" ht="15" customHeight="1">
      <c r="A1016" s="167"/>
      <c r="B1016" s="171"/>
      <c r="C1016" s="945"/>
      <c r="D1016" s="945"/>
      <c r="E1016" s="997"/>
      <c r="F1016" s="998"/>
      <c r="G1016" s="997"/>
      <c r="H1016" s="163"/>
    </row>
    <row r="1017" spans="1:29" ht="15" customHeight="1">
      <c r="A1017" s="167"/>
      <c r="B1017" s="171"/>
      <c r="C1017" s="945"/>
      <c r="D1017" s="945"/>
      <c r="E1017" s="997"/>
      <c r="F1017" s="998"/>
      <c r="G1017" s="997"/>
      <c r="H1017" s="163"/>
    </row>
    <row r="1018" spans="1:29" ht="15" customHeight="1">
      <c r="A1018" s="167"/>
      <c r="B1018" s="171"/>
      <c r="C1018" s="945"/>
      <c r="D1018" s="945"/>
      <c r="E1018" s="997"/>
      <c r="F1018" s="998"/>
      <c r="G1018" s="997"/>
      <c r="H1018" s="163"/>
    </row>
    <row r="1019" spans="1:29" ht="15" customHeight="1">
      <c r="A1019" s="167"/>
      <c r="B1019" s="171"/>
      <c r="C1019" s="945"/>
      <c r="D1019" s="945"/>
      <c r="E1019" s="997"/>
      <c r="F1019" s="998"/>
      <c r="G1019" s="997"/>
      <c r="H1019" s="163"/>
    </row>
    <row r="1020" spans="1:29" ht="15" customHeight="1">
      <c r="A1020" s="167"/>
      <c r="B1020" s="171"/>
      <c r="C1020" s="945"/>
      <c r="D1020" s="945"/>
      <c r="E1020" s="997"/>
      <c r="F1020" s="998"/>
      <c r="G1020" s="997"/>
      <c r="H1020" s="163"/>
    </row>
    <row r="1021" spans="1:29" ht="15" customHeight="1">
      <c r="A1021" s="167"/>
      <c r="B1021" s="171"/>
      <c r="C1021" s="945"/>
      <c r="D1021" s="945"/>
      <c r="E1021" s="997"/>
      <c r="F1021" s="998"/>
      <c r="G1021" s="997"/>
      <c r="H1021" s="163"/>
    </row>
    <row r="1022" spans="1:29" ht="15" customHeight="1">
      <c r="A1022" s="167"/>
      <c r="B1022" s="171"/>
      <c r="C1022" s="945"/>
      <c r="D1022" s="945"/>
      <c r="E1022" s="997"/>
      <c r="F1022" s="998"/>
      <c r="G1022" s="997"/>
      <c r="H1022" s="163"/>
    </row>
    <row r="1023" spans="1:29" ht="15" customHeight="1">
      <c r="A1023" s="167"/>
      <c r="B1023" s="171"/>
      <c r="C1023" s="945"/>
      <c r="D1023" s="945"/>
      <c r="E1023" s="997"/>
      <c r="F1023" s="998"/>
      <c r="G1023" s="997"/>
      <c r="H1023" s="163"/>
    </row>
    <row r="1024" spans="1:29" ht="15" customHeight="1">
      <c r="A1024" s="167"/>
      <c r="B1024" s="171"/>
      <c r="C1024" s="945"/>
      <c r="D1024" s="945"/>
      <c r="E1024" s="997"/>
      <c r="F1024" s="998"/>
      <c r="G1024" s="997"/>
      <c r="H1024" s="163"/>
    </row>
    <row r="1025" spans="1:8" ht="15" customHeight="1">
      <c r="A1025" s="167"/>
      <c r="B1025" s="171"/>
      <c r="C1025" s="945"/>
      <c r="D1025" s="945"/>
      <c r="E1025" s="997"/>
      <c r="F1025" s="998"/>
      <c r="G1025" s="997"/>
      <c r="H1025" s="163"/>
    </row>
    <row r="1026" spans="1:8" ht="15" customHeight="1">
      <c r="A1026" s="167"/>
      <c r="B1026" s="171"/>
      <c r="C1026" s="945"/>
      <c r="D1026" s="945"/>
      <c r="E1026" s="997"/>
      <c r="F1026" s="998"/>
      <c r="G1026" s="997"/>
      <c r="H1026" s="163"/>
    </row>
    <row r="1027" spans="1:8" ht="15" customHeight="1">
      <c r="A1027" s="167"/>
      <c r="B1027" s="171"/>
      <c r="C1027" s="945"/>
      <c r="D1027" s="945"/>
      <c r="E1027" s="997"/>
      <c r="F1027" s="998"/>
      <c r="G1027" s="997"/>
      <c r="H1027" s="163"/>
    </row>
    <row r="1028" spans="1:8" ht="15" customHeight="1">
      <c r="A1028" s="954"/>
      <c r="B1028" s="1009"/>
      <c r="C1028" s="1010"/>
      <c r="D1028" s="945"/>
      <c r="E1028" s="997"/>
      <c r="F1028" s="998"/>
      <c r="G1028" s="997"/>
      <c r="H1028" s="163"/>
    </row>
    <row r="1029" spans="1:8" ht="15" customHeight="1">
      <c r="A1029" s="167"/>
      <c r="B1029" s="171"/>
      <c r="C1029" s="945"/>
      <c r="D1029" s="945"/>
      <c r="E1029" s="997"/>
      <c r="F1029" s="998"/>
      <c r="G1029" s="997"/>
      <c r="H1029" s="163"/>
    </row>
    <row r="1030" spans="1:8" ht="15" customHeight="1">
      <c r="A1030" s="167"/>
      <c r="B1030" s="171"/>
      <c r="C1030" s="945"/>
      <c r="D1030" s="945"/>
      <c r="E1030" s="997"/>
      <c r="F1030" s="998"/>
      <c r="G1030" s="997"/>
      <c r="H1030" s="163"/>
    </row>
    <row r="1031" spans="1:8" ht="15" customHeight="1">
      <c r="A1031" s="167"/>
      <c r="B1031" s="171"/>
      <c r="C1031" s="945"/>
      <c r="D1031" s="945"/>
      <c r="E1031" s="997"/>
      <c r="F1031" s="998"/>
      <c r="G1031" s="997"/>
      <c r="H1031" s="163"/>
    </row>
    <row r="1032" spans="1:8" ht="15" customHeight="1">
      <c r="A1032" s="167"/>
      <c r="B1032" s="171"/>
      <c r="C1032" s="945"/>
      <c r="D1032" s="945"/>
      <c r="E1032" s="997"/>
      <c r="F1032" s="998"/>
      <c r="G1032" s="997"/>
      <c r="H1032" s="163"/>
    </row>
    <row r="1033" spans="1:8" ht="15" customHeight="1">
      <c r="A1033" s="167"/>
      <c r="B1033" s="171"/>
      <c r="C1033" s="945"/>
      <c r="D1033" s="945"/>
      <c r="E1033" s="997"/>
      <c r="F1033" s="998"/>
      <c r="G1033" s="997"/>
      <c r="H1033" s="163"/>
    </row>
    <row r="1034" spans="1:8" ht="15" customHeight="1">
      <c r="A1034" s="167"/>
      <c r="B1034" s="171"/>
      <c r="C1034" s="945"/>
      <c r="D1034" s="945"/>
      <c r="E1034" s="997"/>
      <c r="F1034" s="998"/>
      <c r="G1034" s="997"/>
      <c r="H1034" s="163"/>
    </row>
    <row r="1035" spans="1:8" ht="15" customHeight="1">
      <c r="A1035" s="167"/>
      <c r="B1035" s="171"/>
      <c r="C1035" s="945"/>
      <c r="D1035" s="945"/>
      <c r="E1035" s="997"/>
      <c r="F1035" s="998"/>
      <c r="G1035" s="997"/>
      <c r="H1035" s="163"/>
    </row>
    <row r="1036" spans="1:8" ht="15" customHeight="1">
      <c r="A1036" s="167"/>
      <c r="B1036" s="171"/>
      <c r="C1036" s="945"/>
      <c r="D1036" s="945"/>
      <c r="E1036" s="997"/>
      <c r="F1036" s="998"/>
      <c r="G1036" s="997"/>
      <c r="H1036" s="163"/>
    </row>
    <row r="1037" spans="1:8" ht="15" customHeight="1">
      <c r="A1037" s="167"/>
      <c r="B1037" s="171"/>
      <c r="C1037" s="945"/>
      <c r="D1037" s="945"/>
      <c r="E1037" s="997"/>
      <c r="F1037" s="998"/>
      <c r="G1037" s="997"/>
      <c r="H1037" s="163"/>
    </row>
    <row r="1038" spans="1:8" ht="15" customHeight="1">
      <c r="A1038" s="167"/>
      <c r="B1038" s="171"/>
      <c r="C1038" s="945"/>
      <c r="D1038" s="945"/>
      <c r="E1038" s="997"/>
      <c r="F1038" s="998"/>
      <c r="G1038" s="997"/>
      <c r="H1038" s="163"/>
    </row>
    <row r="1039" spans="1:8" ht="15" customHeight="1">
      <c r="A1039" s="167"/>
      <c r="B1039" s="171"/>
      <c r="C1039" s="945"/>
      <c r="D1039" s="945"/>
      <c r="E1039" s="997"/>
      <c r="F1039" s="998"/>
      <c r="G1039" s="997"/>
      <c r="H1039" s="163"/>
    </row>
    <row r="1040" spans="1:8" ht="15" customHeight="1">
      <c r="A1040" s="167"/>
      <c r="B1040" s="171"/>
      <c r="C1040" s="945"/>
      <c r="D1040" s="945"/>
      <c r="E1040" s="997"/>
      <c r="F1040" s="998"/>
      <c r="G1040" s="997"/>
      <c r="H1040" s="163"/>
    </row>
    <row r="1041" spans="1:11" ht="15" customHeight="1">
      <c r="A1041" s="167"/>
      <c r="B1041" s="171"/>
      <c r="C1041" s="945"/>
      <c r="D1041" s="945"/>
      <c r="E1041" s="997"/>
      <c r="F1041" s="998"/>
      <c r="G1041" s="997"/>
      <c r="H1041" s="163"/>
    </row>
    <row r="1042" spans="1:11" ht="15" customHeight="1">
      <c r="A1042" s="167"/>
      <c r="B1042" s="171"/>
      <c r="C1042" s="945"/>
      <c r="D1042" s="945"/>
      <c r="E1042" s="997"/>
      <c r="F1042" s="998"/>
      <c r="G1042" s="997"/>
      <c r="H1042" s="163"/>
    </row>
    <row r="1043" spans="1:11" ht="15" customHeight="1">
      <c r="A1043" s="167"/>
      <c r="B1043" s="171"/>
      <c r="C1043" s="945"/>
      <c r="D1043" s="945"/>
      <c r="E1043" s="997"/>
      <c r="F1043" s="998"/>
      <c r="G1043" s="997"/>
      <c r="H1043" s="163"/>
    </row>
    <row r="1044" spans="1:11" ht="15" customHeight="1">
      <c r="A1044" s="167"/>
      <c r="B1044" s="171"/>
      <c r="C1044" s="945"/>
      <c r="D1044" s="945"/>
      <c r="E1044" s="997"/>
      <c r="F1044" s="998"/>
      <c r="G1044" s="997"/>
      <c r="H1044" s="163"/>
    </row>
    <row r="1045" spans="1:11" ht="15" customHeight="1">
      <c r="A1045" s="167"/>
      <c r="B1045" s="171"/>
      <c r="C1045" s="945"/>
      <c r="D1045" s="945"/>
      <c r="E1045" s="997"/>
      <c r="F1045" s="998"/>
      <c r="G1045" s="997"/>
      <c r="H1045" s="163"/>
    </row>
    <row r="1046" spans="1:11" ht="15" customHeight="1">
      <c r="A1046" s="167"/>
      <c r="B1046" s="171"/>
      <c r="C1046" s="945"/>
      <c r="D1046" s="945"/>
      <c r="E1046" s="997"/>
      <c r="F1046" s="998"/>
      <c r="G1046" s="997"/>
      <c r="H1046" s="163"/>
    </row>
    <row r="1047" spans="1:11" ht="15" customHeight="1">
      <c r="A1047" s="167"/>
      <c r="B1047" s="171"/>
      <c r="C1047" s="945"/>
      <c r="D1047" s="945"/>
      <c r="E1047" s="997"/>
      <c r="F1047" s="998"/>
      <c r="G1047" s="997"/>
      <c r="H1047" s="163"/>
    </row>
    <row r="1048" spans="1:11" ht="15" customHeight="1">
      <c r="A1048" s="167"/>
      <c r="B1048" s="171"/>
      <c r="C1048" s="945"/>
      <c r="D1048" s="945"/>
      <c r="E1048" s="997"/>
      <c r="F1048" s="998"/>
      <c r="G1048" s="997"/>
      <c r="H1048" s="163"/>
    </row>
    <row r="1049" spans="1:11" ht="15" customHeight="1">
      <c r="A1049" s="167"/>
      <c r="B1049" s="171"/>
      <c r="C1049" s="945"/>
      <c r="D1049" s="945"/>
      <c r="E1049" s="997"/>
      <c r="F1049" s="998"/>
      <c r="G1049" s="997"/>
      <c r="H1049" s="163"/>
    </row>
    <row r="1050" spans="1:11" ht="15" customHeight="1">
      <c r="A1050" s="167"/>
      <c r="B1050" s="171"/>
      <c r="C1050" s="945"/>
      <c r="D1050" s="945"/>
      <c r="E1050" s="997"/>
      <c r="F1050" s="998"/>
      <c r="G1050" s="997"/>
      <c r="H1050" s="163"/>
    </row>
    <row r="1051" spans="1:11" ht="15" customHeight="1">
      <c r="A1051" s="167"/>
      <c r="B1051" s="172"/>
      <c r="C1051" s="945"/>
      <c r="D1051" s="945"/>
      <c r="E1051" s="997"/>
      <c r="F1051" s="998"/>
      <c r="G1051" s="997"/>
      <c r="H1051" s="163"/>
    </row>
    <row r="1052" spans="1:11" ht="15" customHeight="1">
      <c r="A1052" s="167"/>
      <c r="B1052" s="171"/>
      <c r="C1052" s="945"/>
      <c r="D1052" s="945"/>
      <c r="E1052" s="997"/>
      <c r="F1052" s="998"/>
      <c r="G1052" s="997"/>
      <c r="H1052" s="163"/>
    </row>
    <row r="1053" spans="1:11" ht="15" customHeight="1">
      <c r="A1053" s="167"/>
      <c r="B1053" s="171"/>
      <c r="C1053" s="945"/>
      <c r="D1053" s="945"/>
      <c r="E1053" s="997"/>
      <c r="F1053" s="998"/>
      <c r="G1053" s="997"/>
      <c r="H1053" s="163"/>
      <c r="K1053" s="2"/>
    </row>
    <row r="1054" spans="1:11" ht="15" customHeight="1">
      <c r="A1054" s="167"/>
      <c r="B1054" s="171"/>
      <c r="C1054" s="945"/>
      <c r="D1054" s="945"/>
      <c r="E1054" s="997"/>
      <c r="F1054" s="998"/>
      <c r="G1054" s="997"/>
      <c r="H1054" s="163"/>
      <c r="K1054" s="2"/>
    </row>
    <row r="1055" spans="1:11" ht="15" customHeight="1">
      <c r="A1055" s="167"/>
      <c r="B1055" s="171"/>
      <c r="C1055" s="945"/>
      <c r="D1055" s="945"/>
      <c r="E1055" s="997"/>
      <c r="F1055" s="998"/>
      <c r="G1055" s="997"/>
      <c r="H1055" s="163"/>
    </row>
    <row r="1056" spans="1:11" ht="15" customHeight="1">
      <c r="A1056" s="167"/>
      <c r="B1056" s="171"/>
      <c r="C1056" s="945"/>
      <c r="D1056" s="945"/>
      <c r="E1056" s="997"/>
      <c r="F1056" s="998"/>
      <c r="G1056" s="997"/>
      <c r="H1056" s="163"/>
    </row>
    <row r="1057" spans="1:29" ht="15" customHeight="1">
      <c r="A1057" s="167"/>
      <c r="B1057" s="171"/>
      <c r="C1057" s="945"/>
      <c r="D1057" s="945"/>
      <c r="E1057" s="997"/>
      <c r="F1057" s="998"/>
      <c r="G1057" s="997"/>
      <c r="H1057" s="163"/>
    </row>
    <row r="1058" spans="1:29" ht="15" customHeight="1">
      <c r="A1058" s="167"/>
      <c r="B1058" s="171"/>
      <c r="C1058" s="945"/>
      <c r="D1058" s="945"/>
      <c r="E1058" s="997"/>
      <c r="F1058" s="998"/>
      <c r="G1058" s="997"/>
      <c r="H1058" s="163"/>
    </row>
    <row r="1059" spans="1:29" ht="15.75" customHeight="1">
      <c r="A1059" s="167"/>
      <c r="B1059" s="171"/>
      <c r="C1059" s="945"/>
      <c r="D1059" s="945"/>
      <c r="E1059" s="997"/>
      <c r="F1059" s="998"/>
      <c r="G1059" s="997"/>
      <c r="H1059" s="163"/>
    </row>
    <row r="1060" spans="1:29" ht="15.75" customHeight="1">
      <c r="A1060" s="167"/>
      <c r="B1060" s="171"/>
      <c r="C1060" s="945"/>
      <c r="D1060" s="945"/>
      <c r="E1060" s="997"/>
      <c r="F1060" s="998"/>
      <c r="G1060" s="997"/>
      <c r="H1060" s="163"/>
      <c r="K1060" s="2"/>
    </row>
    <row r="1061" spans="1:29" ht="15.75" customHeight="1">
      <c r="A1061" s="167"/>
      <c r="B1061" s="171"/>
      <c r="C1061" s="945"/>
      <c r="D1061" s="945"/>
      <c r="E1061" s="997"/>
      <c r="F1061" s="998"/>
      <c r="G1061" s="997"/>
      <c r="H1061" s="163"/>
    </row>
    <row r="1062" spans="1:29" ht="15.75" customHeight="1">
      <c r="A1062" s="167"/>
      <c r="B1062" s="171"/>
      <c r="C1062" s="945"/>
      <c r="D1062" s="945"/>
      <c r="E1062" s="997"/>
      <c r="F1062" s="998"/>
      <c r="G1062" s="997"/>
      <c r="H1062" s="163"/>
    </row>
    <row r="1063" spans="1:29" ht="15.75" customHeight="1">
      <c r="A1063" s="167"/>
      <c r="B1063" s="171"/>
      <c r="C1063" s="945"/>
      <c r="D1063" s="945"/>
      <c r="E1063" s="997"/>
      <c r="F1063" s="998"/>
      <c r="G1063" s="997"/>
      <c r="H1063" s="163"/>
    </row>
    <row r="1064" spans="1:29" ht="15.75" customHeight="1">
      <c r="A1064" s="167"/>
      <c r="B1064" s="171"/>
      <c r="C1064" s="945"/>
      <c r="D1064" s="945"/>
      <c r="E1064" s="997"/>
      <c r="F1064" s="998"/>
      <c r="G1064" s="997"/>
      <c r="H1064" s="163"/>
    </row>
    <row r="1065" spans="1:29" ht="15.75" customHeight="1">
      <c r="A1065" s="167"/>
      <c r="B1065" s="171"/>
      <c r="C1065" s="945"/>
      <c r="D1065" s="945"/>
      <c r="E1065" s="997"/>
      <c r="F1065" s="998"/>
      <c r="G1065" s="997"/>
      <c r="H1065" s="163"/>
    </row>
    <row r="1066" spans="1:29" ht="15.75" customHeight="1">
      <c r="A1066" s="167"/>
      <c r="B1066" s="171"/>
      <c r="C1066" s="945"/>
      <c r="D1066" s="945"/>
      <c r="E1066" s="997"/>
      <c r="F1066" s="998"/>
      <c r="G1066" s="997"/>
      <c r="H1066" s="165"/>
      <c r="I1066" s="2"/>
      <c r="J1066" s="2"/>
      <c r="L1066" s="2"/>
      <c r="M1066" s="2"/>
      <c r="N1066" s="2"/>
      <c r="O1066" s="2"/>
      <c r="P1066" s="2"/>
      <c r="Q1066" s="2"/>
      <c r="R1066" s="2"/>
      <c r="S1066" s="2"/>
      <c r="T1066" s="2"/>
      <c r="U1066" s="2"/>
      <c r="V1066" s="2"/>
      <c r="W1066" s="2"/>
      <c r="X1066" s="2"/>
      <c r="Y1066" s="2"/>
      <c r="Z1066" s="2"/>
      <c r="AA1066" s="2"/>
      <c r="AB1066" s="2"/>
      <c r="AC1066" s="2"/>
    </row>
    <row r="1067" spans="1:29" ht="15.75" customHeight="1">
      <c r="A1067" s="167"/>
      <c r="B1067" s="171"/>
      <c r="C1067" s="945"/>
      <c r="D1067" s="945"/>
      <c r="E1067" s="997"/>
      <c r="F1067" s="998"/>
      <c r="G1067" s="997"/>
      <c r="H1067" s="163"/>
    </row>
    <row r="1068" spans="1:29" ht="15.75" customHeight="1">
      <c r="A1068" s="167"/>
      <c r="B1068" s="171"/>
      <c r="C1068" s="945"/>
      <c r="D1068" s="945"/>
      <c r="E1068" s="997"/>
      <c r="F1068" s="998"/>
      <c r="G1068" s="997"/>
      <c r="H1068" s="163"/>
    </row>
    <row r="1069" spans="1:29" ht="15.75" customHeight="1">
      <c r="A1069" s="167"/>
      <c r="B1069" s="171"/>
      <c r="C1069" s="945"/>
      <c r="D1069" s="945"/>
      <c r="E1069" s="997"/>
      <c r="F1069" s="998"/>
      <c r="G1069" s="997"/>
      <c r="H1069" s="163"/>
    </row>
    <row r="1070" spans="1:29" ht="15.75" customHeight="1">
      <c r="A1070" s="167"/>
      <c r="B1070" s="171"/>
      <c r="C1070" s="945"/>
      <c r="D1070" s="945"/>
      <c r="E1070" s="997"/>
      <c r="F1070" s="998"/>
      <c r="G1070" s="997"/>
      <c r="H1070" s="163"/>
    </row>
    <row r="1071" spans="1:29" ht="15.75" customHeight="1">
      <c r="A1071" s="167"/>
      <c r="B1071" s="171"/>
      <c r="C1071" s="945"/>
      <c r="D1071" s="945"/>
      <c r="E1071" s="997"/>
      <c r="F1071" s="998"/>
      <c r="G1071" s="997"/>
      <c r="H1071" s="163"/>
    </row>
    <row r="1072" spans="1:29" ht="15.75" customHeight="1">
      <c r="A1072" s="167"/>
      <c r="B1072" s="171"/>
      <c r="C1072" s="945"/>
      <c r="D1072" s="945"/>
      <c r="E1072" s="997"/>
      <c r="F1072" s="998"/>
      <c r="G1072" s="997"/>
      <c r="H1072" s="163"/>
    </row>
    <row r="1073" spans="1:11" ht="15.75" customHeight="1">
      <c r="A1073" s="167"/>
      <c r="B1073" s="171"/>
      <c r="C1073" s="945"/>
      <c r="D1073" s="945"/>
      <c r="E1073" s="997"/>
      <c r="F1073" s="998"/>
      <c r="G1073" s="997"/>
      <c r="H1073" s="163"/>
      <c r="K1073" s="2"/>
    </row>
    <row r="1074" spans="1:11" ht="15.75" customHeight="1">
      <c r="A1074" s="167"/>
      <c r="B1074" s="171"/>
      <c r="C1074" s="945"/>
      <c r="D1074" s="945"/>
      <c r="E1074" s="997"/>
      <c r="F1074" s="998"/>
      <c r="G1074" s="997"/>
      <c r="H1074" s="163"/>
    </row>
    <row r="1075" spans="1:11" ht="15.75" customHeight="1">
      <c r="A1075" s="167"/>
      <c r="B1075" s="171"/>
      <c r="C1075" s="945"/>
      <c r="D1075" s="945"/>
      <c r="E1075" s="997"/>
      <c r="F1075" s="998"/>
      <c r="G1075" s="997"/>
      <c r="H1075" s="163"/>
    </row>
    <row r="1076" spans="1:11" ht="15.75" customHeight="1">
      <c r="A1076" s="167"/>
      <c r="B1076" s="171"/>
      <c r="C1076" s="945"/>
      <c r="D1076" s="945"/>
      <c r="E1076" s="997"/>
      <c r="F1076" s="998"/>
      <c r="G1076" s="997"/>
      <c r="H1076" s="163"/>
    </row>
    <row r="1077" spans="1:11" ht="15.75" customHeight="1">
      <c r="A1077" s="167"/>
      <c r="B1077" s="171"/>
      <c r="C1077" s="945"/>
      <c r="D1077" s="945"/>
      <c r="E1077" s="997"/>
      <c r="F1077" s="998"/>
      <c r="G1077" s="997"/>
      <c r="H1077" s="163"/>
    </row>
    <row r="1078" spans="1:11" ht="15.75" customHeight="1">
      <c r="A1078" s="167"/>
      <c r="B1078" s="171"/>
      <c r="C1078" s="945"/>
      <c r="D1078" s="945"/>
      <c r="E1078" s="997"/>
      <c r="F1078" s="998"/>
      <c r="G1078" s="997"/>
      <c r="H1078" s="163"/>
    </row>
    <row r="1079" spans="1:11" ht="15.75" customHeight="1">
      <c r="A1079" s="167"/>
      <c r="B1079" s="171"/>
      <c r="C1079" s="945"/>
      <c r="D1079" s="945"/>
      <c r="E1079" s="997"/>
      <c r="F1079" s="998"/>
      <c r="G1079" s="997"/>
      <c r="H1079" s="163"/>
    </row>
    <row r="1080" spans="1:11" ht="15.75" customHeight="1">
      <c r="A1080" s="167"/>
      <c r="B1080" s="171"/>
      <c r="C1080" s="945"/>
      <c r="D1080" s="945"/>
      <c r="E1080" s="997"/>
      <c r="F1080" s="998"/>
      <c r="G1080" s="997"/>
      <c r="H1080" s="163"/>
    </row>
    <row r="1081" spans="1:11" ht="15.75" customHeight="1">
      <c r="A1081" s="167"/>
      <c r="B1081" s="171"/>
      <c r="C1081" s="945"/>
      <c r="D1081" s="945"/>
      <c r="E1081" s="997"/>
      <c r="F1081" s="998"/>
      <c r="G1081" s="997"/>
      <c r="H1081" s="163"/>
    </row>
    <row r="1082" spans="1:11" ht="15.75" customHeight="1">
      <c r="A1082" s="954"/>
      <c r="B1082" s="945"/>
      <c r="C1082" s="945"/>
      <c r="D1082" s="945"/>
      <c r="E1082" s="997"/>
      <c r="F1082" s="998"/>
      <c r="G1082" s="997"/>
      <c r="H1082" s="163"/>
    </row>
    <row r="1083" spans="1:11" ht="15.75" customHeight="1">
      <c r="A1083" s="167"/>
      <c r="B1083" s="171"/>
      <c r="C1083" s="945"/>
      <c r="D1083" s="945"/>
      <c r="E1083" s="997"/>
      <c r="F1083" s="998"/>
      <c r="G1083" s="997"/>
      <c r="H1083" s="163"/>
    </row>
    <row r="1084" spans="1:11" ht="15.75" customHeight="1">
      <c r="A1084" s="167"/>
      <c r="B1084" s="171"/>
      <c r="C1084" s="945"/>
      <c r="D1084" s="945"/>
      <c r="E1084" s="997"/>
      <c r="F1084" s="998"/>
      <c r="G1084" s="997"/>
      <c r="H1084" s="163"/>
    </row>
    <row r="1085" spans="1:11" ht="15.75" customHeight="1">
      <c r="A1085" s="167"/>
      <c r="B1085" s="171"/>
      <c r="C1085" s="945"/>
      <c r="D1085" s="945"/>
      <c r="E1085" s="997"/>
      <c r="F1085" s="998"/>
      <c r="G1085" s="997"/>
      <c r="H1085" s="163"/>
    </row>
    <row r="1086" spans="1:11" ht="15.75" customHeight="1">
      <c r="A1086" s="167"/>
      <c r="B1086" s="171"/>
      <c r="C1086" s="945"/>
      <c r="D1086" s="945"/>
      <c r="E1086" s="997"/>
      <c r="F1086" s="998"/>
      <c r="G1086" s="997"/>
      <c r="H1086" s="163"/>
    </row>
    <row r="1087" spans="1:11" ht="15" customHeight="1">
      <c r="A1087" s="167"/>
      <c r="B1087" s="171"/>
      <c r="C1087" s="945"/>
      <c r="D1087" s="945"/>
      <c r="E1087" s="997"/>
      <c r="F1087" s="998"/>
      <c r="G1087" s="997"/>
    </row>
    <row r="1088" spans="1:11" ht="15" customHeight="1">
      <c r="A1088" s="167"/>
      <c r="B1088" s="171"/>
      <c r="C1088" s="945"/>
      <c r="D1088" s="945"/>
      <c r="E1088" s="997"/>
      <c r="F1088" s="998"/>
      <c r="G1088" s="997"/>
    </row>
    <row r="1089" spans="1:7" ht="15" customHeight="1">
      <c r="A1089" s="167"/>
      <c r="B1089" s="171"/>
      <c r="C1089" s="945"/>
      <c r="D1089" s="945"/>
      <c r="E1089" s="997"/>
      <c r="F1089" s="998"/>
      <c r="G1089" s="997"/>
    </row>
    <row r="1090" spans="1:7" ht="15" customHeight="1">
      <c r="A1090" s="167"/>
      <c r="B1090" s="171"/>
      <c r="C1090" s="945"/>
      <c r="D1090" s="945"/>
      <c r="E1090" s="997"/>
      <c r="F1090" s="998"/>
      <c r="G1090" s="997"/>
    </row>
    <row r="1091" spans="1:7" ht="15" customHeight="1">
      <c r="A1091" s="167"/>
      <c r="B1091" s="171"/>
      <c r="C1091" s="945"/>
      <c r="D1091" s="945"/>
      <c r="E1091" s="997"/>
      <c r="F1091" s="998"/>
      <c r="G1091" s="997"/>
    </row>
    <row r="1092" spans="1:7" ht="15" customHeight="1">
      <c r="A1092" s="953"/>
      <c r="B1092" s="171"/>
      <c r="C1092" s="945"/>
      <c r="D1092" s="945"/>
      <c r="E1092" s="997"/>
      <c r="F1092" s="998"/>
      <c r="G1092" s="997"/>
    </row>
  </sheetData>
  <autoFilter ref="A1:G895" xr:uid="{00000000-0009-0000-0000-00000B000000}"/>
  <dataValidations count="3">
    <dataValidation type="list" allowBlank="1" showErrorMessage="1" sqref="D1" xr:uid="{00000000-0002-0000-0B00-000000000000}">
      <formula1>$K$1:$K$154</formula1>
    </dataValidation>
    <dataValidation type="list" allowBlank="1" showErrorMessage="1" sqref="C2:C1092" xr:uid="{00000000-0002-0000-0B00-000001000000}">
      <formula1>$I$1:$I$11</formula1>
    </dataValidation>
    <dataValidation type="list" allowBlank="1" showInputMessage="1" showErrorMessage="1" sqref="D2:D1186" xr:uid="{00000000-0002-0000-0B00-000002000000}">
      <formula1>$K$3:$K$154</formula1>
    </dataValidation>
  </dataValidations>
  <hyperlinks>
    <hyperlink ref="A548" r:id="rId1" xr:uid="{00000000-0004-0000-0B00-000000000000}"/>
    <hyperlink ref="A119" r:id="rId2" xr:uid="{00000000-0004-0000-0B00-000001000000}"/>
    <hyperlink ref="A512" r:id="rId3" xr:uid="{00000000-0004-0000-0B00-000002000000}"/>
    <hyperlink ref="A539" r:id="rId4" xr:uid="{00000000-0004-0000-0B00-000003000000}"/>
  </hyperlinks>
  <pageMargins left="0.7" right="0.7" top="0.75" bottom="0.75" header="0" footer="0"/>
  <pageSetup orientation="landscape" r:id="rId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00B050"/>
    <outlinePr summaryBelow="0"/>
  </sheetPr>
  <dimension ref="A1:X1055"/>
  <sheetViews>
    <sheetView workbookViewId="0">
      <pane ySplit="1" topLeftCell="A2" activePane="bottomLeft" state="frozen"/>
      <selection pane="bottomLeft"/>
    </sheetView>
  </sheetViews>
  <sheetFormatPr baseColWidth="10" defaultColWidth="12.625" defaultRowHeight="15" customHeight="1"/>
  <cols>
    <col min="1" max="1" width="29.25" style="939" customWidth="1"/>
    <col min="2" max="2" width="31.25" style="939" customWidth="1"/>
    <col min="3" max="3" width="14.625" style="939" customWidth="1"/>
    <col min="4" max="11" width="12.875" style="93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34" t="s">
        <v>265</v>
      </c>
      <c r="B1" s="934" t="s">
        <v>266</v>
      </c>
      <c r="C1" s="935" t="s">
        <v>267</v>
      </c>
      <c r="D1" s="935" t="s">
        <v>268</v>
      </c>
      <c r="E1" s="935" t="s">
        <v>269</v>
      </c>
      <c r="F1" s="934" t="s">
        <v>270</v>
      </c>
      <c r="G1" s="934" t="s">
        <v>271</v>
      </c>
      <c r="H1" s="934" t="s">
        <v>272</v>
      </c>
      <c r="I1" s="935" t="s">
        <v>273</v>
      </c>
      <c r="J1" s="935" t="s">
        <v>274</v>
      </c>
      <c r="K1" s="93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02" t="s">
        <v>2202</v>
      </c>
      <c r="B2" s="1145">
        <v>10</v>
      </c>
      <c r="C2" s="1003"/>
      <c r="D2" s="1003"/>
      <c r="E2" s="1003"/>
      <c r="F2" s="1002" t="s">
        <v>1</v>
      </c>
      <c r="G2" s="1002" t="s">
        <v>2204</v>
      </c>
      <c r="H2" s="1003"/>
      <c r="I2" s="1004">
        <v>0</v>
      </c>
      <c r="J2" s="1004">
        <v>32869</v>
      </c>
      <c r="K2" s="1004">
        <v>32869</v>
      </c>
      <c r="L2" s="153">
        <f t="shared" ref="L2:L256" si="0">+B2</f>
        <v>10</v>
      </c>
      <c r="M2" s="154" t="str">
        <f t="shared" ref="M2:M256" si="1">+A2</f>
        <v>PROFIT/PERTES JANVIER</v>
      </c>
      <c r="N2" s="155">
        <f>+IF(OR($Q2=Parametres!$G$2,$Q2=Parametres!$G$3),I2,C2)</f>
        <v>0</v>
      </c>
      <c r="O2" s="155">
        <f>+IF(OR($Q2=Parametres!$G$2,$Q2=Parametres!$G$3),J2,D2)</f>
        <v>32869</v>
      </c>
      <c r="P2" s="155">
        <f>+IF(OR($Q2=Parametres!$G$2,$Q2=Parametres!$G$3),K2,E2)</f>
        <v>32869</v>
      </c>
      <c r="Q2" s="154" t="str">
        <f t="shared" ref="Q2:S17" si="2">+F2</f>
        <v>1-Mémo</v>
      </c>
      <c r="R2" s="153" t="str">
        <f t="shared" si="2"/>
        <v>1</v>
      </c>
      <c r="S2" s="154">
        <f t="shared" si="2"/>
        <v>0</v>
      </c>
      <c r="T2" s="156">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02" t="s">
        <v>2225</v>
      </c>
      <c r="B3" s="1145">
        <v>229</v>
      </c>
      <c r="C3" s="1003"/>
      <c r="D3" s="1003"/>
      <c r="E3" s="1003"/>
      <c r="F3" s="1002" t="s">
        <v>1</v>
      </c>
      <c r="G3" s="1002" t="s">
        <v>2227</v>
      </c>
      <c r="H3" s="1003"/>
      <c r="I3" s="1004">
        <v>0</v>
      </c>
      <c r="J3" s="1004">
        <v>0.59</v>
      </c>
      <c r="K3" s="1004">
        <v>0.59</v>
      </c>
      <c r="L3" s="153">
        <f t="shared" si="0"/>
        <v>229</v>
      </c>
      <c r="M3" s="154" t="str">
        <f t="shared" si="1"/>
        <v>CUMUL. VIS. CARR. VW</v>
      </c>
      <c r="N3" s="155">
        <f>+IF(OR($Q3=Parametres!$G$2,$Q3=Parametres!$G$3),I3,C3)</f>
        <v>0</v>
      </c>
      <c r="O3" s="575">
        <f>+IF(OR($Q3=Parametres!$G$2,$Q3=Parametres!$G$3),J3,D3)</f>
        <v>0.59</v>
      </c>
      <c r="P3" s="155">
        <f>+IF(OR($Q3=Parametres!$G$2,$Q3=Parametres!$G$3),K3,E3)</f>
        <v>0.59</v>
      </c>
      <c r="Q3" s="154" t="str">
        <f t="shared" si="2"/>
        <v>1-Mémo</v>
      </c>
      <c r="R3" s="153" t="str">
        <f t="shared" si="2"/>
        <v>23</v>
      </c>
      <c r="S3" s="154">
        <f t="shared" si="2"/>
        <v>0</v>
      </c>
      <c r="T3" s="156">
        <f>+VLOOKUP($L3,Data_Validation!$A:$D,1,0)</f>
        <v>229</v>
      </c>
      <c r="U3" s="156">
        <f>+VLOOKUP($L3,Data_Validation!$A:$D,3,0)</f>
        <v>0</v>
      </c>
      <c r="V3" s="156">
        <f>+VLOOKUP($L3,Data_Validation!$A:$D,4,0)</f>
        <v>0</v>
      </c>
      <c r="W3" s="156">
        <f>+VLOOKUP($L3,Data_Validation!$A:$E,5,0)</f>
        <v>0</v>
      </c>
      <c r="X3" s="156">
        <f>+VLOOKUP($L3,Data_Validation!$A:$F,6,0)</f>
        <v>0</v>
      </c>
    </row>
    <row r="4" spans="1:24" ht="15" hidden="1" customHeight="1">
      <c r="A4" s="1002" t="s">
        <v>2228</v>
      </c>
      <c r="B4" s="1145">
        <v>230</v>
      </c>
      <c r="C4" s="1003"/>
      <c r="D4" s="1003"/>
      <c r="E4" s="1003"/>
      <c r="F4" s="1002" t="s">
        <v>1</v>
      </c>
      <c r="G4" s="1002" t="s">
        <v>2227</v>
      </c>
      <c r="H4" s="1003"/>
      <c r="I4" s="1004">
        <v>0</v>
      </c>
      <c r="J4" s="1004">
        <v>6.74</v>
      </c>
      <c r="K4" s="1004">
        <v>6.74</v>
      </c>
      <c r="L4" s="153">
        <f t="shared" si="0"/>
        <v>230</v>
      </c>
      <c r="M4" s="154" t="str">
        <f t="shared" si="1"/>
        <v>CUMUL. VIS. VEH. SERV. VW</v>
      </c>
      <c r="N4" s="155">
        <f>+IF(OR($Q4=Parametres!$G$2,$Q4=Parametres!$G$3),I4,C4)</f>
        <v>0</v>
      </c>
      <c r="O4" s="575">
        <f>+IF(OR($Q4=Parametres!$G$2,$Q4=Parametres!$G$3),J4,D4)</f>
        <v>6.74</v>
      </c>
      <c r="P4" s="155">
        <f>+IF(OR($Q4=Parametres!$G$2,$Q4=Parametres!$G$3),K4,E4)</f>
        <v>6.74</v>
      </c>
      <c r="Q4" s="154" t="str">
        <f t="shared" si="2"/>
        <v>1-Mémo</v>
      </c>
      <c r="R4" s="153" t="str">
        <f t="shared" si="2"/>
        <v>23</v>
      </c>
      <c r="S4" s="154">
        <f t="shared" si="2"/>
        <v>0</v>
      </c>
      <c r="T4" s="156">
        <f>+VLOOKUP($L4,Data_Validation!$A:$D,1,0)</f>
        <v>230</v>
      </c>
      <c r="U4" s="156">
        <f>+VLOOKUP($L4,Data_Validation!$A:$D,3,0)</f>
        <v>0</v>
      </c>
      <c r="V4" s="156">
        <f>+VLOOKUP($L4,Data_Validation!$A:$D,4,0)</f>
        <v>0</v>
      </c>
      <c r="W4" s="156" t="str">
        <f>+VLOOKUP($L4,Data_Validation!$A:$E,5,0)</f>
        <v>$</v>
      </c>
      <c r="X4" s="156">
        <f>+VLOOKUP($L4,Data_Validation!$A:$F,6,0)</f>
        <v>0</v>
      </c>
    </row>
    <row r="5" spans="1:24" ht="15.75" hidden="1" customHeight="1">
      <c r="A5" s="1002" t="s">
        <v>2230</v>
      </c>
      <c r="B5" s="1145">
        <v>234</v>
      </c>
      <c r="C5" s="1003"/>
      <c r="D5" s="1003"/>
      <c r="E5" s="1003"/>
      <c r="F5" s="1002" t="s">
        <v>1</v>
      </c>
      <c r="G5" s="1002" t="s">
        <v>2227</v>
      </c>
      <c r="H5" s="1003"/>
      <c r="I5" s="1004">
        <v>0</v>
      </c>
      <c r="J5" s="1004">
        <v>10.77</v>
      </c>
      <c r="K5" s="1004">
        <v>10.77</v>
      </c>
      <c r="L5" s="153">
        <f t="shared" si="0"/>
        <v>234</v>
      </c>
      <c r="M5" s="154" t="str">
        <f t="shared" si="1"/>
        <v>TOTAL HRES PROD. SERVICE</v>
      </c>
      <c r="N5" s="155">
        <f>+IF(OR($Q5=Parametres!$G$2,$Q5=Parametres!$G$3),I5,C5)</f>
        <v>0</v>
      </c>
      <c r="O5" s="575">
        <f>+IF(OR($Q5=Parametres!$G$2,$Q5=Parametres!$G$3),J5,D5)</f>
        <v>10.77</v>
      </c>
      <c r="P5" s="155">
        <f>+IF(OR($Q5=Parametres!$G$2,$Q5=Parametres!$G$3),K5,E5)</f>
        <v>10.77</v>
      </c>
      <c r="Q5" s="154" t="str">
        <f t="shared" si="2"/>
        <v>1-Mémo</v>
      </c>
      <c r="R5" s="153" t="str">
        <f t="shared" si="2"/>
        <v>23</v>
      </c>
      <c r="S5" s="154">
        <f t="shared" si="2"/>
        <v>0</v>
      </c>
      <c r="T5" s="156">
        <f>+VLOOKUP($L5,Data_Validation!$A:$D,1,0)</f>
        <v>234</v>
      </c>
      <c r="U5" s="156">
        <f>+VLOOKUP($L5,Data_Validation!$A:$D,3,0)</f>
        <v>0</v>
      </c>
      <c r="V5" s="156">
        <f>+VLOOKUP($L5,Data_Validation!$A:$D,4,0)</f>
        <v>0</v>
      </c>
      <c r="W5" s="156">
        <f>+VLOOKUP($L5,Data_Validation!$A:$E,5,0)</f>
        <v>0</v>
      </c>
      <c r="X5" s="156">
        <f>+VLOOKUP($L5,Data_Validation!$A:$F,6,0)</f>
        <v>0</v>
      </c>
    </row>
    <row r="6" spans="1:24" ht="15.75" hidden="1" customHeight="1">
      <c r="A6" s="1002" t="s">
        <v>2232</v>
      </c>
      <c r="B6" s="1145">
        <v>236</v>
      </c>
      <c r="C6" s="1003"/>
      <c r="D6" s="1003"/>
      <c r="E6" s="1003"/>
      <c r="F6" s="1002" t="s">
        <v>1</v>
      </c>
      <c r="G6" s="1002" t="s">
        <v>2227</v>
      </c>
      <c r="H6" s="1003"/>
      <c r="I6" s="1004">
        <v>0</v>
      </c>
      <c r="J6" s="1004">
        <v>10.58</v>
      </c>
      <c r="K6" s="1004">
        <v>10.58</v>
      </c>
      <c r="L6" s="153">
        <f t="shared" si="0"/>
        <v>236</v>
      </c>
      <c r="M6" s="154" t="str">
        <f t="shared" si="1"/>
        <v>HEURES VENDU VW - SERVICE</v>
      </c>
      <c r="N6" s="155">
        <f>+IF(OR($Q6=Parametres!$G$2,$Q6=Parametres!$G$3),I6,C6)</f>
        <v>0</v>
      </c>
      <c r="O6" s="155">
        <f>+IF(OR($Q6=Parametres!$G$2,$Q6=Parametres!$G$3),J6,D6)</f>
        <v>10.58</v>
      </c>
      <c r="P6" s="155">
        <f>+IF(OR($Q6=Parametres!$G$2,$Q6=Parametres!$G$3),K6,E6)</f>
        <v>10.58</v>
      </c>
      <c r="Q6" s="154" t="str">
        <f t="shared" si="2"/>
        <v>1-Mémo</v>
      </c>
      <c r="R6" s="153" t="str">
        <f t="shared" si="2"/>
        <v>23</v>
      </c>
      <c r="S6" s="154">
        <f t="shared" si="2"/>
        <v>0</v>
      </c>
      <c r="T6" s="156">
        <f>+VLOOKUP($L6,Data_Validation!$A:$D,1,0)</f>
        <v>236</v>
      </c>
      <c r="U6" s="156">
        <f>+VLOOKUP($L6,Data_Validation!$A:$D,3,0)</f>
        <v>0</v>
      </c>
      <c r="V6" s="156">
        <f>+VLOOKUP($L6,Data_Validation!$A:$D,4,0)</f>
        <v>0</v>
      </c>
      <c r="W6" s="156">
        <f>+VLOOKUP($L6,Data_Validation!$A:$E,5,0)</f>
        <v>0</v>
      </c>
      <c r="X6" s="156">
        <f>+VLOOKUP($L6,Data_Validation!$A:$F,6,0)</f>
        <v>0</v>
      </c>
    </row>
    <row r="7" spans="1:24" ht="15" hidden="1" customHeight="1">
      <c r="A7" s="1002" t="s">
        <v>2234</v>
      </c>
      <c r="B7" s="1145">
        <v>238</v>
      </c>
      <c r="C7" s="1003"/>
      <c r="D7" s="1003"/>
      <c r="E7" s="1003"/>
      <c r="F7" s="1002" t="s">
        <v>1</v>
      </c>
      <c r="G7" s="1002" t="s">
        <v>2227</v>
      </c>
      <c r="H7" s="1003"/>
      <c r="I7" s="1004">
        <v>0</v>
      </c>
      <c r="J7" s="1004">
        <v>11.85</v>
      </c>
      <c r="K7" s="1004">
        <v>11.85</v>
      </c>
      <c r="L7" s="153">
        <f t="shared" si="0"/>
        <v>238</v>
      </c>
      <c r="M7" s="154" t="str">
        <f t="shared" si="1"/>
        <v>TOT. HEURES DISP. SERVICE</v>
      </c>
      <c r="N7" s="155">
        <f>+IF(OR($Q7=Parametres!$G$2,$Q7=Parametres!$G$3),I7,C7)</f>
        <v>0</v>
      </c>
      <c r="O7" s="575">
        <f>+IF(OR($Q7=Parametres!$G$2,$Q7=Parametres!$G$3),J7,D7)</f>
        <v>11.85</v>
      </c>
      <c r="P7" s="155">
        <f>+IF(OR($Q7=Parametres!$G$2,$Q7=Parametres!$G$3),K7,E7)</f>
        <v>11.85</v>
      </c>
      <c r="Q7" s="154" t="str">
        <f t="shared" si="2"/>
        <v>1-Mémo</v>
      </c>
      <c r="R7" s="153" t="str">
        <f t="shared" si="2"/>
        <v>23</v>
      </c>
      <c r="S7" s="154">
        <f t="shared" si="2"/>
        <v>0</v>
      </c>
      <c r="T7" s="156">
        <f>+VLOOKUP($L7,Data_Validation!$A:$D,1,0)</f>
        <v>238</v>
      </c>
      <c r="U7" s="156">
        <f>+VLOOKUP($L7,Data_Validation!$A:$D,3,0)</f>
        <v>0</v>
      </c>
      <c r="V7" s="156">
        <f>+VLOOKUP($L7,Data_Validation!$A:$D,4,0)</f>
        <v>0</v>
      </c>
      <c r="W7" s="156">
        <f>+VLOOKUP($L7,Data_Validation!$A:$E,5,0)</f>
        <v>0</v>
      </c>
      <c r="X7" s="156">
        <f>+VLOOKUP($L7,Data_Validation!$A:$F,6,0)</f>
        <v>0</v>
      </c>
    </row>
    <row r="8" spans="1:24" ht="15" hidden="1" customHeight="1">
      <c r="A8" s="1002" t="s">
        <v>2236</v>
      </c>
      <c r="B8" s="1145">
        <v>243</v>
      </c>
      <c r="C8" s="1003"/>
      <c r="D8" s="1003"/>
      <c r="E8" s="1003"/>
      <c r="F8" s="1002" t="s">
        <v>1</v>
      </c>
      <c r="G8" s="1002" t="s">
        <v>2238</v>
      </c>
      <c r="H8" s="1003"/>
      <c r="I8" s="1004">
        <v>0</v>
      </c>
      <c r="J8" s="1004">
        <v>134.94999999999999</v>
      </c>
      <c r="K8" s="1004">
        <v>134.94999999999999</v>
      </c>
      <c r="L8" s="153">
        <f t="shared" si="0"/>
        <v>243</v>
      </c>
      <c r="M8" s="154" t="str">
        <f t="shared" si="1"/>
        <v>TAUX M/O CLIENT VW</v>
      </c>
      <c r="N8" s="155">
        <f>+IF(OR($Q8=Parametres!$G$2,$Q8=Parametres!$G$3),I8,C8)</f>
        <v>0</v>
      </c>
      <c r="O8" s="575">
        <f>+IF(OR($Q8=Parametres!$G$2,$Q8=Parametres!$G$3),J8,D8)</f>
        <v>134.94999999999999</v>
      </c>
      <c r="P8" s="155">
        <f>+IF(OR($Q8=Parametres!$G$2,$Q8=Parametres!$G$3),K8,E8)</f>
        <v>134.94999999999999</v>
      </c>
      <c r="Q8" s="154" t="str">
        <f t="shared" si="2"/>
        <v>1-Mémo</v>
      </c>
      <c r="R8" s="153" t="str">
        <f t="shared" si="2"/>
        <v>24</v>
      </c>
      <c r="S8" s="154">
        <f t="shared" si="2"/>
        <v>0</v>
      </c>
      <c r="T8" s="156">
        <f>+VLOOKUP($L8,Data_Validation!$A:$D,1,0)</f>
        <v>243</v>
      </c>
      <c r="U8" s="156">
        <f>+VLOOKUP($L8,Data_Validation!$A:$D,3,0)</f>
        <v>0</v>
      </c>
      <c r="V8" s="156">
        <f>+VLOOKUP($L8,Data_Validation!$A:$D,4,0)</f>
        <v>0</v>
      </c>
      <c r="W8" s="156">
        <f>+VLOOKUP($L8,Data_Validation!$A:$E,5,0)</f>
        <v>0</v>
      </c>
      <c r="X8" s="156">
        <f>+VLOOKUP($L8,Data_Validation!$A:$F,6,0)</f>
        <v>0</v>
      </c>
    </row>
    <row r="9" spans="1:24" ht="15" hidden="1" customHeight="1">
      <c r="A9" s="1002" t="s">
        <v>2239</v>
      </c>
      <c r="B9" s="1145">
        <v>244</v>
      </c>
      <c r="C9" s="1003"/>
      <c r="D9" s="1003"/>
      <c r="E9" s="1003"/>
      <c r="F9" s="1002" t="s">
        <v>1</v>
      </c>
      <c r="G9" s="1002" t="s">
        <v>2238</v>
      </c>
      <c r="H9" s="1003"/>
      <c r="I9" s="1004">
        <v>0</v>
      </c>
      <c r="J9" s="1004">
        <v>119.44</v>
      </c>
      <c r="K9" s="1004">
        <v>119.44</v>
      </c>
      <c r="L9" s="153">
        <f t="shared" si="0"/>
        <v>244</v>
      </c>
      <c r="M9" s="154" t="str">
        <f t="shared" si="1"/>
        <v>TAUX M/O GARANTIE VW</v>
      </c>
      <c r="N9" s="155">
        <f>+IF(OR($Q9=Parametres!$G$2,$Q9=Parametres!$G$3),I9,C9)</f>
        <v>0</v>
      </c>
      <c r="O9" s="575">
        <f>+IF(OR($Q9=Parametres!$G$2,$Q9=Parametres!$G$3),J9,D9)</f>
        <v>119.44</v>
      </c>
      <c r="P9" s="155">
        <f>+IF(OR($Q9=Parametres!$G$2,$Q9=Parametres!$G$3),K9,E9)</f>
        <v>119.44</v>
      </c>
      <c r="Q9" s="154" t="str">
        <f t="shared" si="2"/>
        <v>1-Mémo</v>
      </c>
      <c r="R9" s="153" t="str">
        <f t="shared" si="2"/>
        <v>24</v>
      </c>
      <c r="S9" s="154">
        <f t="shared" si="2"/>
        <v>0</v>
      </c>
      <c r="T9" s="156">
        <f>+VLOOKUP($L9,Data_Validation!$A:$D,1,0)</f>
        <v>244</v>
      </c>
      <c r="U9" s="156">
        <f>+VLOOKUP($L9,Data_Validation!$A:$D,3,0)</f>
        <v>0</v>
      </c>
      <c r="V9" s="156">
        <f>+VLOOKUP($L9,Data_Validation!$A:$D,4,0)</f>
        <v>0</v>
      </c>
      <c r="W9" s="156">
        <f>+VLOOKUP($L9,Data_Validation!$A:$E,5,0)</f>
        <v>0</v>
      </c>
      <c r="X9" s="156">
        <f>+VLOOKUP($L9,Data_Validation!$A:$F,6,0)</f>
        <v>0</v>
      </c>
    </row>
    <row r="10" spans="1:24" ht="15" hidden="1" customHeight="1">
      <c r="A10" s="1002" t="s">
        <v>2241</v>
      </c>
      <c r="B10" s="1145">
        <v>245</v>
      </c>
      <c r="C10" s="1003"/>
      <c r="D10" s="1003"/>
      <c r="E10" s="1003"/>
      <c r="F10" s="1002" t="s">
        <v>1</v>
      </c>
      <c r="G10" s="1002" t="s">
        <v>2238</v>
      </c>
      <c r="H10" s="1003"/>
      <c r="I10" s="1004">
        <v>0</v>
      </c>
      <c r="J10" s="1004">
        <v>134.94999999999999</v>
      </c>
      <c r="K10" s="1004">
        <v>134.94999999999999</v>
      </c>
      <c r="L10" s="153">
        <f t="shared" si="0"/>
        <v>245</v>
      </c>
      <c r="M10" s="154" t="str">
        <f t="shared" si="1"/>
        <v>TAUX M/O INTERNE VW</v>
      </c>
      <c r="N10" s="155">
        <f>+IF(OR($Q10=Parametres!$G$2,$Q10=Parametres!$G$3),I10,C10)</f>
        <v>0</v>
      </c>
      <c r="O10" s="576">
        <f>+IF(OR($Q10=Parametres!$G$2,$Q10=Parametres!$G$3),J10,D10)</f>
        <v>134.94999999999999</v>
      </c>
      <c r="P10" s="155">
        <f>+IF(OR($Q10=Parametres!$G$2,$Q10=Parametres!$G$3),K10,E10)</f>
        <v>134.94999999999999</v>
      </c>
      <c r="Q10" s="154" t="str">
        <f t="shared" si="2"/>
        <v>1-Mémo</v>
      </c>
      <c r="R10" s="153" t="str">
        <f t="shared" si="2"/>
        <v>24</v>
      </c>
      <c r="S10" s="154">
        <f t="shared" si="2"/>
        <v>0</v>
      </c>
      <c r="T10" s="156">
        <f>+VLOOKUP($L10,Data_Validation!$A:$D,1,0)</f>
        <v>245</v>
      </c>
      <c r="U10" s="156">
        <f>+VLOOKUP($L10,Data_Validation!$A:$D,3,0)</f>
        <v>0</v>
      </c>
      <c r="V10" s="156">
        <f>+VLOOKUP($L10,Data_Validation!$A:$D,4,0)</f>
        <v>0</v>
      </c>
      <c r="W10" s="156">
        <f>+VLOOKUP($L10,Data_Validation!$A:$E,5,0)</f>
        <v>0</v>
      </c>
      <c r="X10" s="156">
        <f>+VLOOKUP($L10,Data_Validation!$A:$F,6,0)</f>
        <v>0</v>
      </c>
    </row>
    <row r="11" spans="1:24" ht="15" hidden="1" customHeight="1">
      <c r="A11" s="1002" t="s">
        <v>2243</v>
      </c>
      <c r="B11" s="1145">
        <v>246</v>
      </c>
      <c r="C11" s="1003"/>
      <c r="D11" s="1003"/>
      <c r="E11" s="1003"/>
      <c r="F11" s="1002" t="s">
        <v>1</v>
      </c>
      <c r="G11" s="1002" t="s">
        <v>2238</v>
      </c>
      <c r="H11" s="1003"/>
      <c r="I11" s="1004">
        <v>0</v>
      </c>
      <c r="J11" s="1004">
        <v>60</v>
      </c>
      <c r="K11" s="1004">
        <v>60</v>
      </c>
      <c r="L11" s="153">
        <f t="shared" si="0"/>
        <v>246</v>
      </c>
      <c r="M11" s="154" t="str">
        <f t="shared" si="1"/>
        <v>TAUX M/O CARR. VW</v>
      </c>
      <c r="N11" s="155">
        <f>+IF(OR($Q11=Parametres!$G$2,$Q11=Parametres!$G$3),I11,C11)</f>
        <v>0</v>
      </c>
      <c r="O11" s="155">
        <f>+IF(OR($Q11=Parametres!$G$2,$Q11=Parametres!$G$3),J11,D11)</f>
        <v>60</v>
      </c>
      <c r="P11" s="155">
        <f>+IF(OR($Q11=Parametres!$G$2,$Q11=Parametres!$G$3),K11,E11)</f>
        <v>60</v>
      </c>
      <c r="Q11" s="154" t="str">
        <f t="shared" si="2"/>
        <v>1-Mémo</v>
      </c>
      <c r="R11" s="153" t="str">
        <f t="shared" si="2"/>
        <v>24</v>
      </c>
      <c r="S11" s="154">
        <f t="shared" si="2"/>
        <v>0</v>
      </c>
      <c r="T11" s="156">
        <f>+VLOOKUP($L11,Data_Validation!$A:$D,1,0)</f>
        <v>246</v>
      </c>
      <c r="U11" s="156">
        <f>+VLOOKUP($L11,Data_Validation!$A:$D,3,0)</f>
        <v>0</v>
      </c>
      <c r="V11" s="156">
        <f>+VLOOKUP($L11,Data_Validation!$A:$D,4,0)</f>
        <v>0</v>
      </c>
      <c r="W11" s="156">
        <f>+VLOOKUP($L11,Data_Validation!$A:$E,5,0)</f>
        <v>0</v>
      </c>
      <c r="X11" s="156">
        <f>+VLOOKUP($L11,Data_Validation!$A:$F,6,0)</f>
        <v>0</v>
      </c>
    </row>
    <row r="12" spans="1:24" ht="15" hidden="1" customHeight="1">
      <c r="A12" s="1002" t="s">
        <v>2245</v>
      </c>
      <c r="B12" s="1145">
        <v>255</v>
      </c>
      <c r="C12" s="1003"/>
      <c r="D12" s="1003"/>
      <c r="E12" s="1003"/>
      <c r="F12" s="1002" t="s">
        <v>1</v>
      </c>
      <c r="G12" s="1002" t="s">
        <v>2246</v>
      </c>
      <c r="H12" s="1003"/>
      <c r="I12" s="1004">
        <v>0</v>
      </c>
      <c r="J12" s="1004">
        <v>0.08</v>
      </c>
      <c r="K12" s="1004">
        <v>0.08</v>
      </c>
      <c r="L12" s="153">
        <f t="shared" si="0"/>
        <v>255</v>
      </c>
      <c r="M12" s="154" t="str">
        <f t="shared" si="1"/>
        <v>BAIES TRAVAIL PRODUCTIVES - SERVICE VW</v>
      </c>
      <c r="N12" s="155">
        <f>+IF(OR($Q12=Parametres!$G$2,$Q12=Parametres!$G$3),I12,C12)</f>
        <v>0</v>
      </c>
      <c r="O12" s="155">
        <f>+IF(OR($Q12=Parametres!$G$2,$Q12=Parametres!$G$3),J12,D12)</f>
        <v>0.08</v>
      </c>
      <c r="P12" s="155">
        <f>+IF(OR($Q12=Parametres!$G$2,$Q12=Parametres!$G$3),K12,E12)</f>
        <v>0.08</v>
      </c>
      <c r="Q12" s="154" t="str">
        <f t="shared" si="2"/>
        <v>1-Mémo</v>
      </c>
      <c r="R12" s="153" t="str">
        <f t="shared" si="2"/>
        <v>255</v>
      </c>
      <c r="S12" s="154">
        <f t="shared" si="2"/>
        <v>0</v>
      </c>
      <c r="T12" s="156">
        <f>+VLOOKUP($L12,Data_Validation!$A:$D,1,0)</f>
        <v>255</v>
      </c>
      <c r="U12" s="156">
        <f>+VLOOKUP($L12,Data_Validation!$A:$D,3,0)</f>
        <v>0</v>
      </c>
      <c r="V12" s="156">
        <f>+VLOOKUP($L12,Data_Validation!$A:$D,4,0)</f>
        <v>0</v>
      </c>
      <c r="W12" s="156">
        <f>+VLOOKUP($L12,Data_Validation!$A:$E,5,0)</f>
        <v>0</v>
      </c>
      <c r="X12" s="156">
        <f>+VLOOKUP($L12,Data_Validation!$A:$F,6,0)</f>
        <v>0</v>
      </c>
    </row>
    <row r="13" spans="1:24" ht="15" hidden="1" customHeight="1">
      <c r="A13" s="1002" t="s">
        <v>2247</v>
      </c>
      <c r="B13" s="1145">
        <v>257</v>
      </c>
      <c r="C13" s="1003"/>
      <c r="D13" s="1003"/>
      <c r="E13" s="1003"/>
      <c r="F13" s="1002" t="s">
        <v>1</v>
      </c>
      <c r="G13" s="1002" t="s">
        <v>2248</v>
      </c>
      <c r="H13" s="1003"/>
      <c r="I13" s="1004">
        <v>0</v>
      </c>
      <c r="J13" s="1004">
        <v>405.35</v>
      </c>
      <c r="K13" s="1004">
        <v>405.35</v>
      </c>
      <c r="L13" s="153">
        <f t="shared" si="0"/>
        <v>257</v>
      </c>
      <c r="M13" s="154" t="str">
        <f t="shared" si="1"/>
        <v>HEURES VENDUES - SERVICE - CLIENT VW</v>
      </c>
      <c r="N13" s="155">
        <f>+IF(OR($Q13=Parametres!$G$2,$Q13=Parametres!$G$3),I13,C13)</f>
        <v>0</v>
      </c>
      <c r="O13" s="575">
        <f>+IF(OR($Q13=Parametres!$G$2,$Q13=Parametres!$G$3),J13,D13)</f>
        <v>405.35</v>
      </c>
      <c r="P13" s="155">
        <f>+IF(OR($Q13=Parametres!$G$2,$Q13=Parametres!$G$3),K13,E13)</f>
        <v>405.35</v>
      </c>
      <c r="Q13" s="154" t="str">
        <f t="shared" si="2"/>
        <v>1-Mémo</v>
      </c>
      <c r="R13" s="153" t="str">
        <f t="shared" si="2"/>
        <v>257</v>
      </c>
      <c r="S13" s="154">
        <f t="shared" si="2"/>
        <v>0</v>
      </c>
      <c r="T13" s="156">
        <f>+VLOOKUP($L13,Data_Validation!$A:$D,1,0)</f>
        <v>257</v>
      </c>
      <c r="U13" s="156">
        <f>+VLOOKUP($L13,Data_Validation!$A:$D,3,0)</f>
        <v>0</v>
      </c>
      <c r="V13" s="156">
        <f>+VLOOKUP($L13,Data_Validation!$A:$D,4,0)</f>
        <v>0</v>
      </c>
      <c r="W13" s="156">
        <f>+VLOOKUP($L13,Data_Validation!$A:$E,5,0)</f>
        <v>0</v>
      </c>
      <c r="X13" s="156">
        <f>+VLOOKUP($L13,Data_Validation!$A:$F,6,0)</f>
        <v>0</v>
      </c>
    </row>
    <row r="14" spans="1:24" ht="15" hidden="1" customHeight="1">
      <c r="A14" s="1002" t="s">
        <v>2249</v>
      </c>
      <c r="B14" s="1145">
        <v>258</v>
      </c>
      <c r="C14" s="1003"/>
      <c r="D14" s="1003"/>
      <c r="E14" s="1003"/>
      <c r="F14" s="1002" t="s">
        <v>1</v>
      </c>
      <c r="G14" s="1002" t="s">
        <v>2248</v>
      </c>
      <c r="H14" s="1003"/>
      <c r="I14" s="1004">
        <v>0</v>
      </c>
      <c r="J14" s="1004">
        <v>382.4</v>
      </c>
      <c r="K14" s="1004">
        <v>382.4</v>
      </c>
      <c r="L14" s="153">
        <f t="shared" si="0"/>
        <v>258</v>
      </c>
      <c r="M14" s="154" t="str">
        <f t="shared" si="1"/>
        <v>HEURES VENDUES - SERVICE - GARANTIE VW</v>
      </c>
      <c r="N14" s="155">
        <f>+IF(OR($Q14=Parametres!$G$2,$Q14=Parametres!$G$3),I14,C14)</f>
        <v>0</v>
      </c>
      <c r="O14" s="575">
        <f>+IF(OR($Q14=Parametres!$G$2,$Q14=Parametres!$G$3),J14,D14)</f>
        <v>382.4</v>
      </c>
      <c r="P14" s="155">
        <f>+IF(OR($Q14=Parametres!$G$2,$Q14=Parametres!$G$3),K14,E14)</f>
        <v>382.4</v>
      </c>
      <c r="Q14" s="154" t="str">
        <f t="shared" si="2"/>
        <v>1-Mémo</v>
      </c>
      <c r="R14" s="153" t="str">
        <f t="shared" si="2"/>
        <v>257</v>
      </c>
      <c r="S14" s="154">
        <f t="shared" si="2"/>
        <v>0</v>
      </c>
      <c r="T14" s="156">
        <f>+VLOOKUP($L14,Data_Validation!$A:$D,1,0)</f>
        <v>258</v>
      </c>
      <c r="U14" s="156">
        <f>+VLOOKUP($L14,Data_Validation!$A:$D,3,0)</f>
        <v>0</v>
      </c>
      <c r="V14" s="156">
        <f>+VLOOKUP($L14,Data_Validation!$A:$D,4,0)</f>
        <v>0</v>
      </c>
      <c r="W14" s="156">
        <f>+VLOOKUP($L14,Data_Validation!$A:$E,5,0)</f>
        <v>0</v>
      </c>
      <c r="X14" s="156">
        <f>+VLOOKUP($L14,Data_Validation!$A:$F,6,0)</f>
        <v>0</v>
      </c>
    </row>
    <row r="15" spans="1:24" ht="15" hidden="1" customHeight="1">
      <c r="A15" s="1002" t="s">
        <v>2251</v>
      </c>
      <c r="B15" s="1145">
        <v>259</v>
      </c>
      <c r="C15" s="1003"/>
      <c r="D15" s="1003"/>
      <c r="E15" s="1003"/>
      <c r="F15" s="1002" t="s">
        <v>1</v>
      </c>
      <c r="G15" s="1002" t="s">
        <v>2248</v>
      </c>
      <c r="H15" s="1003"/>
      <c r="I15" s="1004">
        <v>0</v>
      </c>
      <c r="J15" s="1004">
        <v>270.12</v>
      </c>
      <c r="K15" s="1004">
        <v>270.12</v>
      </c>
      <c r="L15" s="153">
        <f t="shared" si="0"/>
        <v>259</v>
      </c>
      <c r="M15" s="154" t="str">
        <f t="shared" si="1"/>
        <v>HEURES VENDUES - SERVICE - INTERNE VW</v>
      </c>
      <c r="N15" s="155">
        <f>+IF(OR($Q15=Parametres!$G$2,$Q15=Parametres!$G$3),I15,C15)</f>
        <v>0</v>
      </c>
      <c r="O15" s="575">
        <f>+IF(OR($Q15=Parametres!$G$2,$Q15=Parametres!$G$3),J15,D15)</f>
        <v>270.12</v>
      </c>
      <c r="P15" s="155">
        <f>+IF(OR($Q15=Parametres!$G$2,$Q15=Parametres!$G$3),K15,E15)</f>
        <v>270.12</v>
      </c>
      <c r="Q15" s="154" t="str">
        <f t="shared" si="2"/>
        <v>1-Mémo</v>
      </c>
      <c r="R15" s="153" t="str">
        <f t="shared" si="2"/>
        <v>257</v>
      </c>
      <c r="S15" s="154">
        <f t="shared" si="2"/>
        <v>0</v>
      </c>
      <c r="T15" s="156">
        <f>+VLOOKUP($L15,Data_Validation!$A:$D,1,0)</f>
        <v>259</v>
      </c>
      <c r="U15" s="156">
        <f>+VLOOKUP($L15,Data_Validation!$A:$D,3,0)</f>
        <v>0</v>
      </c>
      <c r="V15" s="156">
        <f>+VLOOKUP($L15,Data_Validation!$A:$D,4,0)</f>
        <v>0</v>
      </c>
      <c r="W15" s="156">
        <f>+VLOOKUP($L15,Data_Validation!$A:$E,5,0)</f>
        <v>0</v>
      </c>
      <c r="X15" s="156">
        <f>+VLOOKUP($L15,Data_Validation!$A:$F,6,0)</f>
        <v>0</v>
      </c>
    </row>
    <row r="16" spans="1:24" ht="15" hidden="1" customHeight="1">
      <c r="A16" s="1002" t="s">
        <v>2253</v>
      </c>
      <c r="B16" s="1145">
        <v>300</v>
      </c>
      <c r="C16" s="1003"/>
      <c r="D16" s="1003"/>
      <c r="E16" s="1003"/>
      <c r="F16" s="1002" t="s">
        <v>1</v>
      </c>
      <c r="G16" s="1002" t="s">
        <v>2208</v>
      </c>
      <c r="H16" s="1003"/>
      <c r="I16" s="1004">
        <v>0</v>
      </c>
      <c r="J16" s="1004">
        <v>-104.77</v>
      </c>
      <c r="K16" s="1004">
        <v>-104.77</v>
      </c>
      <c r="L16" s="153">
        <f t="shared" si="0"/>
        <v>300</v>
      </c>
      <c r="M16" s="154" t="str">
        <f t="shared" si="1"/>
        <v>REC VEH PASSE DU 30-60</v>
      </c>
      <c r="N16" s="155">
        <f>+IF(OR($Q16=Parametres!$G$2,$Q16=Parametres!$G$3),I16,C16)</f>
        <v>0</v>
      </c>
      <c r="O16" s="575">
        <f>+IF(OR($Q16=Parametres!$G$2,$Q16=Parametres!$G$3),J16,D16)</f>
        <v>-104.77</v>
      </c>
      <c r="P16" s="155">
        <f>+IF(OR($Q16=Parametres!$G$2,$Q16=Parametres!$G$3),K16,E16)</f>
        <v>-104.77</v>
      </c>
      <c r="Q16" s="154" t="str">
        <f t="shared" si="2"/>
        <v>1-Mémo</v>
      </c>
      <c r="R16" s="153" t="str">
        <f t="shared" si="2"/>
        <v>30</v>
      </c>
      <c r="S16" s="154">
        <f t="shared" si="2"/>
        <v>0</v>
      </c>
      <c r="T16" s="156">
        <f>+VLOOKUP($L16,Data_Validation!$A:$D,1,0)</f>
        <v>300</v>
      </c>
      <c r="U16" s="156">
        <f>+VLOOKUP($L16,Data_Validation!$A:$D,3,0)</f>
        <v>0</v>
      </c>
      <c r="V16" s="156">
        <f>+VLOOKUP($L16,Data_Validation!$A:$D,4,0)</f>
        <v>0</v>
      </c>
      <c r="W16" s="156">
        <f>+VLOOKUP($L16,Data_Validation!$A:$E,5,0)</f>
        <v>0</v>
      </c>
      <c r="X16" s="156">
        <f>+VLOOKUP($L16,Data_Validation!$A:$F,6,0)</f>
        <v>0</v>
      </c>
    </row>
    <row r="17" spans="1:24" ht="15" hidden="1" customHeight="1">
      <c r="A17" s="1002" t="s">
        <v>2255</v>
      </c>
      <c r="B17" s="1145">
        <v>301</v>
      </c>
      <c r="C17" s="1003"/>
      <c r="D17" s="1003"/>
      <c r="E17" s="1003"/>
      <c r="F17" s="1002" t="s">
        <v>1</v>
      </c>
      <c r="G17" s="1002" t="s">
        <v>2208</v>
      </c>
      <c r="H17" s="1003"/>
      <c r="I17" s="1004">
        <v>0</v>
      </c>
      <c r="J17" s="1004">
        <v>26451.85</v>
      </c>
      <c r="K17" s="1004">
        <v>26451.85</v>
      </c>
      <c r="L17" s="153">
        <f t="shared" si="0"/>
        <v>301</v>
      </c>
      <c r="M17" s="154" t="str">
        <f t="shared" si="1"/>
        <v>CLIENT S P ET A PASSE DU 30-60</v>
      </c>
      <c r="N17" s="155">
        <f>+IF(OR($Q17=Parametres!$G$2,$Q17=Parametres!$G$3),I17,C17)</f>
        <v>0</v>
      </c>
      <c r="O17" s="575">
        <f>+IF(OR($Q17=Parametres!$G$2,$Q17=Parametres!$G$3),J17,D17)</f>
        <v>26451.85</v>
      </c>
      <c r="P17" s="155">
        <f>+IF(OR($Q17=Parametres!$G$2,$Q17=Parametres!$G$3),K17,E17)</f>
        <v>26451.85</v>
      </c>
      <c r="Q17" s="154" t="str">
        <f t="shared" si="2"/>
        <v>1-Mémo</v>
      </c>
      <c r="R17" s="153" t="str">
        <f t="shared" si="2"/>
        <v>30</v>
      </c>
      <c r="S17" s="154">
        <f t="shared" si="2"/>
        <v>0</v>
      </c>
      <c r="T17" s="156">
        <f>+VLOOKUP($L17,Data_Validation!$A:$D,1,0)</f>
        <v>301</v>
      </c>
      <c r="U17" s="156">
        <f>+VLOOKUP($L17,Data_Validation!$A:$D,3,0)</f>
        <v>0</v>
      </c>
      <c r="V17" s="156">
        <f>+VLOOKUP($L17,Data_Validation!$A:$D,4,0)</f>
        <v>0</v>
      </c>
      <c r="W17" s="156">
        <f>+VLOOKUP($L17,Data_Validation!$A:$E,5,0)</f>
        <v>0</v>
      </c>
      <c r="X17" s="156">
        <f>+VLOOKUP($L17,Data_Validation!$A:$F,6,0)</f>
        <v>0</v>
      </c>
    </row>
    <row r="18" spans="1:24" ht="15" hidden="1" customHeight="1">
      <c r="A18" s="1002" t="s">
        <v>2257</v>
      </c>
      <c r="B18" s="1145">
        <v>302</v>
      </c>
      <c r="C18" s="1003"/>
      <c r="D18" s="1003"/>
      <c r="E18" s="1003"/>
      <c r="F18" s="1002" t="s">
        <v>1</v>
      </c>
      <c r="G18" s="1002" t="s">
        <v>2208</v>
      </c>
      <c r="H18" s="1003"/>
      <c r="I18" s="1004">
        <v>0</v>
      </c>
      <c r="J18" s="1004">
        <v>379.44</v>
      </c>
      <c r="K18" s="1004">
        <v>379.44</v>
      </c>
      <c r="L18" s="153">
        <f t="shared" si="0"/>
        <v>302</v>
      </c>
      <c r="M18" s="154" t="str">
        <f t="shared" si="1"/>
        <v>RECLAM GARANTIE VW PASSE DU 30-60</v>
      </c>
      <c r="N18" s="155">
        <f>+IF(OR($Q18=Parametres!$G$2,$Q18=Parametres!$G$3),I18,C18)</f>
        <v>0</v>
      </c>
      <c r="O18" s="155">
        <f>+IF(OR($Q18=Parametres!$G$2,$Q18=Parametres!$G$3),J18,D18)</f>
        <v>379.44</v>
      </c>
      <c r="P18" s="155">
        <f>+IF(OR($Q18=Parametres!$G$2,$Q18=Parametres!$G$3),K18,E18)</f>
        <v>379.44</v>
      </c>
      <c r="Q18" s="154" t="str">
        <f t="shared" ref="Q18:S33" si="3">+F18</f>
        <v>1-Mémo</v>
      </c>
      <c r="R18" s="153" t="str">
        <f t="shared" si="3"/>
        <v>30</v>
      </c>
      <c r="S18" s="154">
        <f t="shared" si="3"/>
        <v>0</v>
      </c>
      <c r="T18" s="156">
        <f>+VLOOKUP($L18,Data_Validation!$A:$D,1,0)</f>
        <v>302</v>
      </c>
      <c r="U18" s="156">
        <f>+VLOOKUP($L18,Data_Validation!$A:$D,3,0)</f>
        <v>0</v>
      </c>
      <c r="V18" s="156">
        <f>+VLOOKUP($L18,Data_Validation!$A:$D,4,0)</f>
        <v>0</v>
      </c>
      <c r="W18" s="156">
        <f>+VLOOKUP($L18,Data_Validation!$A:$E,5,0)</f>
        <v>0</v>
      </c>
      <c r="X18" s="156">
        <f>+VLOOKUP($L18,Data_Validation!$A:$F,6,0)</f>
        <v>0</v>
      </c>
    </row>
    <row r="19" spans="1:24" ht="15" hidden="1" customHeight="1">
      <c r="A19" s="1002" t="s">
        <v>2259</v>
      </c>
      <c r="B19" s="1145">
        <v>307</v>
      </c>
      <c r="C19" s="1003"/>
      <c r="D19" s="1003"/>
      <c r="E19" s="1003"/>
      <c r="F19" s="1002" t="s">
        <v>1</v>
      </c>
      <c r="G19" s="1002" t="s">
        <v>2208</v>
      </c>
      <c r="H19" s="1003"/>
      <c r="I19" s="1004">
        <v>0</v>
      </c>
      <c r="J19" s="1004">
        <v>9459.4599999999991</v>
      </c>
      <c r="K19" s="1004">
        <v>9459.4599999999991</v>
      </c>
      <c r="L19" s="153">
        <f t="shared" si="0"/>
        <v>307</v>
      </c>
      <c r="M19" s="154" t="str">
        <f t="shared" si="1"/>
        <v>AUTRE REC MANUFACTURIER VW PASSE DU 30-60</v>
      </c>
      <c r="N19" s="155">
        <f>+IF(OR($Q19=Parametres!$G$2,$Q19=Parametres!$G$3),I19,C19)</f>
        <v>0</v>
      </c>
      <c r="O19" s="575">
        <f>+IF(OR($Q19=Parametres!$G$2,$Q19=Parametres!$G$3),J19,D19)</f>
        <v>9459.4599999999991</v>
      </c>
      <c r="P19" s="155">
        <f>+IF(OR($Q19=Parametres!$G$2,$Q19=Parametres!$G$3),K19,E19)</f>
        <v>9459.4599999999991</v>
      </c>
      <c r="Q19" s="154" t="str">
        <f t="shared" si="3"/>
        <v>1-Mémo</v>
      </c>
      <c r="R19" s="153" t="str">
        <f t="shared" si="3"/>
        <v>30</v>
      </c>
      <c r="S19" s="154">
        <f t="shared" si="3"/>
        <v>0</v>
      </c>
      <c r="T19" s="156">
        <f>+VLOOKUP($L19,Data_Validation!$A:$D,1,0)</f>
        <v>307</v>
      </c>
      <c r="U19" s="156">
        <f>+VLOOKUP($L19,Data_Validation!$A:$D,3,0)</f>
        <v>0</v>
      </c>
      <c r="V19" s="156">
        <f>+VLOOKUP($L19,Data_Validation!$A:$D,4,0)</f>
        <v>0</v>
      </c>
      <c r="W19" s="156">
        <f>+VLOOKUP($L19,Data_Validation!$A:$E,5,0)</f>
        <v>0</v>
      </c>
      <c r="X19" s="156">
        <f>+VLOOKUP($L19,Data_Validation!$A:$F,6,0)</f>
        <v>0</v>
      </c>
    </row>
    <row r="20" spans="1:24" ht="15" hidden="1" customHeight="1">
      <c r="A20" s="1002" t="s">
        <v>2261</v>
      </c>
      <c r="B20" s="1145">
        <v>311</v>
      </c>
      <c r="C20" s="1003"/>
      <c r="D20" s="1003"/>
      <c r="E20" s="1003"/>
      <c r="F20" s="1002" t="s">
        <v>1</v>
      </c>
      <c r="G20" s="1002" t="s">
        <v>2263</v>
      </c>
      <c r="H20" s="1003"/>
      <c r="I20" s="1004">
        <v>0</v>
      </c>
      <c r="J20" s="1004">
        <v>2417.09</v>
      </c>
      <c r="K20" s="1004">
        <v>2417.09</v>
      </c>
      <c r="L20" s="153">
        <f t="shared" si="0"/>
        <v>311</v>
      </c>
      <c r="M20" s="154" t="str">
        <f t="shared" si="1"/>
        <v>CLIENT VEH PLUS DE 60</v>
      </c>
      <c r="N20" s="155">
        <f>+IF(OR($Q20=Parametres!$G$2,$Q20=Parametres!$G$3),I20,C20)</f>
        <v>0</v>
      </c>
      <c r="O20" s="575">
        <f>+IF(OR($Q20=Parametres!$G$2,$Q20=Parametres!$G$3),J20,D20)</f>
        <v>2417.09</v>
      </c>
      <c r="P20" s="155">
        <f>+IF(OR($Q20=Parametres!$G$2,$Q20=Parametres!$G$3),K20,E20)</f>
        <v>2417.09</v>
      </c>
      <c r="Q20" s="154" t="str">
        <f t="shared" si="3"/>
        <v>1-Mémo</v>
      </c>
      <c r="R20" s="153" t="str">
        <f t="shared" si="3"/>
        <v>31</v>
      </c>
      <c r="S20" s="154">
        <f t="shared" si="3"/>
        <v>0</v>
      </c>
      <c r="T20" s="156">
        <f>+VLOOKUP($L20,Data_Validation!$A:$D,1,0)</f>
        <v>311</v>
      </c>
      <c r="U20" s="156">
        <f>+VLOOKUP($L20,Data_Validation!$A:$D,3,0)</f>
        <v>0</v>
      </c>
      <c r="V20" s="156">
        <f>+VLOOKUP($L20,Data_Validation!$A:$D,4,0)</f>
        <v>0</v>
      </c>
      <c r="W20" s="156">
        <f>+VLOOKUP($L20,Data_Validation!$A:$E,5,0)</f>
        <v>0</v>
      </c>
      <c r="X20" s="156">
        <f>+VLOOKUP($L20,Data_Validation!$A:$F,6,0)</f>
        <v>0</v>
      </c>
    </row>
    <row r="21" spans="1:24" ht="15" hidden="1" customHeight="1">
      <c r="A21" s="1002" t="s">
        <v>2266</v>
      </c>
      <c r="B21" s="1145">
        <v>313</v>
      </c>
      <c r="C21" s="1003"/>
      <c r="D21" s="1003"/>
      <c r="E21" s="1003"/>
      <c r="F21" s="1002" t="s">
        <v>1</v>
      </c>
      <c r="G21" s="1002" t="s">
        <v>2263</v>
      </c>
      <c r="H21" s="1003"/>
      <c r="I21" s="1004">
        <v>0</v>
      </c>
      <c r="J21" s="1004">
        <v>5399.68</v>
      </c>
      <c r="K21" s="1004">
        <v>5399.68</v>
      </c>
      <c r="L21" s="153">
        <f t="shared" si="0"/>
        <v>313</v>
      </c>
      <c r="M21" s="154" t="str">
        <f t="shared" si="1"/>
        <v>RECLAMATIONS DE GARATIE VW PLUS DE 60</v>
      </c>
      <c r="N21" s="155">
        <f>+IF(OR($Q21=Parametres!$G$2,$Q21=Parametres!$G$3),I21,C21)</f>
        <v>0</v>
      </c>
      <c r="O21" s="155">
        <f>+IF(OR($Q21=Parametres!$G$2,$Q21=Parametres!$G$3),J21,D21)</f>
        <v>5399.68</v>
      </c>
      <c r="P21" s="155">
        <f>+IF(OR($Q21=Parametres!$G$2,$Q21=Parametres!$G$3),K21,E21)</f>
        <v>5399.68</v>
      </c>
      <c r="Q21" s="154" t="str">
        <f t="shared" si="3"/>
        <v>1-Mémo</v>
      </c>
      <c r="R21" s="153" t="str">
        <f t="shared" si="3"/>
        <v>31</v>
      </c>
      <c r="S21" s="154">
        <f t="shared" si="3"/>
        <v>0</v>
      </c>
      <c r="T21" s="156">
        <f>+VLOOKUP($L21,Data_Validation!$A:$D,1,0)</f>
        <v>313</v>
      </c>
      <c r="U21" s="156">
        <f>+VLOOKUP($L21,Data_Validation!$A:$D,3,0)</f>
        <v>0</v>
      </c>
      <c r="V21" s="156">
        <f>+VLOOKUP($L21,Data_Validation!$A:$D,4,0)</f>
        <v>0</v>
      </c>
      <c r="W21" s="156">
        <f>+VLOOKUP($L21,Data_Validation!$A:$E,5,0)</f>
        <v>0</v>
      </c>
      <c r="X21" s="156">
        <f>+VLOOKUP($L21,Data_Validation!$A:$F,6,0)</f>
        <v>0</v>
      </c>
    </row>
    <row r="22" spans="1:24" ht="15" hidden="1" customHeight="1">
      <c r="A22" s="1002" t="s">
        <v>2274</v>
      </c>
      <c r="B22" s="1145">
        <v>370</v>
      </c>
      <c r="C22" s="1003"/>
      <c r="D22" s="1003"/>
      <c r="E22" s="1003"/>
      <c r="F22" s="1002" t="s">
        <v>1</v>
      </c>
      <c r="G22" s="1002" t="s">
        <v>2887</v>
      </c>
      <c r="H22" s="1003"/>
      <c r="I22" s="1004">
        <v>0</v>
      </c>
      <c r="J22" s="1004">
        <v>425000</v>
      </c>
      <c r="K22" s="1004">
        <v>425000</v>
      </c>
      <c r="L22" s="153">
        <f t="shared" si="0"/>
        <v>370</v>
      </c>
      <c r="M22" s="154" t="str">
        <f t="shared" si="1"/>
        <v>AVOIR DU PROP. MIM. REQUIS</v>
      </c>
      <c r="N22" s="155">
        <f>+IF(OR($Q22=Parametres!$G$2,$Q22=Parametres!$G$3),I22,C22)</f>
        <v>0</v>
      </c>
      <c r="O22" s="575">
        <f>+IF(OR($Q22=Parametres!$G$2,$Q22=Parametres!$G$3),J22,D22)</f>
        <v>425000</v>
      </c>
      <c r="P22" s="155">
        <f>+IF(OR($Q22=Parametres!$G$2,$Q22=Parametres!$G$3),K22,E22)</f>
        <v>425000</v>
      </c>
      <c r="Q22" s="154" t="str">
        <f t="shared" si="3"/>
        <v>1-Mémo</v>
      </c>
      <c r="R22" s="153" t="str">
        <f t="shared" si="3"/>
        <v>37</v>
      </c>
      <c r="S22" s="154">
        <f t="shared" si="3"/>
        <v>0</v>
      </c>
      <c r="T22" s="156">
        <f>+VLOOKUP($L22,Data_Validation!$A:$D,1,0)</f>
        <v>370</v>
      </c>
      <c r="U22" s="156">
        <f>+VLOOKUP($L22,Data_Validation!$A:$D,3,0)</f>
        <v>0</v>
      </c>
      <c r="V22" s="156">
        <f>+VLOOKUP($L22,Data_Validation!$A:$D,4,0)</f>
        <v>0</v>
      </c>
      <c r="W22" s="156">
        <f>+VLOOKUP($L22,Data_Validation!$A:$E,5,0)</f>
        <v>0</v>
      </c>
      <c r="X22" s="156">
        <f>+VLOOKUP($L22,Data_Validation!$A:$F,6,0)</f>
        <v>0</v>
      </c>
    </row>
    <row r="23" spans="1:24" ht="15" hidden="1" customHeight="1">
      <c r="A23" s="1002" t="s">
        <v>2276</v>
      </c>
      <c r="B23" s="1145">
        <v>372</v>
      </c>
      <c r="C23" s="1003"/>
      <c r="D23" s="1003"/>
      <c r="E23" s="1003"/>
      <c r="F23" s="1002" t="s">
        <v>1</v>
      </c>
      <c r="G23" s="1002" t="s">
        <v>2887</v>
      </c>
      <c r="H23" s="1003"/>
      <c r="I23" s="1004">
        <v>0</v>
      </c>
      <c r="J23" s="1004">
        <v>737500</v>
      </c>
      <c r="K23" s="1004">
        <v>737500</v>
      </c>
      <c r="L23" s="153">
        <f t="shared" si="0"/>
        <v>372</v>
      </c>
      <c r="M23" s="154" t="str">
        <f t="shared" si="1"/>
        <v>FONDS DE ROULEMENT/MIN. REQUIS</v>
      </c>
      <c r="N23" s="155">
        <f>+IF(OR($Q23=Parametres!$G$2,$Q23=Parametres!$G$3),I23,C23)</f>
        <v>0</v>
      </c>
      <c r="O23" s="575">
        <f>+IF(OR($Q23=Parametres!$G$2,$Q23=Parametres!$G$3),J23,D23)</f>
        <v>737500</v>
      </c>
      <c r="P23" s="155">
        <f>+IF(OR($Q23=Parametres!$G$2,$Q23=Parametres!$G$3),K23,E23)</f>
        <v>737500</v>
      </c>
      <c r="Q23" s="154" t="str">
        <f t="shared" si="3"/>
        <v>1-Mémo</v>
      </c>
      <c r="R23" s="153" t="str">
        <f t="shared" si="3"/>
        <v>37</v>
      </c>
      <c r="S23" s="154">
        <f t="shared" si="3"/>
        <v>0</v>
      </c>
      <c r="T23" s="156">
        <f>+VLOOKUP($L23,Data_Validation!$A:$D,1,0)</f>
        <v>372</v>
      </c>
      <c r="U23" s="156">
        <f>+VLOOKUP($L23,Data_Validation!$A:$D,3,0)</f>
        <v>0</v>
      </c>
      <c r="V23" s="156">
        <f>+VLOOKUP($L23,Data_Validation!$A:$D,4,0)</f>
        <v>0</v>
      </c>
      <c r="W23" s="156">
        <f>+VLOOKUP($L23,Data_Validation!$A:$E,5,0)</f>
        <v>0</v>
      </c>
      <c r="X23" s="156">
        <f>+VLOOKUP($L23,Data_Validation!$A:$F,6,0)</f>
        <v>0</v>
      </c>
    </row>
    <row r="24" spans="1:24" ht="15" hidden="1" customHeight="1">
      <c r="A24" s="1002" t="s">
        <v>2278</v>
      </c>
      <c r="B24" s="1145">
        <v>401</v>
      </c>
      <c r="C24" s="1003"/>
      <c r="D24" s="1003"/>
      <c r="E24" s="1003"/>
      <c r="F24" s="1002" t="s">
        <v>1</v>
      </c>
      <c r="G24" s="1002" t="s">
        <v>2210</v>
      </c>
      <c r="H24" s="1003"/>
      <c r="I24" s="1004">
        <v>0</v>
      </c>
      <c r="J24" s="1004">
        <v>0.24</v>
      </c>
      <c r="K24" s="1004">
        <v>0.24</v>
      </c>
      <c r="L24" s="153">
        <f t="shared" si="0"/>
        <v>401</v>
      </c>
      <c r="M24" s="154" t="str">
        <f t="shared" si="1"/>
        <v>UNITES NEUVES VENDUES JANVIER</v>
      </c>
      <c r="N24" s="155">
        <f>+IF(OR($Q24=Parametres!$G$2,$Q24=Parametres!$G$3),I24,C24)</f>
        <v>0</v>
      </c>
      <c r="O24" s="575">
        <f>+IF(OR($Q24=Parametres!$G$2,$Q24=Parametres!$G$3),J24,D24)</f>
        <v>0.24</v>
      </c>
      <c r="P24" s="155">
        <f>+IF(OR($Q24=Parametres!$G$2,$Q24=Parametres!$G$3),K24,E24)</f>
        <v>0.24</v>
      </c>
      <c r="Q24" s="154" t="str">
        <f t="shared" si="3"/>
        <v>1-Mémo</v>
      </c>
      <c r="R24" s="153" t="str">
        <f t="shared" si="3"/>
        <v>40</v>
      </c>
      <c r="S24" s="154">
        <f t="shared" si="3"/>
        <v>0</v>
      </c>
      <c r="T24" s="156">
        <f>+VLOOKUP($L24,Data_Validation!$A:$D,1,0)</f>
        <v>401</v>
      </c>
      <c r="U24" s="156">
        <f>+VLOOKUP($L24,Data_Validation!$A:$D,3,0)</f>
        <v>0</v>
      </c>
      <c r="V24" s="156">
        <f>+VLOOKUP($L24,Data_Validation!$A:$D,4,0)</f>
        <v>0</v>
      </c>
      <c r="W24" s="156">
        <f>+VLOOKUP($L24,Data_Validation!$A:$E,5,0)</f>
        <v>0</v>
      </c>
      <c r="X24" s="156">
        <f>+VLOOKUP($L24,Data_Validation!$A:$F,6,0)</f>
        <v>0</v>
      </c>
    </row>
    <row r="25" spans="1:24" ht="15" hidden="1" customHeight="1">
      <c r="A25" s="1002" t="s">
        <v>2299</v>
      </c>
      <c r="B25" s="1145">
        <v>421</v>
      </c>
      <c r="C25" s="1003"/>
      <c r="D25" s="1003"/>
      <c r="E25" s="1003"/>
      <c r="F25" s="1002" t="s">
        <v>1</v>
      </c>
      <c r="G25" s="1002" t="s">
        <v>2301</v>
      </c>
      <c r="H25" s="1003"/>
      <c r="I25" s="1004">
        <v>0</v>
      </c>
      <c r="J25" s="1004">
        <v>0.15</v>
      </c>
      <c r="K25" s="1004">
        <v>0.15</v>
      </c>
      <c r="L25" s="153">
        <f t="shared" si="0"/>
        <v>421</v>
      </c>
      <c r="M25" s="154" t="str">
        <f t="shared" si="1"/>
        <v>UNITES USAGES DET./ JANV.</v>
      </c>
      <c r="N25" s="155">
        <f>+IF(OR($Q25=Parametres!$G$2,$Q25=Parametres!$G$3),I25,C25)</f>
        <v>0</v>
      </c>
      <c r="O25" s="575">
        <f>+IF(OR($Q25=Parametres!$G$2,$Q25=Parametres!$G$3),J25,D25)</f>
        <v>0.15</v>
      </c>
      <c r="P25" s="155">
        <f>+IF(OR($Q25=Parametres!$G$2,$Q25=Parametres!$G$3),K25,E25)</f>
        <v>0.15</v>
      </c>
      <c r="Q25" s="154" t="str">
        <f t="shared" si="3"/>
        <v>1-Mémo</v>
      </c>
      <c r="R25" s="153" t="str">
        <f t="shared" si="3"/>
        <v>42</v>
      </c>
      <c r="S25" s="154">
        <f t="shared" si="3"/>
        <v>0</v>
      </c>
      <c r="T25" s="156">
        <f>+VLOOKUP($L25,Data_Validation!$A:$D,1,0)</f>
        <v>421</v>
      </c>
      <c r="U25" s="156">
        <f>+VLOOKUP($L25,Data_Validation!$A:$D,3,0)</f>
        <v>0</v>
      </c>
      <c r="V25" s="156">
        <f>+VLOOKUP($L25,Data_Validation!$A:$D,4,0)</f>
        <v>0</v>
      </c>
      <c r="W25" s="156">
        <f>+VLOOKUP($L25,Data_Validation!$A:$E,5,0)</f>
        <v>0</v>
      </c>
      <c r="X25" s="156">
        <f>+VLOOKUP($L25,Data_Validation!$A:$F,6,0)</f>
        <v>0</v>
      </c>
    </row>
    <row r="26" spans="1:24" ht="15.75" hidden="1" customHeight="1">
      <c r="A26" s="1002" t="s">
        <v>2322</v>
      </c>
      <c r="B26" s="1145">
        <v>500</v>
      </c>
      <c r="C26" s="1003"/>
      <c r="D26" s="1003"/>
      <c r="E26" s="1003"/>
      <c r="F26" s="1002" t="s">
        <v>1</v>
      </c>
      <c r="G26" s="1002" t="s">
        <v>2212</v>
      </c>
      <c r="H26" s="1003"/>
      <c r="I26" s="1004">
        <v>0</v>
      </c>
      <c r="J26" s="1004">
        <v>1</v>
      </c>
      <c r="K26" s="1004">
        <v>1</v>
      </c>
      <c r="L26" s="153">
        <f t="shared" si="0"/>
        <v>500</v>
      </c>
      <c r="M26" s="154" t="str">
        <f t="shared" si="1"/>
        <v>PROPRIETAIRES</v>
      </c>
      <c r="N26" s="155">
        <f>+IF(OR($Q26=Parametres!$G$2,$Q26=Parametres!$G$3),I26,C26)</f>
        <v>0</v>
      </c>
      <c r="O26" s="575">
        <f>+IF(OR($Q26=Parametres!$G$2,$Q26=Parametres!$G$3),J26,D26)</f>
        <v>1</v>
      </c>
      <c r="P26" s="155">
        <f>+IF(OR($Q26=Parametres!$G$2,$Q26=Parametres!$G$3),K26,E26)</f>
        <v>1</v>
      </c>
      <c r="Q26" s="154" t="str">
        <f t="shared" si="3"/>
        <v>1-Mémo</v>
      </c>
      <c r="R26" s="153" t="str">
        <f t="shared" si="3"/>
        <v>50</v>
      </c>
      <c r="S26" s="154">
        <f t="shared" si="3"/>
        <v>0</v>
      </c>
      <c r="T26" s="156">
        <f>+VLOOKUP($L26,Data_Validation!$A:$D,1,0)</f>
        <v>500</v>
      </c>
      <c r="U26" s="156">
        <f>+VLOOKUP($L26,Data_Validation!$A:$D,3,0)</f>
        <v>0</v>
      </c>
      <c r="V26" s="156">
        <f>+VLOOKUP($L26,Data_Validation!$A:$D,4,0)</f>
        <v>0</v>
      </c>
      <c r="W26" s="156" t="str">
        <f>+VLOOKUP($L26,Data_Validation!$A:$E,5,0)</f>
        <v>$</v>
      </c>
      <c r="X26" s="156">
        <f>+VLOOKUP($L26,Data_Validation!$A:$F,6,0)</f>
        <v>0</v>
      </c>
    </row>
    <row r="27" spans="1:24" ht="15" hidden="1" customHeight="1">
      <c r="A27" s="1002" t="s">
        <v>2324</v>
      </c>
      <c r="B27" s="1145">
        <v>511</v>
      </c>
      <c r="C27" s="1003"/>
      <c r="D27" s="1003"/>
      <c r="E27" s="1003"/>
      <c r="F27" s="1002" t="s">
        <v>1</v>
      </c>
      <c r="G27" s="1002" t="s">
        <v>2212</v>
      </c>
      <c r="H27" s="1003"/>
      <c r="I27" s="1004">
        <v>0</v>
      </c>
      <c r="J27" s="1004">
        <v>0.2</v>
      </c>
      <c r="K27" s="1004">
        <v>0.2</v>
      </c>
      <c r="L27" s="153">
        <f t="shared" si="0"/>
        <v>511</v>
      </c>
      <c r="M27" s="154" t="str">
        <f t="shared" si="1"/>
        <v>DIR. GENERAL NEUFS</v>
      </c>
      <c r="N27" s="155">
        <f>+IF(OR($Q27=Parametres!$G$2,$Q27=Parametres!$G$3),I27,C27)</f>
        <v>0</v>
      </c>
      <c r="O27" s="575">
        <f>+IF(OR($Q27=Parametres!$G$2,$Q27=Parametres!$G$3),J27,D27)</f>
        <v>0.2</v>
      </c>
      <c r="P27" s="155">
        <f>+IF(OR($Q27=Parametres!$G$2,$Q27=Parametres!$G$3),K27,E27)</f>
        <v>0.2</v>
      </c>
      <c r="Q27" s="154" t="str">
        <f t="shared" si="3"/>
        <v>1-Mémo</v>
      </c>
      <c r="R27" s="153" t="str">
        <f t="shared" si="3"/>
        <v>50</v>
      </c>
      <c r="S27" s="154">
        <f t="shared" si="3"/>
        <v>0</v>
      </c>
      <c r="T27" s="156">
        <f>+VLOOKUP($L27,Data_Validation!$A:$D,1,0)</f>
        <v>511</v>
      </c>
      <c r="U27" s="156">
        <f>+VLOOKUP($L27,Data_Validation!$A:$D,3,0)</f>
        <v>0</v>
      </c>
      <c r="V27" s="156">
        <f>+VLOOKUP($L27,Data_Validation!$A:$D,4,0)</f>
        <v>0</v>
      </c>
      <c r="W27" s="156" t="str">
        <f>+VLOOKUP($L27,Data_Validation!$A:$E,5,0)</f>
        <v>$</v>
      </c>
      <c r="X27" s="156">
        <f>+VLOOKUP($L27,Data_Validation!$A:$F,6,0)</f>
        <v>0</v>
      </c>
    </row>
    <row r="28" spans="1:24" ht="15" hidden="1" customHeight="1">
      <c r="A28" s="1002" t="s">
        <v>2325</v>
      </c>
      <c r="B28" s="1145">
        <v>512</v>
      </c>
      <c r="C28" s="1003"/>
      <c r="D28" s="1003"/>
      <c r="E28" s="1003"/>
      <c r="F28" s="1002" t="s">
        <v>1</v>
      </c>
      <c r="G28" s="1002" t="s">
        <v>2212</v>
      </c>
      <c r="H28" s="1003"/>
      <c r="I28" s="1004">
        <v>0</v>
      </c>
      <c r="J28" s="1004">
        <v>0.2</v>
      </c>
      <c r="K28" s="1004">
        <v>0.2</v>
      </c>
      <c r="L28" s="153">
        <f t="shared" si="0"/>
        <v>512</v>
      </c>
      <c r="M28" s="154" t="str">
        <f t="shared" si="1"/>
        <v>DIR. GENERAL USAGES</v>
      </c>
      <c r="N28" s="155">
        <f>+IF(OR($Q28=Parametres!$G$2,$Q28=Parametres!$G$3),I28,C28)</f>
        <v>0</v>
      </c>
      <c r="O28" s="576">
        <f>+IF(OR($Q28=Parametres!$G$2,$Q28=Parametres!$G$3),J28,D28)</f>
        <v>0.2</v>
      </c>
      <c r="P28" s="155">
        <f>+IF(OR($Q28=Parametres!$G$2,$Q28=Parametres!$G$3),K28,E28)</f>
        <v>0.2</v>
      </c>
      <c r="Q28" s="154" t="str">
        <f t="shared" si="3"/>
        <v>1-Mémo</v>
      </c>
      <c r="R28" s="153" t="str">
        <f t="shared" si="3"/>
        <v>50</v>
      </c>
      <c r="S28" s="154">
        <f t="shared" si="3"/>
        <v>0</v>
      </c>
      <c r="T28" s="156">
        <f>+VLOOKUP($L28,Data_Validation!$A:$D,1,0)</f>
        <v>512</v>
      </c>
      <c r="U28" s="156">
        <f>+VLOOKUP($L28,Data_Validation!$A:$D,3,0)</f>
        <v>0</v>
      </c>
      <c r="V28" s="156">
        <f>+VLOOKUP($L28,Data_Validation!$A:$D,4,0)</f>
        <v>0</v>
      </c>
      <c r="W28" s="156" t="str">
        <f>+VLOOKUP($L28,Data_Validation!$A:$E,5,0)</f>
        <v>$</v>
      </c>
      <c r="X28" s="156">
        <f>+VLOOKUP($L28,Data_Validation!$A:$F,6,0)</f>
        <v>0</v>
      </c>
    </row>
    <row r="29" spans="1:24" ht="15" hidden="1" customHeight="1">
      <c r="A29" s="1002" t="s">
        <v>2326</v>
      </c>
      <c r="B29" s="1145">
        <v>514</v>
      </c>
      <c r="C29" s="1003"/>
      <c r="D29" s="1003"/>
      <c r="E29" s="1003"/>
      <c r="F29" s="1002" t="s">
        <v>1</v>
      </c>
      <c r="G29" s="1002" t="s">
        <v>2212</v>
      </c>
      <c r="H29" s="1003"/>
      <c r="I29" s="1004">
        <v>0</v>
      </c>
      <c r="J29" s="1004">
        <v>0.2</v>
      </c>
      <c r="K29" s="1004">
        <v>0.2</v>
      </c>
      <c r="L29" s="153">
        <f t="shared" si="0"/>
        <v>514</v>
      </c>
      <c r="M29" s="154" t="str">
        <f t="shared" si="1"/>
        <v>DIR. GENERAL SERVICE</v>
      </c>
      <c r="N29" s="155">
        <f>+IF(OR($Q29=Parametres!$G$2,$Q29=Parametres!$G$3),I29,C29)</f>
        <v>0</v>
      </c>
      <c r="O29" s="576">
        <f>+IF(OR($Q29=Parametres!$G$2,$Q29=Parametres!$G$3),J29,D29)</f>
        <v>0.2</v>
      </c>
      <c r="P29" s="155">
        <f>+IF(OR($Q29=Parametres!$G$2,$Q29=Parametres!$G$3),K29,E29)</f>
        <v>0.2</v>
      </c>
      <c r="Q29" s="154" t="str">
        <f t="shared" si="3"/>
        <v>1-Mémo</v>
      </c>
      <c r="R29" s="153" t="str">
        <f t="shared" si="3"/>
        <v>50</v>
      </c>
      <c r="S29" s="154">
        <f t="shared" si="3"/>
        <v>0</v>
      </c>
      <c r="T29" s="156">
        <f>+VLOOKUP($L29,Data_Validation!$A:$D,1,0)</f>
        <v>514</v>
      </c>
      <c r="U29" s="156">
        <f>+VLOOKUP($L29,Data_Validation!$A:$D,3,0)</f>
        <v>0</v>
      </c>
      <c r="V29" s="156">
        <f>+VLOOKUP($L29,Data_Validation!$A:$D,4,0)</f>
        <v>0</v>
      </c>
      <c r="W29" s="156" t="str">
        <f>+VLOOKUP($L29,Data_Validation!$A:$E,5,0)</f>
        <v>$</v>
      </c>
      <c r="X29" s="156">
        <f>+VLOOKUP($L29,Data_Validation!$A:$F,6,0)</f>
        <v>0</v>
      </c>
    </row>
    <row r="30" spans="1:24" ht="15" hidden="1" customHeight="1">
      <c r="A30" s="1002" t="s">
        <v>2328</v>
      </c>
      <c r="B30" s="1145">
        <v>515</v>
      </c>
      <c r="C30" s="1003"/>
      <c r="D30" s="1003"/>
      <c r="E30" s="1003"/>
      <c r="F30" s="1002" t="s">
        <v>1</v>
      </c>
      <c r="G30" s="1002" t="s">
        <v>2212</v>
      </c>
      <c r="H30" s="1003"/>
      <c r="I30" s="1004">
        <v>0</v>
      </c>
      <c r="J30" s="1004">
        <v>0.2</v>
      </c>
      <c r="K30" s="1004">
        <v>0.2</v>
      </c>
      <c r="L30" s="153">
        <f t="shared" si="0"/>
        <v>515</v>
      </c>
      <c r="M30" s="154" t="str">
        <f t="shared" si="1"/>
        <v>DIR. GENERAL CARROSS.</v>
      </c>
      <c r="N30" s="155">
        <f>+IF(OR($Q30=Parametres!$G$2,$Q30=Parametres!$G$3),I30,C30)</f>
        <v>0</v>
      </c>
      <c r="O30" s="575">
        <f>+IF(OR($Q30=Parametres!$G$2,$Q30=Parametres!$G$3),J30,D30)</f>
        <v>0.2</v>
      </c>
      <c r="P30" s="155">
        <f>+IF(OR($Q30=Parametres!$G$2,$Q30=Parametres!$G$3),K30,E30)</f>
        <v>0.2</v>
      </c>
      <c r="Q30" s="154" t="str">
        <f t="shared" si="3"/>
        <v>1-Mémo</v>
      </c>
      <c r="R30" s="153" t="str">
        <f t="shared" si="3"/>
        <v>50</v>
      </c>
      <c r="S30" s="154">
        <f t="shared" si="3"/>
        <v>0</v>
      </c>
      <c r="T30" s="156">
        <f>+VLOOKUP($L30,Data_Validation!$A:$D,1,0)</f>
        <v>515</v>
      </c>
      <c r="U30" s="156">
        <f>+VLOOKUP($L30,Data_Validation!$A:$D,3,0)</f>
        <v>0</v>
      </c>
      <c r="V30" s="156">
        <f>+VLOOKUP($L30,Data_Validation!$A:$D,4,0)</f>
        <v>0</v>
      </c>
      <c r="W30" s="156" t="str">
        <f>+VLOOKUP($L30,Data_Validation!$A:$E,5,0)</f>
        <v>$</v>
      </c>
      <c r="X30" s="156">
        <f>+VLOOKUP($L30,Data_Validation!$A:$F,6,0)</f>
        <v>0</v>
      </c>
    </row>
    <row r="31" spans="1:24" ht="15" hidden="1" customHeight="1">
      <c r="A31" s="1002" t="s">
        <v>2330</v>
      </c>
      <c r="B31" s="1145">
        <v>517</v>
      </c>
      <c r="C31" s="1003"/>
      <c r="D31" s="1003"/>
      <c r="E31" s="1003"/>
      <c r="F31" s="1002" t="s">
        <v>1</v>
      </c>
      <c r="G31" s="1002" t="s">
        <v>2212</v>
      </c>
      <c r="H31" s="1003"/>
      <c r="I31" s="1004">
        <v>0</v>
      </c>
      <c r="J31" s="1004">
        <v>0.2</v>
      </c>
      <c r="K31" s="1004">
        <v>0.2</v>
      </c>
      <c r="L31" s="153">
        <f t="shared" si="0"/>
        <v>517</v>
      </c>
      <c r="M31" s="154" t="str">
        <f t="shared" si="1"/>
        <v>DIR. GENERAL PIECES</v>
      </c>
      <c r="N31" s="155">
        <f>+IF(OR($Q31=Parametres!$G$2,$Q31=Parametres!$G$3),I31,C31)</f>
        <v>0</v>
      </c>
      <c r="O31" s="155">
        <f>+IF(OR($Q31=Parametres!$G$2,$Q31=Parametres!$G$3),J31,D31)</f>
        <v>0.2</v>
      </c>
      <c r="P31" s="155">
        <f>+IF(OR($Q31=Parametres!$G$2,$Q31=Parametres!$G$3),K31,E31)</f>
        <v>0.2</v>
      </c>
      <c r="Q31" s="154" t="str">
        <f t="shared" si="3"/>
        <v>1-Mémo</v>
      </c>
      <c r="R31" s="153" t="str">
        <f t="shared" si="3"/>
        <v>50</v>
      </c>
      <c r="S31" s="154">
        <f t="shared" si="3"/>
        <v>0</v>
      </c>
      <c r="T31" s="156">
        <f>+VLOOKUP($L31,Data_Validation!$A:$D,1,0)</f>
        <v>517</v>
      </c>
      <c r="U31" s="156">
        <f>+VLOOKUP($L31,Data_Validation!$A:$D,3,0)</f>
        <v>0</v>
      </c>
      <c r="V31" s="156">
        <f>+VLOOKUP($L31,Data_Validation!$A:$D,4,0)</f>
        <v>0</v>
      </c>
      <c r="W31" s="156" t="str">
        <f>+VLOOKUP($L31,Data_Validation!$A:$E,5,0)</f>
        <v>$</v>
      </c>
      <c r="X31" s="156">
        <f>+VLOOKUP($L31,Data_Validation!$A:$F,6,0)</f>
        <v>0</v>
      </c>
    </row>
    <row r="32" spans="1:24" ht="15" hidden="1" customHeight="1">
      <c r="A32" s="1002" t="s">
        <v>2332</v>
      </c>
      <c r="B32" s="1145">
        <v>521</v>
      </c>
      <c r="C32" s="1003"/>
      <c r="D32" s="1003"/>
      <c r="E32" s="1003"/>
      <c r="F32" s="1002" t="s">
        <v>1</v>
      </c>
      <c r="G32" s="1002" t="s">
        <v>2212</v>
      </c>
      <c r="H32" s="1003"/>
      <c r="I32" s="1004">
        <v>0</v>
      </c>
      <c r="J32" s="1004">
        <v>2</v>
      </c>
      <c r="K32" s="1004">
        <v>2</v>
      </c>
      <c r="L32" s="153">
        <f t="shared" si="0"/>
        <v>521</v>
      </c>
      <c r="M32" s="154" t="str">
        <f t="shared" si="1"/>
        <v>DIR. SERVICE NEUFS</v>
      </c>
      <c r="N32" s="155">
        <f>+IF(OR($Q32=Parametres!$G$2,$Q32=Parametres!$G$3),I32,C32)</f>
        <v>0</v>
      </c>
      <c r="O32" s="576">
        <f>+IF(OR($Q32=Parametres!$G$2,$Q32=Parametres!$G$3),J32,D32)</f>
        <v>2</v>
      </c>
      <c r="P32" s="155">
        <f>+IF(OR($Q32=Parametres!$G$2,$Q32=Parametres!$G$3),K32,E32)</f>
        <v>2</v>
      </c>
      <c r="Q32" s="154" t="str">
        <f t="shared" si="3"/>
        <v>1-Mémo</v>
      </c>
      <c r="R32" s="153" t="str">
        <f t="shared" si="3"/>
        <v>50</v>
      </c>
      <c r="S32" s="154">
        <f t="shared" si="3"/>
        <v>0</v>
      </c>
      <c r="T32" s="156">
        <f>+VLOOKUP($L32,Data_Validation!$A:$D,1,0)</f>
        <v>521</v>
      </c>
      <c r="U32" s="156">
        <f>+VLOOKUP($L32,Data_Validation!$A:$D,3,0)</f>
        <v>0</v>
      </c>
      <c r="V32" s="156">
        <f>+VLOOKUP($L32,Data_Validation!$A:$D,4,0)</f>
        <v>0</v>
      </c>
      <c r="W32" s="156" t="str">
        <f>+VLOOKUP($L32,Data_Validation!$A:$E,5,0)</f>
        <v>$</v>
      </c>
      <c r="X32" s="156">
        <f>+VLOOKUP($L32,Data_Validation!$A:$F,6,0)</f>
        <v>0</v>
      </c>
    </row>
    <row r="33" spans="1:24" ht="15" hidden="1" customHeight="1">
      <c r="A33" s="1002" t="s">
        <v>2334</v>
      </c>
      <c r="B33" s="1145">
        <v>522</v>
      </c>
      <c r="C33" s="1003"/>
      <c r="D33" s="1003"/>
      <c r="E33" s="1003"/>
      <c r="F33" s="1002" t="s">
        <v>1</v>
      </c>
      <c r="G33" s="1002" t="s">
        <v>2212</v>
      </c>
      <c r="H33" s="1003"/>
      <c r="I33" s="1004">
        <v>0</v>
      </c>
      <c r="J33" s="1004">
        <v>1</v>
      </c>
      <c r="K33" s="1004">
        <v>1</v>
      </c>
      <c r="L33" s="153">
        <f t="shared" si="0"/>
        <v>522</v>
      </c>
      <c r="M33" s="154" t="str">
        <f t="shared" si="1"/>
        <v>DIR. SERVICE USAGES</v>
      </c>
      <c r="N33" s="155">
        <f>+IF(OR($Q33=Parametres!$G$2,$Q33=Parametres!$G$3),I33,C33)</f>
        <v>0</v>
      </c>
      <c r="O33" s="576">
        <f>+IF(OR($Q33=Parametres!$G$2,$Q33=Parametres!$G$3),J33,D33)</f>
        <v>1</v>
      </c>
      <c r="P33" s="155">
        <f>+IF(OR($Q33=Parametres!$G$2,$Q33=Parametres!$G$3),K33,E33)</f>
        <v>1</v>
      </c>
      <c r="Q33" s="154" t="str">
        <f t="shared" si="3"/>
        <v>1-Mémo</v>
      </c>
      <c r="R33" s="153" t="str">
        <f t="shared" si="3"/>
        <v>50</v>
      </c>
      <c r="S33" s="154">
        <f t="shared" si="3"/>
        <v>0</v>
      </c>
      <c r="T33" s="156">
        <f>+VLOOKUP($L33,Data_Validation!$A:$D,1,0)</f>
        <v>522</v>
      </c>
      <c r="U33" s="156">
        <f>+VLOOKUP($L33,Data_Validation!$A:$D,3,0)</f>
        <v>0</v>
      </c>
      <c r="V33" s="156">
        <f>+VLOOKUP($L33,Data_Validation!$A:$D,4,0)</f>
        <v>0</v>
      </c>
      <c r="W33" s="156" t="str">
        <f>+VLOOKUP($L33,Data_Validation!$A:$E,5,0)</f>
        <v>$</v>
      </c>
      <c r="X33" s="156">
        <f>+VLOOKUP($L33,Data_Validation!$A:$F,6,0)</f>
        <v>0</v>
      </c>
    </row>
    <row r="34" spans="1:24" ht="15.75" hidden="1" customHeight="1">
      <c r="A34" s="1002" t="s">
        <v>2336</v>
      </c>
      <c r="B34" s="1145">
        <v>524</v>
      </c>
      <c r="C34" s="1003"/>
      <c r="D34" s="1003"/>
      <c r="E34" s="1003"/>
      <c r="F34" s="1002" t="s">
        <v>1</v>
      </c>
      <c r="G34" s="1002" t="s">
        <v>2212</v>
      </c>
      <c r="H34" s="1003"/>
      <c r="I34" s="1004">
        <v>0</v>
      </c>
      <c r="J34" s="1004">
        <v>2</v>
      </c>
      <c r="K34" s="1004">
        <v>2</v>
      </c>
      <c r="L34" s="153">
        <f t="shared" si="0"/>
        <v>524</v>
      </c>
      <c r="M34" s="154" t="str">
        <f t="shared" si="1"/>
        <v>DIR. SERVICE SERVICE</v>
      </c>
      <c r="N34" s="155">
        <f>+IF(OR($Q34=Parametres!$G$2,$Q34=Parametres!$G$3),I34,C34)</f>
        <v>0</v>
      </c>
      <c r="O34" s="575">
        <f>+IF(OR($Q34=Parametres!$G$2,$Q34=Parametres!$G$3),J34,D34)</f>
        <v>2</v>
      </c>
      <c r="P34" s="155">
        <f>+IF(OR($Q34=Parametres!$G$2,$Q34=Parametres!$G$3),K34,E34)</f>
        <v>2</v>
      </c>
      <c r="Q34" s="154" t="str">
        <f t="shared" ref="Q34:S49" si="4">+F34</f>
        <v>1-Mémo</v>
      </c>
      <c r="R34" s="153" t="str">
        <f t="shared" si="4"/>
        <v>50</v>
      </c>
      <c r="S34" s="154">
        <f t="shared" si="4"/>
        <v>0</v>
      </c>
      <c r="T34" s="156">
        <f>+VLOOKUP($L34,Data_Validation!$A:$D,1,0)</f>
        <v>524</v>
      </c>
      <c r="U34" s="156">
        <f>+VLOOKUP($L34,Data_Validation!$A:$D,3,0)</f>
        <v>0</v>
      </c>
      <c r="V34" s="156">
        <f>+VLOOKUP($L34,Data_Validation!$A:$D,4,0)</f>
        <v>0</v>
      </c>
      <c r="W34" s="156" t="str">
        <f>+VLOOKUP($L34,Data_Validation!$A:$E,5,0)</f>
        <v>$</v>
      </c>
      <c r="X34" s="156">
        <f>+VLOOKUP($L34,Data_Validation!$A:$F,6,0)</f>
        <v>0</v>
      </c>
    </row>
    <row r="35" spans="1:24" ht="15" hidden="1" customHeight="1">
      <c r="A35" s="1002" t="s">
        <v>2338</v>
      </c>
      <c r="B35" s="1145">
        <v>527</v>
      </c>
      <c r="C35" s="1003"/>
      <c r="D35" s="1003"/>
      <c r="E35" s="1003"/>
      <c r="F35" s="1002" t="s">
        <v>1</v>
      </c>
      <c r="G35" s="1002" t="s">
        <v>2212</v>
      </c>
      <c r="H35" s="1003"/>
      <c r="I35" s="1004">
        <v>0</v>
      </c>
      <c r="J35" s="1004">
        <v>1</v>
      </c>
      <c r="K35" s="1004">
        <v>1</v>
      </c>
      <c r="L35" s="153">
        <f t="shared" si="0"/>
        <v>527</v>
      </c>
      <c r="M35" s="154" t="str">
        <f t="shared" si="1"/>
        <v>DIR. SERVICE PIECES</v>
      </c>
      <c r="N35" s="155">
        <f>+IF(OR($Q35=Parametres!$G$2,$Q35=Parametres!$G$3),I35,C35)</f>
        <v>0</v>
      </c>
      <c r="O35" s="155">
        <f>+IF(OR($Q35=Parametres!$G$2,$Q35=Parametres!$G$3),J35,D35)</f>
        <v>1</v>
      </c>
      <c r="P35" s="155">
        <f>+IF(OR($Q35=Parametres!$G$2,$Q35=Parametres!$G$3),K35,E35)</f>
        <v>1</v>
      </c>
      <c r="Q35" s="154" t="str">
        <f t="shared" si="4"/>
        <v>1-Mémo</v>
      </c>
      <c r="R35" s="153" t="str">
        <f t="shared" si="4"/>
        <v>50</v>
      </c>
      <c r="S35" s="154">
        <f t="shared" si="4"/>
        <v>0</v>
      </c>
      <c r="T35" s="156">
        <f>+VLOOKUP($L35,Data_Validation!$A:$D,1,0)</f>
        <v>527</v>
      </c>
      <c r="U35" s="156">
        <f>+VLOOKUP($L35,Data_Validation!$A:$D,3,0)</f>
        <v>0</v>
      </c>
      <c r="V35" s="156">
        <f>+VLOOKUP($L35,Data_Validation!$A:$D,4,0)</f>
        <v>0</v>
      </c>
      <c r="W35" s="156" t="str">
        <f>+VLOOKUP($L35,Data_Validation!$A:$E,5,0)</f>
        <v>$</v>
      </c>
      <c r="X35" s="156">
        <f>+VLOOKUP($L35,Data_Validation!$A:$F,6,0)</f>
        <v>0</v>
      </c>
    </row>
    <row r="36" spans="1:24" ht="15" hidden="1" customHeight="1">
      <c r="A36" s="1002" t="s">
        <v>2340</v>
      </c>
      <c r="B36" s="1145">
        <v>541</v>
      </c>
      <c r="C36" s="1003"/>
      <c r="D36" s="1003"/>
      <c r="E36" s="1003"/>
      <c r="F36" s="1002" t="s">
        <v>1</v>
      </c>
      <c r="G36" s="1002" t="s">
        <v>2342</v>
      </c>
      <c r="H36" s="1003"/>
      <c r="I36" s="1004">
        <v>0</v>
      </c>
      <c r="J36" s="1004">
        <v>4</v>
      </c>
      <c r="K36" s="1004">
        <v>4</v>
      </c>
      <c r="L36" s="153">
        <f t="shared" si="0"/>
        <v>541</v>
      </c>
      <c r="M36" s="154" t="str">
        <f t="shared" si="1"/>
        <v>VW REP. DES VENTES - NEUF</v>
      </c>
      <c r="N36" s="155">
        <f>+IF(OR($Q36=Parametres!$G$2,$Q36=Parametres!$G$3),I36,C36)</f>
        <v>0</v>
      </c>
      <c r="O36" s="575">
        <f>+IF(OR($Q36=Parametres!$G$2,$Q36=Parametres!$G$3),J36,D36)</f>
        <v>4</v>
      </c>
      <c r="P36" s="155">
        <f>+IF(OR($Q36=Parametres!$G$2,$Q36=Parametres!$G$3),K36,E36)</f>
        <v>4</v>
      </c>
      <c r="Q36" s="154" t="str">
        <f t="shared" si="4"/>
        <v>1-Mémo</v>
      </c>
      <c r="R36" s="153" t="str">
        <f t="shared" si="4"/>
        <v>54</v>
      </c>
      <c r="S36" s="154">
        <f t="shared" si="4"/>
        <v>0</v>
      </c>
      <c r="T36" s="156">
        <f>+VLOOKUP($L36,Data_Validation!$A:$D,1,0)</f>
        <v>541</v>
      </c>
      <c r="U36" s="156">
        <f>+VLOOKUP($L36,Data_Validation!$A:$D,3,0)</f>
        <v>0</v>
      </c>
      <c r="V36" s="156">
        <f>+VLOOKUP($L36,Data_Validation!$A:$D,4,0)</f>
        <v>0</v>
      </c>
      <c r="W36" s="156" t="str">
        <f>+VLOOKUP($L36,Data_Validation!$A:$E,5,0)</f>
        <v>$</v>
      </c>
      <c r="X36" s="156">
        <f>+VLOOKUP($L36,Data_Validation!$A:$F,6,0)</f>
        <v>0</v>
      </c>
    </row>
    <row r="37" spans="1:24" ht="15" hidden="1" customHeight="1">
      <c r="A37" s="1002" t="s">
        <v>2343</v>
      </c>
      <c r="B37" s="1145">
        <v>542</v>
      </c>
      <c r="C37" s="1003"/>
      <c r="D37" s="1003"/>
      <c r="E37" s="1003"/>
      <c r="F37" s="1002" t="s">
        <v>1</v>
      </c>
      <c r="G37" s="1002" t="s">
        <v>2212</v>
      </c>
      <c r="H37" s="1003"/>
      <c r="I37" s="1004">
        <v>0</v>
      </c>
      <c r="J37" s="1004">
        <v>1</v>
      </c>
      <c r="K37" s="1004">
        <v>1</v>
      </c>
      <c r="L37" s="153">
        <f t="shared" si="0"/>
        <v>542</v>
      </c>
      <c r="M37" s="154" t="str">
        <f t="shared" si="1"/>
        <v>VW REP. DES VENTES - OCC.</v>
      </c>
      <c r="N37" s="155">
        <f>+IF(OR($Q37=Parametres!$G$2,$Q37=Parametres!$G$3),I37,C37)</f>
        <v>0</v>
      </c>
      <c r="O37" s="155">
        <f>+IF(OR($Q37=Parametres!$G$2,$Q37=Parametres!$G$3),J37,D37)</f>
        <v>1</v>
      </c>
      <c r="P37" s="155">
        <f>+IF(OR($Q37=Parametres!$G$2,$Q37=Parametres!$G$3),K37,E37)</f>
        <v>1</v>
      </c>
      <c r="Q37" s="154" t="str">
        <f t="shared" si="4"/>
        <v>1-Mémo</v>
      </c>
      <c r="R37" s="153" t="str">
        <f t="shared" si="4"/>
        <v>50</v>
      </c>
      <c r="S37" s="154">
        <f t="shared" si="4"/>
        <v>0</v>
      </c>
      <c r="T37" s="156">
        <f>+VLOOKUP($L37,Data_Validation!$A:$D,1,0)</f>
        <v>542</v>
      </c>
      <c r="U37" s="156">
        <f>+VLOOKUP($L37,Data_Validation!$A:$D,3,0)</f>
        <v>0</v>
      </c>
      <c r="V37" s="156">
        <f>+VLOOKUP($L37,Data_Validation!$A:$D,4,0)</f>
        <v>0</v>
      </c>
      <c r="W37" s="156" t="str">
        <f>+VLOOKUP($L37,Data_Validation!$A:$E,5,0)</f>
        <v>$</v>
      </c>
      <c r="X37" s="156">
        <f>+VLOOKUP($L37,Data_Validation!$A:$F,6,0)</f>
        <v>0</v>
      </c>
    </row>
    <row r="38" spans="1:24" ht="15" hidden="1" customHeight="1">
      <c r="A38" s="1002" t="s">
        <v>2345</v>
      </c>
      <c r="B38" s="1145">
        <v>551</v>
      </c>
      <c r="C38" s="1003"/>
      <c r="D38" s="1003"/>
      <c r="E38" s="1003"/>
      <c r="F38" s="1002" t="s">
        <v>1</v>
      </c>
      <c r="G38" s="1002" t="s">
        <v>2212</v>
      </c>
      <c r="H38" s="1003"/>
      <c r="I38" s="1004">
        <v>0</v>
      </c>
      <c r="J38" s="1004">
        <v>3</v>
      </c>
      <c r="K38" s="1004">
        <v>3</v>
      </c>
      <c r="L38" s="153">
        <f t="shared" si="0"/>
        <v>551</v>
      </c>
      <c r="M38" s="154" t="str">
        <f t="shared" si="1"/>
        <v>DIR. COMMERCIAL NEUFS</v>
      </c>
      <c r="N38" s="155">
        <f>+IF(OR($Q38=Parametres!$G$2,$Q38=Parametres!$G$3),I38,C38)</f>
        <v>0</v>
      </c>
      <c r="O38" s="575">
        <f>+IF(OR($Q38=Parametres!$G$2,$Q38=Parametres!$G$3),J38,D38)</f>
        <v>3</v>
      </c>
      <c r="P38" s="155">
        <f>+IF(OR($Q38=Parametres!$G$2,$Q38=Parametres!$G$3),K38,E38)</f>
        <v>3</v>
      </c>
      <c r="Q38" s="154" t="str">
        <f t="shared" si="4"/>
        <v>1-Mémo</v>
      </c>
      <c r="R38" s="153" t="str">
        <f t="shared" si="4"/>
        <v>50</v>
      </c>
      <c r="S38" s="154">
        <f t="shared" si="4"/>
        <v>0</v>
      </c>
      <c r="T38" s="156">
        <f>+VLOOKUP($L38,Data_Validation!$A:$D,1,0)</f>
        <v>551</v>
      </c>
      <c r="U38" s="156">
        <f>+VLOOKUP($L38,Data_Validation!$A:$D,3,0)</f>
        <v>0</v>
      </c>
      <c r="V38" s="156">
        <f>+VLOOKUP($L38,Data_Validation!$A:$D,4,0)</f>
        <v>0</v>
      </c>
      <c r="W38" s="156" t="str">
        <f>+VLOOKUP($L38,Data_Validation!$A:$E,5,0)</f>
        <v>$</v>
      </c>
      <c r="X38" s="156">
        <f>+VLOOKUP($L38,Data_Validation!$A:$F,6,0)</f>
        <v>0</v>
      </c>
    </row>
    <row r="39" spans="1:24" ht="15" hidden="1" customHeight="1">
      <c r="A39" s="1002" t="s">
        <v>2347</v>
      </c>
      <c r="B39" s="1145">
        <v>552</v>
      </c>
      <c r="C39" s="1003"/>
      <c r="D39" s="1003"/>
      <c r="E39" s="1003"/>
      <c r="F39" s="1002" t="s">
        <v>1</v>
      </c>
      <c r="G39" s="1002" t="s">
        <v>2212</v>
      </c>
      <c r="H39" s="1003"/>
      <c r="I39" s="1004">
        <v>0</v>
      </c>
      <c r="J39" s="1004">
        <v>2</v>
      </c>
      <c r="K39" s="1004">
        <v>2</v>
      </c>
      <c r="L39" s="153">
        <f t="shared" si="0"/>
        <v>552</v>
      </c>
      <c r="M39" s="154" t="str">
        <f t="shared" si="1"/>
        <v>DIR. COMMERCIAL USAGES</v>
      </c>
      <c r="N39" s="155">
        <f>+IF(OR($Q39=Parametres!$G$2,$Q39=Parametres!$G$3),I39,C39)</f>
        <v>0</v>
      </c>
      <c r="O39" s="577">
        <f>+IF(OR($Q39=Parametres!$G$2,$Q39=Parametres!$G$3),J39,D39)</f>
        <v>2</v>
      </c>
      <c r="P39" s="155">
        <f>+IF(OR($Q39=Parametres!$G$2,$Q39=Parametres!$G$3),K39,E39)</f>
        <v>2</v>
      </c>
      <c r="Q39" s="154" t="str">
        <f t="shared" si="4"/>
        <v>1-Mémo</v>
      </c>
      <c r="R39" s="153" t="str">
        <f t="shared" si="4"/>
        <v>50</v>
      </c>
      <c r="S39" s="154">
        <f t="shared" si="4"/>
        <v>0</v>
      </c>
      <c r="T39" s="156">
        <f>+VLOOKUP($L39,Data_Validation!$A:$D,1,0)</f>
        <v>552</v>
      </c>
      <c r="U39" s="156">
        <f>+VLOOKUP($L39,Data_Validation!$A:$D,3,0)</f>
        <v>0</v>
      </c>
      <c r="V39" s="156">
        <f>+VLOOKUP($L39,Data_Validation!$A:$D,4,0)</f>
        <v>0</v>
      </c>
      <c r="W39" s="156" t="str">
        <f>+VLOOKUP($L39,Data_Validation!$A:$E,5,0)</f>
        <v>$</v>
      </c>
      <c r="X39" s="156">
        <f>+VLOOKUP($L39,Data_Validation!$A:$F,6,0)</f>
        <v>0</v>
      </c>
    </row>
    <row r="40" spans="1:24" ht="15.75" hidden="1" customHeight="1">
      <c r="A40" s="1002" t="s">
        <v>2859</v>
      </c>
      <c r="B40" s="1145">
        <v>564</v>
      </c>
      <c r="C40" s="1003"/>
      <c r="D40" s="1003"/>
      <c r="E40" s="1003"/>
      <c r="F40" s="1002" t="s">
        <v>1</v>
      </c>
      <c r="G40" s="1002" t="s">
        <v>2212</v>
      </c>
      <c r="H40" s="1003"/>
      <c r="I40" s="1004">
        <v>0</v>
      </c>
      <c r="J40" s="1004">
        <v>1</v>
      </c>
      <c r="K40" s="1004">
        <v>1</v>
      </c>
      <c r="L40" s="153">
        <f t="shared" si="0"/>
        <v>564</v>
      </c>
      <c r="M40" s="154" t="str">
        <f t="shared" si="1"/>
        <v>CONTREMAITRE SERVICE</v>
      </c>
      <c r="N40" s="155">
        <f>+IF(OR($Q40=Parametres!$G$2,$Q40=Parametres!$G$3),I40,C40)</f>
        <v>0</v>
      </c>
      <c r="O40" s="576">
        <f>+IF(OR($Q40=Parametres!$G$2,$Q40=Parametres!$G$3),J40,D40)</f>
        <v>1</v>
      </c>
      <c r="P40" s="155">
        <f>+IF(OR($Q40=Parametres!$G$2,$Q40=Parametres!$G$3),K40,E40)</f>
        <v>1</v>
      </c>
      <c r="Q40" s="154" t="str">
        <f t="shared" si="4"/>
        <v>1-Mémo</v>
      </c>
      <c r="R40" s="153" t="str">
        <f t="shared" si="4"/>
        <v>50</v>
      </c>
      <c r="S40" s="154">
        <f t="shared" si="4"/>
        <v>0</v>
      </c>
      <c r="T40" s="156">
        <f>+VLOOKUP($L40,Data_Validation!$A:$D,1,0)</f>
        <v>564</v>
      </c>
      <c r="U40" s="156">
        <f>+VLOOKUP($L40,Data_Validation!$A:$D,3,0)</f>
        <v>0</v>
      </c>
      <c r="V40" s="156">
        <f>+VLOOKUP($L40,Data_Validation!$A:$D,4,0)</f>
        <v>0</v>
      </c>
      <c r="W40" s="156" t="str">
        <f>+VLOOKUP($L40,Data_Validation!$A:$E,5,0)</f>
        <v>$</v>
      </c>
      <c r="X40" s="156">
        <f>+VLOOKUP($L40,Data_Validation!$A:$F,6,0)</f>
        <v>0</v>
      </c>
    </row>
    <row r="41" spans="1:24" ht="15" hidden="1" customHeight="1">
      <c r="A41" s="1002" t="s">
        <v>2349</v>
      </c>
      <c r="B41" s="1145">
        <v>614</v>
      </c>
      <c r="C41" s="1003"/>
      <c r="D41" s="1003"/>
      <c r="E41" s="1003"/>
      <c r="F41" s="1002" t="s">
        <v>1</v>
      </c>
      <c r="G41" s="1002" t="s">
        <v>2351</v>
      </c>
      <c r="H41" s="1003"/>
      <c r="I41" s="1004">
        <v>0</v>
      </c>
      <c r="J41" s="1004">
        <v>4</v>
      </c>
      <c r="K41" s="1004">
        <v>4</v>
      </c>
      <c r="L41" s="153">
        <f t="shared" si="0"/>
        <v>614</v>
      </c>
      <c r="M41" s="154" t="str">
        <f t="shared" si="1"/>
        <v>VW CONSEILLERS SERVICE -SERVICE</v>
      </c>
      <c r="N41" s="155">
        <f>+IF(OR($Q41=Parametres!$G$2,$Q41=Parametres!$G$3),I41,C41)</f>
        <v>0</v>
      </c>
      <c r="O41" s="575">
        <f>+IF(OR($Q41=Parametres!$G$2,$Q41=Parametres!$G$3),J41,D41)</f>
        <v>4</v>
      </c>
      <c r="P41" s="155">
        <f>+IF(OR($Q41=Parametres!$G$2,$Q41=Parametres!$G$3),K41,E41)</f>
        <v>4</v>
      </c>
      <c r="Q41" s="154" t="str">
        <f t="shared" si="4"/>
        <v>1-Mémo</v>
      </c>
      <c r="R41" s="153" t="str">
        <f t="shared" si="4"/>
        <v>61</v>
      </c>
      <c r="S41" s="154">
        <f t="shared" si="4"/>
        <v>0</v>
      </c>
      <c r="T41" s="156">
        <f>+VLOOKUP($L41,Data_Validation!$A:$D,1,0)</f>
        <v>614</v>
      </c>
      <c r="U41" s="156">
        <f>+VLOOKUP($L41,Data_Validation!$A:$D,3,0)</f>
        <v>0</v>
      </c>
      <c r="V41" s="156">
        <f>+VLOOKUP($L41,Data_Validation!$A:$D,4,0)</f>
        <v>0</v>
      </c>
      <c r="W41" s="156" t="str">
        <f>+VLOOKUP($L41,Data_Validation!$A:$E,5,0)</f>
        <v>$</v>
      </c>
      <c r="X41" s="156">
        <f>+VLOOKUP($L41,Data_Validation!$A:$F,6,0)</f>
        <v>0</v>
      </c>
    </row>
    <row r="42" spans="1:24" ht="15" hidden="1" customHeight="1">
      <c r="A42" s="1002" t="s">
        <v>2352</v>
      </c>
      <c r="B42" s="1145">
        <v>615</v>
      </c>
      <c r="C42" s="1003"/>
      <c r="D42" s="1003"/>
      <c r="E42" s="1003"/>
      <c r="F42" s="1002" t="s">
        <v>1</v>
      </c>
      <c r="G42" s="1002" t="s">
        <v>2351</v>
      </c>
      <c r="H42" s="1003"/>
      <c r="I42" s="1004">
        <v>0</v>
      </c>
      <c r="J42" s="1004">
        <v>1</v>
      </c>
      <c r="K42" s="1004">
        <v>1</v>
      </c>
      <c r="L42" s="153">
        <f t="shared" si="0"/>
        <v>615</v>
      </c>
      <c r="M42" s="154" t="str">
        <f t="shared" si="1"/>
        <v>VW CONSEILLERS SERVICE - PIEC. &amp; CARR.&lt;</v>
      </c>
      <c r="N42" s="155">
        <f>+IF(OR($Q42=Parametres!$G$2,$Q42=Parametres!$G$3),I42,C42)</f>
        <v>0</v>
      </c>
      <c r="O42" s="576">
        <f>+IF(OR($Q42=Parametres!$G$2,$Q42=Parametres!$G$3),J42,D42)</f>
        <v>1</v>
      </c>
      <c r="P42" s="155">
        <f>+IF(OR($Q42=Parametres!$G$2,$Q42=Parametres!$G$3),K42,E42)</f>
        <v>1</v>
      </c>
      <c r="Q42" s="154" t="str">
        <f t="shared" si="4"/>
        <v>1-Mémo</v>
      </c>
      <c r="R42" s="153" t="str">
        <f t="shared" si="4"/>
        <v>61</v>
      </c>
      <c r="S42" s="154">
        <f t="shared" si="4"/>
        <v>0</v>
      </c>
      <c r="T42" s="156">
        <f>+VLOOKUP($L42,Data_Validation!$A:$D,1,0)</f>
        <v>615</v>
      </c>
      <c r="U42" s="156">
        <f>+VLOOKUP($L42,Data_Validation!$A:$D,3,0)</f>
        <v>0</v>
      </c>
      <c r="V42" s="156">
        <f>+VLOOKUP($L42,Data_Validation!$A:$D,4,0)</f>
        <v>0</v>
      </c>
      <c r="W42" s="156" t="str">
        <f>+VLOOKUP($L42,Data_Validation!$A:$E,5,0)</f>
        <v>$</v>
      </c>
      <c r="X42" s="156">
        <f>+VLOOKUP($L42,Data_Validation!$A:$F,6,0)</f>
        <v>0</v>
      </c>
    </row>
    <row r="43" spans="1:24" ht="15" hidden="1" customHeight="1">
      <c r="A43" s="1002" t="s">
        <v>2354</v>
      </c>
      <c r="B43" s="1145">
        <v>621</v>
      </c>
      <c r="C43" s="1003"/>
      <c r="D43" s="1003"/>
      <c r="E43" s="1003"/>
      <c r="F43" s="1002" t="s">
        <v>1</v>
      </c>
      <c r="G43" s="1002" t="s">
        <v>2212</v>
      </c>
      <c r="H43" s="1003"/>
      <c r="I43" s="1004">
        <v>0</v>
      </c>
      <c r="J43" s="1004">
        <v>1</v>
      </c>
      <c r="K43" s="1004">
        <v>1</v>
      </c>
      <c r="L43" s="153">
        <f t="shared" si="0"/>
        <v>621</v>
      </c>
      <c r="M43" s="154" t="str">
        <f t="shared" si="1"/>
        <v>LAVEURS NEUFS</v>
      </c>
      <c r="N43" s="155">
        <f>+IF(OR($Q43=Parametres!$G$2,$Q43=Parametres!$G$3),I43,C43)</f>
        <v>0</v>
      </c>
      <c r="O43" s="576">
        <f>+IF(OR($Q43=Parametres!$G$2,$Q43=Parametres!$G$3),J43,D43)</f>
        <v>1</v>
      </c>
      <c r="P43" s="155">
        <f>+IF(OR($Q43=Parametres!$G$2,$Q43=Parametres!$G$3),K43,E43)</f>
        <v>1</v>
      </c>
      <c r="Q43" s="154" t="str">
        <f t="shared" si="4"/>
        <v>1-Mémo</v>
      </c>
      <c r="R43" s="153" t="str">
        <f t="shared" si="4"/>
        <v>50</v>
      </c>
      <c r="S43" s="154">
        <f t="shared" si="4"/>
        <v>0</v>
      </c>
      <c r="T43" s="156">
        <f>+VLOOKUP($L43,Data_Validation!$A:$D,1,0)</f>
        <v>621</v>
      </c>
      <c r="U43" s="156">
        <f>+VLOOKUP($L43,Data_Validation!$A:$D,3,0)</f>
        <v>0</v>
      </c>
      <c r="V43" s="156">
        <f>+VLOOKUP($L43,Data_Validation!$A:$D,4,0)</f>
        <v>0</v>
      </c>
      <c r="W43" s="156" t="str">
        <f>+VLOOKUP($L43,Data_Validation!$A:$E,5,0)</f>
        <v>$</v>
      </c>
      <c r="X43" s="156">
        <f>+VLOOKUP($L43,Data_Validation!$A:$F,6,0)</f>
        <v>0</v>
      </c>
    </row>
    <row r="44" spans="1:24" ht="15.75" hidden="1" customHeight="1">
      <c r="A44" s="1002" t="s">
        <v>2356</v>
      </c>
      <c r="B44" s="1145">
        <v>622</v>
      </c>
      <c r="C44" s="1003"/>
      <c r="D44" s="1003"/>
      <c r="E44" s="1003"/>
      <c r="F44" s="1002" t="s">
        <v>1</v>
      </c>
      <c r="G44" s="1002" t="s">
        <v>2212</v>
      </c>
      <c r="H44" s="1003"/>
      <c r="I44" s="1004">
        <v>0</v>
      </c>
      <c r="J44" s="1004">
        <v>1</v>
      </c>
      <c r="K44" s="1004">
        <v>1</v>
      </c>
      <c r="L44" s="153">
        <f t="shared" si="0"/>
        <v>622</v>
      </c>
      <c r="M44" s="154" t="str">
        <f t="shared" si="1"/>
        <v>LAVEURS USAGES</v>
      </c>
      <c r="N44" s="155">
        <f>+IF(OR($Q44=Parametres!$G$2,$Q44=Parametres!$G$3),I44,C44)</f>
        <v>0</v>
      </c>
      <c r="O44" s="576">
        <f>+IF(OR($Q44=Parametres!$G$2,$Q44=Parametres!$G$3),J44,D44)</f>
        <v>1</v>
      </c>
      <c r="P44" s="155">
        <f>+IF(OR($Q44=Parametres!$G$2,$Q44=Parametres!$G$3),K44,E44)</f>
        <v>1</v>
      </c>
      <c r="Q44" s="154" t="str">
        <f t="shared" si="4"/>
        <v>1-Mémo</v>
      </c>
      <c r="R44" s="153" t="str">
        <f t="shared" si="4"/>
        <v>50</v>
      </c>
      <c r="S44" s="154">
        <f t="shared" si="4"/>
        <v>0</v>
      </c>
      <c r="T44" s="156">
        <f>+VLOOKUP($L44,Data_Validation!$A:$D,1,0)</f>
        <v>622</v>
      </c>
      <c r="U44" s="156">
        <f>+VLOOKUP($L44,Data_Validation!$A:$D,3,0)</f>
        <v>0</v>
      </c>
      <c r="V44" s="156">
        <f>+VLOOKUP($L44,Data_Validation!$A:$D,4,0)</f>
        <v>0</v>
      </c>
      <c r="W44" s="156" t="str">
        <f>+VLOOKUP($L44,Data_Validation!$A:$E,5,0)</f>
        <v>$</v>
      </c>
      <c r="X44" s="156">
        <f>+VLOOKUP($L44,Data_Validation!$A:$F,6,0)</f>
        <v>0</v>
      </c>
    </row>
    <row r="45" spans="1:24" ht="15" hidden="1" customHeight="1">
      <c r="A45" s="1002" t="s">
        <v>2358</v>
      </c>
      <c r="B45" s="1145">
        <v>624</v>
      </c>
      <c r="C45" s="1003"/>
      <c r="D45" s="1003"/>
      <c r="E45" s="1003"/>
      <c r="F45" s="1002" t="s">
        <v>1</v>
      </c>
      <c r="G45" s="1002" t="s">
        <v>2212</v>
      </c>
      <c r="H45" s="1003"/>
      <c r="I45" s="1004">
        <v>0</v>
      </c>
      <c r="J45" s="1004">
        <v>9</v>
      </c>
      <c r="K45" s="1004">
        <v>9</v>
      </c>
      <c r="L45" s="153">
        <f t="shared" si="0"/>
        <v>624</v>
      </c>
      <c r="M45" s="154" t="str">
        <f t="shared" si="1"/>
        <v>LAVEURS SERVICE</v>
      </c>
      <c r="N45" s="155">
        <f>+IF(OR($Q45=Parametres!$G$2,$Q45=Parametres!$G$3),I45,C45)</f>
        <v>0</v>
      </c>
      <c r="O45" s="576">
        <f>+IF(OR($Q45=Parametres!$G$2,$Q45=Parametres!$G$3),J45,D45)</f>
        <v>9</v>
      </c>
      <c r="P45" s="155">
        <f>+IF(OR($Q45=Parametres!$G$2,$Q45=Parametres!$G$3),K45,E45)</f>
        <v>9</v>
      </c>
      <c r="Q45" s="154" t="str">
        <f t="shared" si="4"/>
        <v>1-Mémo</v>
      </c>
      <c r="R45" s="153" t="str">
        <f t="shared" si="4"/>
        <v>50</v>
      </c>
      <c r="S45" s="154">
        <f t="shared" si="4"/>
        <v>0</v>
      </c>
      <c r="T45" s="156">
        <f>+VLOOKUP($L45,Data_Validation!$A:$D,1,0)</f>
        <v>624</v>
      </c>
      <c r="U45" s="156">
        <f>+VLOOKUP($L45,Data_Validation!$A:$D,3,0)</f>
        <v>0</v>
      </c>
      <c r="V45" s="156">
        <f>+VLOOKUP($L45,Data_Validation!$A:$D,4,0)</f>
        <v>0</v>
      </c>
      <c r="W45" s="156" t="str">
        <f>+VLOOKUP($L45,Data_Validation!$A:$E,5,0)</f>
        <v>$</v>
      </c>
      <c r="X45" s="156">
        <f>+VLOOKUP($L45,Data_Validation!$A:$F,6,0)</f>
        <v>0</v>
      </c>
    </row>
    <row r="46" spans="1:24" ht="15" hidden="1" customHeight="1">
      <c r="A46" s="1002" t="s">
        <v>2360</v>
      </c>
      <c r="B46" s="1145">
        <v>644</v>
      </c>
      <c r="C46" s="1003"/>
      <c r="D46" s="1003"/>
      <c r="E46" s="1003"/>
      <c r="F46" s="1002" t="s">
        <v>1</v>
      </c>
      <c r="G46" s="1002" t="s">
        <v>2362</v>
      </c>
      <c r="H46" s="1003"/>
      <c r="I46" s="1004">
        <v>0</v>
      </c>
      <c r="J46" s="1004">
        <v>12</v>
      </c>
      <c r="K46" s="1004">
        <v>12</v>
      </c>
      <c r="L46" s="153">
        <f t="shared" si="0"/>
        <v>644</v>
      </c>
      <c r="M46" s="154" t="str">
        <f t="shared" si="1"/>
        <v>VW TECHNICIENS - SERVICE</v>
      </c>
      <c r="N46" s="155">
        <f>+IF(OR($Q46=Parametres!$G$2,$Q46=Parametres!$G$3),I46,C46)</f>
        <v>0</v>
      </c>
      <c r="O46" s="576">
        <f>+IF(OR($Q46=Parametres!$G$2,$Q46=Parametres!$G$3),J46,D46)</f>
        <v>12</v>
      </c>
      <c r="P46" s="155">
        <f>+IF(OR($Q46=Parametres!$G$2,$Q46=Parametres!$G$3),K46,E46)</f>
        <v>12</v>
      </c>
      <c r="Q46" s="154" t="str">
        <f t="shared" si="4"/>
        <v>1-Mémo</v>
      </c>
      <c r="R46" s="153" t="str">
        <f t="shared" si="4"/>
        <v>64</v>
      </c>
      <c r="S46" s="154">
        <f t="shared" si="4"/>
        <v>0</v>
      </c>
      <c r="T46" s="156">
        <f>+VLOOKUP($L46,Data_Validation!$A:$D,1,0)</f>
        <v>644</v>
      </c>
      <c r="U46" s="156">
        <f>+VLOOKUP($L46,Data_Validation!$A:$D,3,0)</f>
        <v>0</v>
      </c>
      <c r="V46" s="156">
        <f>+VLOOKUP($L46,Data_Validation!$A:$D,4,0)</f>
        <v>0</v>
      </c>
      <c r="W46" s="156" t="str">
        <f>+VLOOKUP($L46,Data_Validation!$A:$E,5,0)</f>
        <v>$</v>
      </c>
      <c r="X46" s="156">
        <f>+VLOOKUP($L46,Data_Validation!$A:$F,6,0)</f>
        <v>0</v>
      </c>
    </row>
    <row r="47" spans="1:24" ht="15" hidden="1" customHeight="1">
      <c r="A47" s="1002" t="s">
        <v>2363</v>
      </c>
      <c r="B47" s="1145">
        <v>651</v>
      </c>
      <c r="C47" s="1003"/>
      <c r="D47" s="1003"/>
      <c r="E47" s="1003"/>
      <c r="F47" s="1002" t="s">
        <v>1</v>
      </c>
      <c r="G47" s="1002" t="s">
        <v>2212</v>
      </c>
      <c r="H47" s="1003"/>
      <c r="I47" s="1004">
        <v>0</v>
      </c>
      <c r="J47" s="1004">
        <v>0.2</v>
      </c>
      <c r="K47" s="1004">
        <v>0.2</v>
      </c>
      <c r="L47" s="153">
        <f t="shared" si="0"/>
        <v>651</v>
      </c>
      <c r="M47" s="154" t="str">
        <f t="shared" si="1"/>
        <v>DIR. ADMINIS. NEUFS</v>
      </c>
      <c r="N47" s="155">
        <f>+IF(OR($Q47=Parametres!$G$2,$Q47=Parametres!$G$3),I47,C47)</f>
        <v>0</v>
      </c>
      <c r="O47" s="155">
        <f>+IF(OR($Q47=Parametres!$G$2,$Q47=Parametres!$G$3),J47,D47)</f>
        <v>0.2</v>
      </c>
      <c r="P47" s="155">
        <f>+IF(OR($Q47=Parametres!$G$2,$Q47=Parametres!$G$3),K47,E47)</f>
        <v>0.2</v>
      </c>
      <c r="Q47" s="154" t="str">
        <f t="shared" si="4"/>
        <v>1-Mémo</v>
      </c>
      <c r="R47" s="153" t="str">
        <f t="shared" si="4"/>
        <v>50</v>
      </c>
      <c r="S47" s="154">
        <f t="shared" si="4"/>
        <v>0</v>
      </c>
      <c r="T47" s="156">
        <f>+VLOOKUP($L47,Data_Validation!$A:$D,1,0)</f>
        <v>651</v>
      </c>
      <c r="U47" s="156">
        <f>+VLOOKUP($L47,Data_Validation!$A:$D,3,0)</f>
        <v>0</v>
      </c>
      <c r="V47" s="156">
        <f>+VLOOKUP($L47,Data_Validation!$A:$D,4,0)</f>
        <v>0</v>
      </c>
      <c r="W47" s="156" t="str">
        <f>+VLOOKUP($L47,Data_Validation!$A:$E,5,0)</f>
        <v>$</v>
      </c>
      <c r="X47" s="156">
        <f>+VLOOKUP($L47,Data_Validation!$A:$F,6,0)</f>
        <v>0</v>
      </c>
    </row>
    <row r="48" spans="1:24" ht="15.75" hidden="1" customHeight="1">
      <c r="A48" s="1002" t="s">
        <v>2365</v>
      </c>
      <c r="B48" s="1145">
        <v>652</v>
      </c>
      <c r="C48" s="1003"/>
      <c r="D48" s="1003"/>
      <c r="E48" s="1003"/>
      <c r="F48" s="1002" t="s">
        <v>1</v>
      </c>
      <c r="G48" s="1002" t="s">
        <v>2212</v>
      </c>
      <c r="H48" s="1003"/>
      <c r="I48" s="1004">
        <v>0</v>
      </c>
      <c r="J48" s="1004">
        <v>0.2</v>
      </c>
      <c r="K48" s="1004">
        <v>0.2</v>
      </c>
      <c r="L48" s="153">
        <f t="shared" si="0"/>
        <v>652</v>
      </c>
      <c r="M48" s="154" t="str">
        <f t="shared" si="1"/>
        <v>DIR. ADMINIS. USAGES</v>
      </c>
      <c r="N48" s="155">
        <f>+IF(OR($Q48=Parametres!$G$2,$Q48=Parametres!$G$3),I48,C48)</f>
        <v>0</v>
      </c>
      <c r="O48" s="155">
        <f>+IF(OR($Q48=Parametres!$G$2,$Q48=Parametres!$G$3),J48,D48)</f>
        <v>0.2</v>
      </c>
      <c r="P48" s="155">
        <f>+IF(OR($Q48=Parametres!$G$2,$Q48=Parametres!$G$3),K48,E48)</f>
        <v>0.2</v>
      </c>
      <c r="Q48" s="154" t="str">
        <f t="shared" si="4"/>
        <v>1-Mémo</v>
      </c>
      <c r="R48" s="153" t="str">
        <f t="shared" si="4"/>
        <v>50</v>
      </c>
      <c r="S48" s="154">
        <f t="shared" si="4"/>
        <v>0</v>
      </c>
      <c r="T48" s="156">
        <f>+VLOOKUP($L48,Data_Validation!$A:$D,1,0)</f>
        <v>652</v>
      </c>
      <c r="U48" s="156">
        <f>+VLOOKUP($L48,Data_Validation!$A:$D,3,0)</f>
        <v>0</v>
      </c>
      <c r="V48" s="156">
        <f>+VLOOKUP($L48,Data_Validation!$A:$D,4,0)</f>
        <v>0</v>
      </c>
      <c r="W48" s="156" t="str">
        <f>+VLOOKUP($L48,Data_Validation!$A:$E,5,0)</f>
        <v>$</v>
      </c>
      <c r="X48" s="156">
        <f>+VLOOKUP($L48,Data_Validation!$A:$F,6,0)</f>
        <v>0</v>
      </c>
    </row>
    <row r="49" spans="1:24" ht="15" hidden="1" customHeight="1">
      <c r="A49" s="1002" t="s">
        <v>2367</v>
      </c>
      <c r="B49" s="1145">
        <v>654</v>
      </c>
      <c r="C49" s="1003"/>
      <c r="D49" s="1003"/>
      <c r="E49" s="1003"/>
      <c r="F49" s="1002" t="s">
        <v>1</v>
      </c>
      <c r="G49" s="1002" t="s">
        <v>2212</v>
      </c>
      <c r="H49" s="1003"/>
      <c r="I49" s="1004">
        <v>0</v>
      </c>
      <c r="J49" s="1004">
        <v>0.2</v>
      </c>
      <c r="K49" s="1004">
        <v>0.2</v>
      </c>
      <c r="L49" s="153">
        <f t="shared" si="0"/>
        <v>654</v>
      </c>
      <c r="M49" s="154" t="str">
        <f t="shared" si="1"/>
        <v>DIR. ADMINIS. SERVICE</v>
      </c>
      <c r="N49" s="155">
        <f>+IF(OR($Q49=Parametres!$G$2,$Q49=Parametres!$G$3),I49,C49)</f>
        <v>0</v>
      </c>
      <c r="O49" s="575">
        <f>+IF(OR($Q49=Parametres!$G$2,$Q49=Parametres!$G$3),J49,D49)</f>
        <v>0.2</v>
      </c>
      <c r="P49" s="155">
        <f>+IF(OR($Q49=Parametres!$G$2,$Q49=Parametres!$G$3),K49,E49)</f>
        <v>0.2</v>
      </c>
      <c r="Q49" s="154" t="str">
        <f t="shared" si="4"/>
        <v>1-Mémo</v>
      </c>
      <c r="R49" s="153" t="str">
        <f t="shared" si="4"/>
        <v>50</v>
      </c>
      <c r="S49" s="154">
        <f t="shared" si="4"/>
        <v>0</v>
      </c>
      <c r="T49" s="156">
        <f>+VLOOKUP($L49,Data_Validation!$A:$D,1,0)</f>
        <v>654</v>
      </c>
      <c r="U49" s="156">
        <f>+VLOOKUP($L49,Data_Validation!$A:$D,3,0)</f>
        <v>0</v>
      </c>
      <c r="V49" s="156">
        <f>+VLOOKUP($L49,Data_Validation!$A:$D,4,0)</f>
        <v>0</v>
      </c>
      <c r="W49" s="156" t="str">
        <f>+VLOOKUP($L49,Data_Validation!$A:$E,5,0)</f>
        <v>$</v>
      </c>
      <c r="X49" s="156">
        <f>+VLOOKUP($L49,Data_Validation!$A:$F,6,0)</f>
        <v>0</v>
      </c>
    </row>
    <row r="50" spans="1:24" ht="15" hidden="1" customHeight="1">
      <c r="A50" s="1002" t="s">
        <v>2369</v>
      </c>
      <c r="B50" s="1145">
        <v>655</v>
      </c>
      <c r="C50" s="1003"/>
      <c r="D50" s="1003"/>
      <c r="E50" s="1003"/>
      <c r="F50" s="1002" t="s">
        <v>1</v>
      </c>
      <c r="G50" s="1002" t="s">
        <v>2212</v>
      </c>
      <c r="H50" s="1003"/>
      <c r="I50" s="1004">
        <v>0</v>
      </c>
      <c r="J50" s="1004">
        <v>0.2</v>
      </c>
      <c r="K50" s="1004">
        <v>0.2</v>
      </c>
      <c r="L50" s="153">
        <f t="shared" si="0"/>
        <v>655</v>
      </c>
      <c r="M50" s="154" t="str">
        <f t="shared" si="1"/>
        <v>DIR. ADMINIS. CARROSS.</v>
      </c>
      <c r="N50" s="155">
        <f>+IF(OR($Q50=Parametres!$G$2,$Q50=Parametres!$G$3),I50,C50)</f>
        <v>0</v>
      </c>
      <c r="O50" s="576">
        <f>+IF(OR($Q50=Parametres!$G$2,$Q50=Parametres!$G$3),J50,D50)</f>
        <v>0.2</v>
      </c>
      <c r="P50" s="155">
        <f>+IF(OR($Q50=Parametres!$G$2,$Q50=Parametres!$G$3),K50,E50)</f>
        <v>0.2</v>
      </c>
      <c r="Q50" s="154" t="str">
        <f t="shared" ref="Q50:S65" si="5">+F50</f>
        <v>1-Mémo</v>
      </c>
      <c r="R50" s="153" t="str">
        <f t="shared" si="5"/>
        <v>50</v>
      </c>
      <c r="S50" s="154">
        <f t="shared" si="5"/>
        <v>0</v>
      </c>
      <c r="T50" s="156">
        <f>+VLOOKUP($L50,Data_Validation!$A:$D,1,0)</f>
        <v>655</v>
      </c>
      <c r="U50" s="156">
        <f>+VLOOKUP($L50,Data_Validation!$A:$D,3,0)</f>
        <v>0</v>
      </c>
      <c r="V50" s="156">
        <f>+VLOOKUP($L50,Data_Validation!$A:$D,4,0)</f>
        <v>0</v>
      </c>
      <c r="W50" s="156" t="str">
        <f>+VLOOKUP($L50,Data_Validation!$A:$E,5,0)</f>
        <v>$</v>
      </c>
      <c r="X50" s="156">
        <f>+VLOOKUP($L50,Data_Validation!$A:$F,6,0)</f>
        <v>0</v>
      </c>
    </row>
    <row r="51" spans="1:24" ht="15" hidden="1" customHeight="1">
      <c r="A51" s="1002" t="s">
        <v>2371</v>
      </c>
      <c r="B51" s="1145">
        <v>657</v>
      </c>
      <c r="C51" s="1003"/>
      <c r="D51" s="1003"/>
      <c r="E51" s="1003"/>
      <c r="F51" s="1002" t="s">
        <v>1</v>
      </c>
      <c r="G51" s="1002" t="s">
        <v>2212</v>
      </c>
      <c r="H51" s="1003"/>
      <c r="I51" s="1004">
        <v>0</v>
      </c>
      <c r="J51" s="1004">
        <v>0.2</v>
      </c>
      <c r="K51" s="1004">
        <v>0.2</v>
      </c>
      <c r="L51" s="153">
        <f t="shared" si="0"/>
        <v>657</v>
      </c>
      <c r="M51" s="154" t="str">
        <f t="shared" si="1"/>
        <v>DIR. ADMINIS. PIECES</v>
      </c>
      <c r="N51" s="155">
        <f>+IF(OR($Q51=Parametres!$G$2,$Q51=Parametres!$G$3),I51,C51)</f>
        <v>0</v>
      </c>
      <c r="O51" s="576">
        <f>+IF(OR($Q51=Parametres!$G$2,$Q51=Parametres!$G$3),J51,D51)</f>
        <v>0.2</v>
      </c>
      <c r="P51" s="155">
        <f>+IF(OR($Q51=Parametres!$G$2,$Q51=Parametres!$G$3),K51,E51)</f>
        <v>0.2</v>
      </c>
      <c r="Q51" s="154" t="str">
        <f t="shared" si="5"/>
        <v>1-Mémo</v>
      </c>
      <c r="R51" s="153" t="str">
        <f t="shared" si="5"/>
        <v>50</v>
      </c>
      <c r="S51" s="154">
        <f t="shared" si="5"/>
        <v>0</v>
      </c>
      <c r="T51" s="156">
        <f>+VLOOKUP($L51,Data_Validation!$A:$D,1,0)</f>
        <v>657</v>
      </c>
      <c r="U51" s="156">
        <f>+VLOOKUP($L51,Data_Validation!$A:$D,3,0)</f>
        <v>0</v>
      </c>
      <c r="V51" s="156">
        <f>+VLOOKUP($L51,Data_Validation!$A:$D,4,0)</f>
        <v>0</v>
      </c>
      <c r="W51" s="156" t="str">
        <f>+VLOOKUP($L51,Data_Validation!$A:$E,5,0)</f>
        <v>$</v>
      </c>
      <c r="X51" s="156">
        <f>+VLOOKUP($L51,Data_Validation!$A:$F,6,0)</f>
        <v>0</v>
      </c>
    </row>
    <row r="52" spans="1:24" ht="15.75" hidden="1" customHeight="1">
      <c r="A52" s="1002" t="s">
        <v>2373</v>
      </c>
      <c r="B52" s="1145">
        <v>661</v>
      </c>
      <c r="C52" s="1003"/>
      <c r="D52" s="1003"/>
      <c r="E52" s="1003"/>
      <c r="F52" s="1002" t="s">
        <v>1</v>
      </c>
      <c r="G52" s="1002" t="s">
        <v>2212</v>
      </c>
      <c r="H52" s="1003"/>
      <c r="I52" s="1004">
        <v>0</v>
      </c>
      <c r="J52" s="1004">
        <v>1</v>
      </c>
      <c r="K52" s="1004">
        <v>1</v>
      </c>
      <c r="L52" s="153">
        <f t="shared" si="0"/>
        <v>661</v>
      </c>
      <c r="M52" s="154" t="str">
        <f t="shared" si="1"/>
        <v>PERSONELS CLER. NEUFS</v>
      </c>
      <c r="N52" s="155">
        <f>+IF(OR($Q52=Parametres!$G$2,$Q52=Parametres!$G$3),I52,C52)</f>
        <v>0</v>
      </c>
      <c r="O52" s="155">
        <f>+IF(OR($Q52=Parametres!$G$2,$Q52=Parametres!$G$3),J52,D52)</f>
        <v>1</v>
      </c>
      <c r="P52" s="155">
        <f>+IF(OR($Q52=Parametres!$G$2,$Q52=Parametres!$G$3),K52,E52)</f>
        <v>1</v>
      </c>
      <c r="Q52" s="154" t="str">
        <f t="shared" si="5"/>
        <v>1-Mémo</v>
      </c>
      <c r="R52" s="153" t="str">
        <f t="shared" si="5"/>
        <v>50</v>
      </c>
      <c r="S52" s="154">
        <f t="shared" si="5"/>
        <v>0</v>
      </c>
      <c r="T52" s="156">
        <f>+VLOOKUP($L52,Data_Validation!$A:$D,1,0)</f>
        <v>661</v>
      </c>
      <c r="U52" s="156">
        <f>+VLOOKUP($L52,Data_Validation!$A:$D,3,0)</f>
        <v>0</v>
      </c>
      <c r="V52" s="156">
        <f>+VLOOKUP($L52,Data_Validation!$A:$D,4,0)</f>
        <v>0</v>
      </c>
      <c r="W52" s="156" t="str">
        <f>+VLOOKUP($L52,Data_Validation!$A:$E,5,0)</f>
        <v>$</v>
      </c>
      <c r="X52" s="156">
        <f>+VLOOKUP($L52,Data_Validation!$A:$F,6,0)</f>
        <v>0</v>
      </c>
    </row>
    <row r="53" spans="1:24" ht="15" hidden="1" customHeight="1">
      <c r="A53" s="1002" t="s">
        <v>2375</v>
      </c>
      <c r="B53" s="1145">
        <v>662</v>
      </c>
      <c r="C53" s="1003"/>
      <c r="D53" s="1003"/>
      <c r="E53" s="1003"/>
      <c r="F53" s="1002" t="s">
        <v>1</v>
      </c>
      <c r="G53" s="1002" t="s">
        <v>2212</v>
      </c>
      <c r="H53" s="1003"/>
      <c r="I53" s="1004">
        <v>0</v>
      </c>
      <c r="J53" s="1004">
        <v>1</v>
      </c>
      <c r="K53" s="1004">
        <v>1</v>
      </c>
      <c r="L53" s="153">
        <f t="shared" si="0"/>
        <v>662</v>
      </c>
      <c r="M53" s="154" t="str">
        <f t="shared" si="1"/>
        <v>PERSONELS CLER. USAGES</v>
      </c>
      <c r="N53" s="155">
        <f>+IF(OR($Q53=Parametres!$G$2,$Q53=Parametres!$G$3),I53,C53)</f>
        <v>0</v>
      </c>
      <c r="O53" s="575">
        <f>+IF(OR($Q53=Parametres!$G$2,$Q53=Parametres!$G$3),J53,D53)</f>
        <v>1</v>
      </c>
      <c r="P53" s="155">
        <f>+IF(OR($Q53=Parametres!$G$2,$Q53=Parametres!$G$3),K53,E53)</f>
        <v>1</v>
      </c>
      <c r="Q53" s="154" t="str">
        <f t="shared" si="5"/>
        <v>1-Mémo</v>
      </c>
      <c r="R53" s="153" t="str">
        <f t="shared" si="5"/>
        <v>50</v>
      </c>
      <c r="S53" s="154">
        <f t="shared" si="5"/>
        <v>0</v>
      </c>
      <c r="T53" s="156">
        <f>+VLOOKUP($L53,Data_Validation!$A:$D,1,0)</f>
        <v>662</v>
      </c>
      <c r="U53" s="156">
        <f>+VLOOKUP($L53,Data_Validation!$A:$D,3,0)</f>
        <v>0</v>
      </c>
      <c r="V53" s="156">
        <f>+VLOOKUP($L53,Data_Validation!$A:$D,4,0)</f>
        <v>0</v>
      </c>
      <c r="W53" s="156" t="str">
        <f>+VLOOKUP($L53,Data_Validation!$A:$E,5,0)</f>
        <v>$</v>
      </c>
      <c r="X53" s="156">
        <f>+VLOOKUP($L53,Data_Validation!$A:$F,6,0)</f>
        <v>0</v>
      </c>
    </row>
    <row r="54" spans="1:24" ht="15" hidden="1" customHeight="1">
      <c r="A54" s="1002" t="s">
        <v>2377</v>
      </c>
      <c r="B54" s="1145">
        <v>664</v>
      </c>
      <c r="C54" s="1003"/>
      <c r="D54" s="1003"/>
      <c r="E54" s="1003"/>
      <c r="F54" s="1002" t="s">
        <v>1</v>
      </c>
      <c r="G54" s="1002" t="s">
        <v>2212</v>
      </c>
      <c r="H54" s="1003"/>
      <c r="I54" s="1004">
        <v>0</v>
      </c>
      <c r="J54" s="1004">
        <v>1</v>
      </c>
      <c r="K54" s="1004">
        <v>1</v>
      </c>
      <c r="L54" s="153">
        <f t="shared" si="0"/>
        <v>664</v>
      </c>
      <c r="M54" s="154" t="str">
        <f t="shared" si="1"/>
        <v>PERSONELS CLER. SERVICE</v>
      </c>
      <c r="N54" s="155">
        <f>+IF(OR($Q54=Parametres!$G$2,$Q54=Parametres!$G$3),I54,C54)</f>
        <v>0</v>
      </c>
      <c r="O54" s="155">
        <f>+IF(OR($Q54=Parametres!$G$2,$Q54=Parametres!$G$3),J54,D54)</f>
        <v>1</v>
      </c>
      <c r="P54" s="155">
        <f>+IF(OR($Q54=Parametres!$G$2,$Q54=Parametres!$G$3),K54,E54)</f>
        <v>1</v>
      </c>
      <c r="Q54" s="154" t="str">
        <f t="shared" si="5"/>
        <v>1-Mémo</v>
      </c>
      <c r="R54" s="153" t="str">
        <f t="shared" si="5"/>
        <v>50</v>
      </c>
      <c r="S54" s="154">
        <f t="shared" si="5"/>
        <v>0</v>
      </c>
      <c r="T54" s="156">
        <f>+VLOOKUP($L54,Data_Validation!$A:$D,1,0)</f>
        <v>664</v>
      </c>
      <c r="U54" s="156">
        <f>+VLOOKUP($L54,Data_Validation!$A:$D,3,0)</f>
        <v>0</v>
      </c>
      <c r="V54" s="156">
        <f>+VLOOKUP($L54,Data_Validation!$A:$D,4,0)</f>
        <v>0</v>
      </c>
      <c r="W54" s="156" t="str">
        <f>+VLOOKUP($L54,Data_Validation!$A:$E,5,0)</f>
        <v>$</v>
      </c>
      <c r="X54" s="156">
        <f>+VLOOKUP($L54,Data_Validation!$A:$F,6,0)</f>
        <v>0</v>
      </c>
    </row>
    <row r="55" spans="1:24" ht="15" hidden="1" customHeight="1">
      <c r="A55" s="1002" t="s">
        <v>2379</v>
      </c>
      <c r="B55" s="1145">
        <v>667</v>
      </c>
      <c r="C55" s="1003"/>
      <c r="D55" s="1003"/>
      <c r="E55" s="1003"/>
      <c r="F55" s="1002" t="s">
        <v>1</v>
      </c>
      <c r="G55" s="1002" t="s">
        <v>2212</v>
      </c>
      <c r="H55" s="1003"/>
      <c r="I55" s="1004">
        <v>0</v>
      </c>
      <c r="J55" s="1004">
        <v>1</v>
      </c>
      <c r="K55" s="1004">
        <v>1</v>
      </c>
      <c r="L55" s="153">
        <f t="shared" si="0"/>
        <v>667</v>
      </c>
      <c r="M55" s="154" t="str">
        <f t="shared" si="1"/>
        <v>PERSONELS CLER. PIECES</v>
      </c>
      <c r="N55" s="155">
        <f>+IF(OR($Q55=Parametres!$G$2,$Q55=Parametres!$G$3),I55,C55)</f>
        <v>0</v>
      </c>
      <c r="O55" s="155">
        <f>+IF(OR($Q55=Parametres!$G$2,$Q55=Parametres!$G$3),J55,D55)</f>
        <v>1</v>
      </c>
      <c r="P55" s="155">
        <f>+IF(OR($Q55=Parametres!$G$2,$Q55=Parametres!$G$3),K55,E55)</f>
        <v>1</v>
      </c>
      <c r="Q55" s="154" t="str">
        <f t="shared" si="5"/>
        <v>1-Mémo</v>
      </c>
      <c r="R55" s="153" t="str">
        <f t="shared" si="5"/>
        <v>50</v>
      </c>
      <c r="S55" s="154">
        <f t="shared" si="5"/>
        <v>0</v>
      </c>
      <c r="T55" s="156">
        <f>+VLOOKUP($L55,Data_Validation!$A:$D,1,0)</f>
        <v>667</v>
      </c>
      <c r="U55" s="156">
        <f>+VLOOKUP($L55,Data_Validation!$A:$D,3,0)</f>
        <v>0</v>
      </c>
      <c r="V55" s="156">
        <f>+VLOOKUP($L55,Data_Validation!$A:$D,4,0)</f>
        <v>0</v>
      </c>
      <c r="W55" s="156" t="str">
        <f>+VLOOKUP($L55,Data_Validation!$A:$E,5,0)</f>
        <v>$</v>
      </c>
      <c r="X55" s="156">
        <f>+VLOOKUP($L55,Data_Validation!$A:$F,6,0)</f>
        <v>0</v>
      </c>
    </row>
    <row r="56" spans="1:24" ht="15.75" hidden="1" customHeight="1">
      <c r="A56" s="1002" t="s">
        <v>2381</v>
      </c>
      <c r="B56" s="1145">
        <v>677</v>
      </c>
      <c r="C56" s="1003"/>
      <c r="D56" s="1003"/>
      <c r="E56" s="1003"/>
      <c r="F56" s="1002" t="s">
        <v>1</v>
      </c>
      <c r="G56" s="1002" t="s">
        <v>2383</v>
      </c>
      <c r="H56" s="1003"/>
      <c r="I56" s="1004">
        <v>0</v>
      </c>
      <c r="J56" s="1004">
        <v>3</v>
      </c>
      <c r="K56" s="1004">
        <v>3</v>
      </c>
      <c r="L56" s="153">
        <f t="shared" si="0"/>
        <v>677</v>
      </c>
      <c r="M56" s="154" t="str">
        <f t="shared" si="1"/>
        <v>VW PIECES</v>
      </c>
      <c r="N56" s="155">
        <f>+IF(OR($Q56=Parametres!$G$2,$Q56=Parametres!$G$3),I56,C56)</f>
        <v>0</v>
      </c>
      <c r="O56" s="575">
        <f>+IF(OR($Q56=Parametres!$G$2,$Q56=Parametres!$G$3),J56,D56)</f>
        <v>3</v>
      </c>
      <c r="P56" s="155">
        <f>+IF(OR($Q56=Parametres!$G$2,$Q56=Parametres!$G$3),K56,E56)</f>
        <v>3</v>
      </c>
      <c r="Q56" s="154" t="str">
        <f t="shared" si="5"/>
        <v>1-Mémo</v>
      </c>
      <c r="R56" s="153" t="str">
        <f t="shared" si="5"/>
        <v>67</v>
      </c>
      <c r="S56" s="154">
        <f t="shared" si="5"/>
        <v>0</v>
      </c>
      <c r="T56" s="156">
        <f>+VLOOKUP($L56,Data_Validation!$A:$D,1,0)</f>
        <v>677</v>
      </c>
      <c r="U56" s="156">
        <f>+VLOOKUP($L56,Data_Validation!$A:$D,3,0)</f>
        <v>0</v>
      </c>
      <c r="V56" s="156">
        <f>+VLOOKUP($L56,Data_Validation!$A:$D,4,0)</f>
        <v>0</v>
      </c>
      <c r="W56" s="156" t="str">
        <f>+VLOOKUP($L56,Data_Validation!$A:$E,5,0)</f>
        <v>$</v>
      </c>
      <c r="X56" s="156">
        <f>+VLOOKUP($L56,Data_Validation!$A:$F,6,0)</f>
        <v>0</v>
      </c>
    </row>
    <row r="57" spans="1:24" ht="15" hidden="1" customHeight="1">
      <c r="A57" s="1002" t="s">
        <v>2849</v>
      </c>
      <c r="B57" s="1145">
        <v>1102</v>
      </c>
      <c r="C57" s="1023">
        <v>2687686.64</v>
      </c>
      <c r="D57" s="1023">
        <v>-97317.8</v>
      </c>
      <c r="E57" s="1023">
        <v>2590368.84</v>
      </c>
      <c r="F57" s="1002" t="s">
        <v>293</v>
      </c>
      <c r="G57" s="1002" t="s">
        <v>2388</v>
      </c>
      <c r="H57" s="1003"/>
      <c r="I57" s="1004"/>
      <c r="J57" s="1004"/>
      <c r="K57" s="1004"/>
      <c r="L57" s="153">
        <f t="shared" si="0"/>
        <v>1102</v>
      </c>
      <c r="M57" s="154" t="str">
        <f t="shared" si="1"/>
        <v>BANQUE DE COMMERCE C/C</v>
      </c>
      <c r="N57" s="155">
        <f>+IF(OR($Q57=Parametres!$G$2,$Q57=Parametres!$G$3),I57,C57)</f>
        <v>2687686.64</v>
      </c>
      <c r="O57" s="155">
        <f>+IF(OR($Q57=Parametres!$G$2,$Q57=Parametres!$G$3),J57,D57)</f>
        <v>-97317.8</v>
      </c>
      <c r="P57" s="155">
        <f>+IF(OR($Q57=Parametres!$G$2,$Q57=Parametres!$G$3),K57,E57)</f>
        <v>2590368.84</v>
      </c>
      <c r="Q57" s="154" t="str">
        <f t="shared" si="5"/>
        <v>2-Actifs</v>
      </c>
      <c r="R57" s="153" t="str">
        <f t="shared" si="5"/>
        <v>1102</v>
      </c>
      <c r="S57" s="154">
        <f t="shared" si="5"/>
        <v>0</v>
      </c>
      <c r="T57" s="156">
        <f>+VLOOKUP($L57,Data_Validation!$A:$D,1,0)</f>
        <v>1102</v>
      </c>
      <c r="U57" s="156" t="str">
        <f>+VLOOKUP($L57,Data_Validation!$A:$D,3,0)</f>
        <v>Bilan</v>
      </c>
      <c r="V57" s="156" t="str">
        <f>+VLOOKUP($L57,Data_Validation!$A:$D,4,0)</f>
        <v>Encaisse</v>
      </c>
      <c r="W57" s="156" t="str">
        <f>+VLOOKUP($L57,Data_Validation!$A:$E,5,0)</f>
        <v>$</v>
      </c>
      <c r="X57" s="156">
        <f>+VLOOKUP($L57,Data_Validation!$A:$F,6,0)</f>
        <v>0</v>
      </c>
    </row>
    <row r="58" spans="1:24" ht="15" hidden="1" customHeight="1">
      <c r="A58" s="1002" t="s">
        <v>2386</v>
      </c>
      <c r="B58" s="1145">
        <v>1182</v>
      </c>
      <c r="C58" s="1003">
        <v>150.19999999999999</v>
      </c>
      <c r="D58" s="1003">
        <v>0</v>
      </c>
      <c r="E58" s="1003">
        <v>150.19999999999999</v>
      </c>
      <c r="F58" s="1002" t="s">
        <v>293</v>
      </c>
      <c r="G58" s="1002" t="s">
        <v>2388</v>
      </c>
      <c r="H58" s="1003"/>
      <c r="I58" s="1004"/>
      <c r="J58" s="1004"/>
      <c r="K58" s="1004"/>
      <c r="L58" s="153">
        <f t="shared" si="0"/>
        <v>1182</v>
      </c>
      <c r="M58" s="154" t="str">
        <f t="shared" si="1"/>
        <v>PETITE CAISSE</v>
      </c>
      <c r="N58" s="155">
        <f>+IF(OR($Q58=Parametres!$G$2,$Q58=Parametres!$G$3),I58,C58)</f>
        <v>150.19999999999999</v>
      </c>
      <c r="O58" s="155">
        <f>+IF(OR($Q58=Parametres!$G$2,$Q58=Parametres!$G$3),J58,D58)</f>
        <v>0</v>
      </c>
      <c r="P58" s="155">
        <f>+IF(OR($Q58=Parametres!$G$2,$Q58=Parametres!$G$3),K58,E58)</f>
        <v>150.19999999999999</v>
      </c>
      <c r="Q58" s="154" t="str">
        <f t="shared" si="5"/>
        <v>2-Actifs</v>
      </c>
      <c r="R58" s="153" t="str">
        <f t="shared" si="5"/>
        <v>1102</v>
      </c>
      <c r="S58" s="154">
        <f t="shared" si="5"/>
        <v>0</v>
      </c>
      <c r="T58" s="156">
        <f>+VLOOKUP($L58,Data_Validation!$A:$D,1,0)</f>
        <v>1182</v>
      </c>
      <c r="U58" s="156" t="str">
        <f>+VLOOKUP($L58,Data_Validation!$A:$D,3,0)</f>
        <v>Bilan</v>
      </c>
      <c r="V58" s="156" t="str">
        <f>+VLOOKUP($L58,Data_Validation!$A:$D,4,0)</f>
        <v>Encaisse</v>
      </c>
      <c r="W58" s="156" t="str">
        <f>+VLOOKUP($L58,Data_Validation!$A:$E,5,0)</f>
        <v>$</v>
      </c>
      <c r="X58" s="156">
        <f>+VLOOKUP($L58,Data_Validation!$A:$F,6,0)</f>
        <v>0</v>
      </c>
    </row>
    <row r="59" spans="1:24" ht="15" hidden="1" customHeight="1">
      <c r="A59" s="1002" t="s">
        <v>2180</v>
      </c>
      <c r="B59" s="1145">
        <v>1202</v>
      </c>
      <c r="C59" s="1023">
        <v>185749.87</v>
      </c>
      <c r="D59" s="1023">
        <v>309589.06</v>
      </c>
      <c r="E59" s="1023">
        <v>495338.93</v>
      </c>
      <c r="F59" s="1002" t="s">
        <v>293</v>
      </c>
      <c r="G59" s="1002" t="s">
        <v>2181</v>
      </c>
      <c r="H59" s="1003"/>
      <c r="I59" s="1004"/>
      <c r="J59" s="1004"/>
      <c r="K59" s="1004"/>
      <c r="L59" s="153">
        <f t="shared" si="0"/>
        <v>1202</v>
      </c>
      <c r="M59" s="154" t="str">
        <f t="shared" si="1"/>
        <v>CONTRATS EN TRANSIT</v>
      </c>
      <c r="N59" s="155">
        <f>+IF(OR($Q59=Parametres!$G$2,$Q59=Parametres!$G$3),I59,C59)</f>
        <v>185749.87</v>
      </c>
      <c r="O59" s="155">
        <f>+IF(OR($Q59=Parametres!$G$2,$Q59=Parametres!$G$3),J59,D59)</f>
        <v>309589.06</v>
      </c>
      <c r="P59" s="155">
        <f>+IF(OR($Q59=Parametres!$G$2,$Q59=Parametres!$G$3),K59,E59)</f>
        <v>495338.93</v>
      </c>
      <c r="Q59" s="154" t="str">
        <f t="shared" si="5"/>
        <v>2-Actifs</v>
      </c>
      <c r="R59" s="153" t="str">
        <f t="shared" si="5"/>
        <v>1202</v>
      </c>
      <c r="S59" s="154">
        <f t="shared" si="5"/>
        <v>0</v>
      </c>
      <c r="T59" s="156">
        <f>+VLOOKUP($L59,Data_Validation!$A:$D,1,0)</f>
        <v>1202</v>
      </c>
      <c r="U59" s="156" t="str">
        <f>+VLOOKUP($L59,Data_Validation!$A:$D,3,0)</f>
        <v>Bilan</v>
      </c>
      <c r="V59" s="156" t="str">
        <f>+VLOOKUP($L59,Data_Validation!$A:$D,4,0)</f>
        <v>Recevables Contrats en Transit</v>
      </c>
      <c r="W59" s="156" t="str">
        <f>+VLOOKUP($L59,Data_Validation!$A:$E,5,0)</f>
        <v>$</v>
      </c>
      <c r="X59" s="156">
        <f>+VLOOKUP($L59,Data_Validation!$A:$F,6,0)</f>
        <v>0</v>
      </c>
    </row>
    <row r="60" spans="1:24" ht="15" hidden="1" customHeight="1">
      <c r="A60" s="1002" t="s">
        <v>2024</v>
      </c>
      <c r="B60" s="1145">
        <v>1302</v>
      </c>
      <c r="C60" s="1023">
        <v>-40954.26</v>
      </c>
      <c r="D60" s="1023">
        <v>97602.33</v>
      </c>
      <c r="E60" s="1023">
        <v>56648.07</v>
      </c>
      <c r="F60" s="1002" t="s">
        <v>293</v>
      </c>
      <c r="G60" s="1002" t="s">
        <v>2014</v>
      </c>
      <c r="H60" s="1003"/>
      <c r="I60" s="1004"/>
      <c r="J60" s="1004"/>
      <c r="K60" s="1004"/>
      <c r="L60" s="153">
        <f t="shared" si="0"/>
        <v>1302</v>
      </c>
      <c r="M60" s="154" t="str">
        <f t="shared" si="1"/>
        <v>RECEVABLE-CLIENT-VEHICULE</v>
      </c>
      <c r="N60" s="155">
        <f>+IF(OR($Q60=Parametres!$G$2,$Q60=Parametres!$G$3),I60,C60)</f>
        <v>-40954.26</v>
      </c>
      <c r="O60" s="575">
        <f>+IF(OR($Q60=Parametres!$G$2,$Q60=Parametres!$G$3),J60,D60)</f>
        <v>97602.33</v>
      </c>
      <c r="P60" s="155">
        <f>+IF(OR($Q60=Parametres!$G$2,$Q60=Parametres!$G$3),K60,E60)</f>
        <v>56648.07</v>
      </c>
      <c r="Q60" s="154" t="str">
        <f t="shared" si="5"/>
        <v>2-Actifs</v>
      </c>
      <c r="R60" s="153" t="str">
        <f t="shared" si="5"/>
        <v>1302</v>
      </c>
      <c r="S60" s="154">
        <f t="shared" si="5"/>
        <v>0</v>
      </c>
      <c r="T60" s="156">
        <f>+VLOOKUP($L60,Data_Validation!$A:$D,1,0)</f>
        <v>1302</v>
      </c>
      <c r="U60" s="156" t="str">
        <f>+VLOOKUP($L60,Data_Validation!$A:$D,3,0)</f>
        <v>Bilan</v>
      </c>
      <c r="V60" s="156" t="str">
        <f>+VLOOKUP($L60,Data_Validation!$A:$D,4,0)</f>
        <v>Recevables Véhicules</v>
      </c>
      <c r="W60" s="156" t="str">
        <f>+VLOOKUP($L60,Data_Validation!$A:$E,5,0)</f>
        <v>$</v>
      </c>
      <c r="X60" s="156">
        <f>+VLOOKUP($L60,Data_Validation!$A:$F,6,0)</f>
        <v>0</v>
      </c>
    </row>
    <row r="61" spans="1:24" ht="15" hidden="1" customHeight="1">
      <c r="A61" s="1002" t="s">
        <v>2012</v>
      </c>
      <c r="B61" s="1145">
        <v>1303</v>
      </c>
      <c r="C61" s="1004">
        <v>129272.5</v>
      </c>
      <c r="D61" s="1004">
        <v>14787.62</v>
      </c>
      <c r="E61" s="1004">
        <v>144060.12</v>
      </c>
      <c r="F61" s="1002" t="s">
        <v>293</v>
      </c>
      <c r="G61" s="1002" t="s">
        <v>2014</v>
      </c>
      <c r="H61" s="1003"/>
      <c r="I61" s="1003"/>
      <c r="J61" s="1003"/>
      <c r="K61" s="1003"/>
      <c r="L61" s="153">
        <f t="shared" si="0"/>
        <v>1303</v>
      </c>
      <c r="M61" s="154" t="str">
        <f t="shared" si="1"/>
        <v>RECEVABLES LPA ET AU GROS</v>
      </c>
      <c r="N61" s="155">
        <f>+IF(OR($Q61=Parametres!$G$2,$Q61=Parametres!$G$3),I61,C61)</f>
        <v>129272.5</v>
      </c>
      <c r="O61" s="575">
        <f>+IF(OR($Q61=Parametres!$G$2,$Q61=Parametres!$G$3),J61,D61)</f>
        <v>14787.62</v>
      </c>
      <c r="P61" s="155">
        <f>+IF(OR($Q61=Parametres!$G$2,$Q61=Parametres!$G$3),K61,E61)</f>
        <v>144060.12</v>
      </c>
      <c r="Q61" s="154" t="str">
        <f t="shared" si="5"/>
        <v>2-Actifs</v>
      </c>
      <c r="R61" s="153" t="str">
        <f t="shared" si="5"/>
        <v>1302</v>
      </c>
      <c r="S61" s="154">
        <f t="shared" si="5"/>
        <v>0</v>
      </c>
      <c r="T61" s="156">
        <f>+VLOOKUP($L61,Data_Validation!$A:$D,1,0)</f>
        <v>1303</v>
      </c>
      <c r="U61" s="156" t="str">
        <f>+VLOOKUP($L61,Data_Validation!$A:$D,3,0)</f>
        <v>Bilan</v>
      </c>
      <c r="V61" s="156" t="str">
        <f>+VLOOKUP($L61,Data_Validation!$A:$D,4,0)</f>
        <v>Recevables Véhicules</v>
      </c>
      <c r="W61" s="156" t="str">
        <f>+VLOOKUP($L61,Data_Validation!$A:$E,5,0)</f>
        <v>$</v>
      </c>
      <c r="X61" s="156">
        <f>+VLOOKUP($L61,Data_Validation!$A:$F,6,0)</f>
        <v>0</v>
      </c>
    </row>
    <row r="62" spans="1:24" ht="15" hidden="1" customHeight="1">
      <c r="A62" s="1002" t="s">
        <v>2099</v>
      </c>
      <c r="B62" s="1145">
        <v>1304</v>
      </c>
      <c r="C62" s="1004">
        <v>77161.539999999994</v>
      </c>
      <c r="D62" s="1004">
        <v>4193.67</v>
      </c>
      <c r="E62" s="1004">
        <v>81355.210000000006</v>
      </c>
      <c r="F62" s="1002" t="s">
        <v>293</v>
      </c>
      <c r="G62" s="1002" t="s">
        <v>2100</v>
      </c>
      <c r="H62" s="1003"/>
      <c r="I62" s="1003"/>
      <c r="J62" s="1003"/>
      <c r="K62" s="1003"/>
      <c r="L62" s="153">
        <f t="shared" si="0"/>
        <v>1304</v>
      </c>
      <c r="M62" s="154" t="str">
        <f t="shared" si="1"/>
        <v>RECEVABLES PIECES &amp; SERVICE</v>
      </c>
      <c r="N62" s="155">
        <f>+IF(OR($Q62=Parametres!$G$2,$Q62=Parametres!$G$3),I62,C62)</f>
        <v>77161.539999999994</v>
      </c>
      <c r="O62" s="155">
        <f>+IF(OR($Q62=Parametres!$G$2,$Q62=Parametres!$G$3),J62,D62)</f>
        <v>4193.67</v>
      </c>
      <c r="P62" s="155">
        <f>+IF(OR($Q62=Parametres!$G$2,$Q62=Parametres!$G$3),K62,E62)</f>
        <v>81355.210000000006</v>
      </c>
      <c r="Q62" s="154" t="str">
        <f t="shared" si="5"/>
        <v>2-Actifs</v>
      </c>
      <c r="R62" s="153" t="str">
        <f t="shared" si="5"/>
        <v>1304</v>
      </c>
      <c r="S62" s="154">
        <f t="shared" si="5"/>
        <v>0</v>
      </c>
      <c r="T62" s="156">
        <f>+VLOOKUP($L62,Data_Validation!$A:$D,1,0)</f>
        <v>1304</v>
      </c>
      <c r="U62" s="156" t="str">
        <f>+VLOOKUP($L62,Data_Validation!$A:$D,3,0)</f>
        <v>Bilan</v>
      </c>
      <c r="V62" s="156" t="str">
        <f>+VLOOKUP($L62,Data_Validation!$A:$D,4,0)</f>
        <v>Recevables Pièces et Service</v>
      </c>
      <c r="W62" s="156" t="str">
        <f>+VLOOKUP($L62,Data_Validation!$A:$E,5,0)</f>
        <v>$</v>
      </c>
      <c r="X62" s="156">
        <f>+VLOOKUP($L62,Data_Validation!$A:$F,6,0)</f>
        <v>0</v>
      </c>
    </row>
    <row r="63" spans="1:24" ht="15" hidden="1" customHeight="1">
      <c r="A63" s="1002" t="s">
        <v>2732</v>
      </c>
      <c r="B63" s="1145">
        <v>1305</v>
      </c>
      <c r="C63" s="1004">
        <v>22041.85</v>
      </c>
      <c r="D63" s="1004">
        <v>6974.37</v>
      </c>
      <c r="E63" s="1004">
        <v>29016.22</v>
      </c>
      <c r="F63" s="1002" t="s">
        <v>293</v>
      </c>
      <c r="G63" s="1002" t="s">
        <v>2100</v>
      </c>
      <c r="H63" s="1003"/>
      <c r="I63" s="1003"/>
      <c r="J63" s="1003"/>
      <c r="K63" s="1003"/>
      <c r="L63" s="153">
        <f t="shared" si="0"/>
        <v>1305</v>
      </c>
      <c r="M63" s="154" t="str">
        <f t="shared" si="1"/>
        <v>RECEVABLES CARROSSERIE</v>
      </c>
      <c r="N63" s="155">
        <f>+IF(OR($Q63=Parametres!$G$2,$Q63=Parametres!$G$3),I63,C63)</f>
        <v>22041.85</v>
      </c>
      <c r="O63" s="155">
        <f>+IF(OR($Q63=Parametres!$G$2,$Q63=Parametres!$G$3),J63,D63)</f>
        <v>6974.37</v>
      </c>
      <c r="P63" s="155">
        <f>+IF(OR($Q63=Parametres!$G$2,$Q63=Parametres!$G$3),K63,E63)</f>
        <v>29016.22</v>
      </c>
      <c r="Q63" s="154" t="str">
        <f t="shared" si="5"/>
        <v>2-Actifs</v>
      </c>
      <c r="R63" s="153" t="str">
        <f t="shared" si="5"/>
        <v>1304</v>
      </c>
      <c r="S63" s="154">
        <f t="shared" si="5"/>
        <v>0</v>
      </c>
      <c r="T63" s="156">
        <f>+VLOOKUP($L63,Data_Validation!$A:$D,1,0)</f>
        <v>1305</v>
      </c>
      <c r="U63" s="156" t="str">
        <f>+VLOOKUP($L63,Data_Validation!$A:$D,3,0)</f>
        <v>Bilan</v>
      </c>
      <c r="V63" s="156" t="str">
        <f>+VLOOKUP($L63,Data_Validation!$A:$D,4,0)</f>
        <v>Recevables Carrosserie</v>
      </c>
      <c r="W63" s="156" t="str">
        <f>+VLOOKUP($L63,Data_Validation!$A:$E,5,0)</f>
        <v>$</v>
      </c>
      <c r="X63" s="156">
        <f>+VLOOKUP($L63,Data_Validation!$A:$F,6,0)</f>
        <v>0</v>
      </c>
    </row>
    <row r="64" spans="1:24" ht="15" hidden="1" customHeight="1">
      <c r="A64" s="1002" t="s">
        <v>2829</v>
      </c>
      <c r="B64" s="1145">
        <v>1312</v>
      </c>
      <c r="C64" s="1004">
        <v>-15530</v>
      </c>
      <c r="D64" s="1004">
        <v>37171</v>
      </c>
      <c r="E64" s="1004">
        <v>21641</v>
      </c>
      <c r="F64" s="1002" t="s">
        <v>293</v>
      </c>
      <c r="G64" s="1002" t="s">
        <v>2019</v>
      </c>
      <c r="H64" s="1003"/>
      <c r="I64" s="1003"/>
      <c r="J64" s="1003"/>
      <c r="K64" s="1003"/>
      <c r="L64" s="153">
        <f t="shared" si="0"/>
        <v>1312</v>
      </c>
      <c r="M64" s="154" t="str">
        <f t="shared" si="1"/>
        <v>RESEVE VOLKS</v>
      </c>
      <c r="N64" s="155">
        <f>+IF(OR($Q64=Parametres!$G$2,$Q64=Parametres!$G$3),I64,C64)</f>
        <v>-15530</v>
      </c>
      <c r="O64" s="155">
        <f>+IF(OR($Q64=Parametres!$G$2,$Q64=Parametres!$G$3),J64,D64)</f>
        <v>37171</v>
      </c>
      <c r="P64" s="155">
        <f>+IF(OR($Q64=Parametres!$G$2,$Q64=Parametres!$G$3),K64,E64)</f>
        <v>21641</v>
      </c>
      <c r="Q64" s="154" t="str">
        <f t="shared" si="5"/>
        <v>2-Actifs</v>
      </c>
      <c r="R64" s="153" t="str">
        <f t="shared" si="5"/>
        <v>1314</v>
      </c>
      <c r="S64" s="154">
        <f t="shared" si="5"/>
        <v>0</v>
      </c>
      <c r="T64" s="156">
        <f>+VLOOKUP($L64,Data_Validation!$A:$D,1,0)</f>
        <v>1312</v>
      </c>
      <c r="U64" s="156" t="str">
        <f>+VLOOKUP($L64,Data_Validation!$A:$D,3,0)</f>
        <v>Bilan</v>
      </c>
      <c r="V64" s="156" t="str">
        <f>+VLOOKUP($L64,Data_Validation!$A:$D,4,0)</f>
        <v>Recevables Manufacturier</v>
      </c>
      <c r="W64" s="156" t="str">
        <f>+VLOOKUP($L64,Data_Validation!$A:$E,5,0)</f>
        <v>$</v>
      </c>
      <c r="X64" s="156">
        <f>+VLOOKUP($L64,Data_Validation!$A:$F,6,0)</f>
        <v>0</v>
      </c>
    </row>
    <row r="65" spans="1:24" ht="15" hidden="1" customHeight="1">
      <c r="A65" s="1002" t="s">
        <v>2057</v>
      </c>
      <c r="B65" s="1145">
        <v>1332</v>
      </c>
      <c r="C65" s="1004">
        <v>59126.78</v>
      </c>
      <c r="D65" s="1004">
        <v>28281.53</v>
      </c>
      <c r="E65" s="1004">
        <v>87408.31</v>
      </c>
      <c r="F65" s="1002" t="s">
        <v>293</v>
      </c>
      <c r="G65" s="1002" t="s">
        <v>2058</v>
      </c>
      <c r="H65" s="1003"/>
      <c r="I65" s="1003"/>
      <c r="J65" s="1003"/>
      <c r="K65" s="1003"/>
      <c r="L65" s="153">
        <f t="shared" si="0"/>
        <v>1332</v>
      </c>
      <c r="M65" s="154" t="str">
        <f t="shared" si="1"/>
        <v>RECLAM. RECEVABLE-GARANTIE</v>
      </c>
      <c r="N65" s="155">
        <f>+IF(OR($Q65=Parametres!$G$2,$Q65=Parametres!$G$3),I65,C65)</f>
        <v>59126.78</v>
      </c>
      <c r="O65" s="577">
        <f>+IF(OR($Q65=Parametres!$G$2,$Q65=Parametres!$G$3),J65,D65)</f>
        <v>28281.53</v>
      </c>
      <c r="P65" s="155">
        <f>+IF(OR($Q65=Parametres!$G$2,$Q65=Parametres!$G$3),K65,E65)</f>
        <v>87408.31</v>
      </c>
      <c r="Q65" s="154" t="str">
        <f t="shared" si="5"/>
        <v>2-Actifs</v>
      </c>
      <c r="R65" s="153" t="str">
        <f t="shared" si="5"/>
        <v>1332</v>
      </c>
      <c r="S65" s="154">
        <f t="shared" si="5"/>
        <v>0</v>
      </c>
      <c r="T65" s="156">
        <f>+VLOOKUP($L65,Data_Validation!$A:$D,1,0)</f>
        <v>1332</v>
      </c>
      <c r="U65" s="156" t="str">
        <f>+VLOOKUP($L65,Data_Validation!$A:$D,3,0)</f>
        <v>Bilan</v>
      </c>
      <c r="V65" s="156" t="str">
        <f>+VLOOKUP($L65,Data_Validation!$A:$D,4,0)</f>
        <v>Recevables Garantie Manufacturier</v>
      </c>
      <c r="W65" s="156" t="str">
        <f>+VLOOKUP($L65,Data_Validation!$A:$E,5,0)</f>
        <v>$</v>
      </c>
      <c r="X65" s="156">
        <f>+VLOOKUP($L65,Data_Validation!$A:$F,6,0)</f>
        <v>0</v>
      </c>
    </row>
    <row r="66" spans="1:24" ht="15" hidden="1" customHeight="1">
      <c r="A66" s="1002" t="s">
        <v>2778</v>
      </c>
      <c r="B66" s="1145">
        <v>1340</v>
      </c>
      <c r="C66" s="1004">
        <v>16307.01</v>
      </c>
      <c r="D66" s="1004">
        <v>-14450.62</v>
      </c>
      <c r="E66" s="1004">
        <v>1856.39</v>
      </c>
      <c r="F66" s="1002" t="s">
        <v>293</v>
      </c>
      <c r="G66" s="1002" t="s">
        <v>2618</v>
      </c>
      <c r="H66" s="1003"/>
      <c r="I66" s="1003"/>
      <c r="J66" s="1003"/>
      <c r="K66" s="1003"/>
      <c r="L66" s="153">
        <f t="shared" si="0"/>
        <v>1340</v>
      </c>
      <c r="M66" s="154" t="str">
        <f t="shared" si="1"/>
        <v>GARANTIE PPM</v>
      </c>
      <c r="N66" s="155">
        <f>+IF(OR($Q66=Parametres!$G$2,$Q66=Parametres!$G$3),I66,C66)</f>
        <v>16307.01</v>
      </c>
      <c r="O66" s="155">
        <f>+IF(OR($Q66=Parametres!$G$2,$Q66=Parametres!$G$3),J66,D66)</f>
        <v>-14450.62</v>
      </c>
      <c r="P66" s="155">
        <f>+IF(OR($Q66=Parametres!$G$2,$Q66=Parametres!$G$3),K66,E66)</f>
        <v>1856.39</v>
      </c>
      <c r="Q66" s="154" t="str">
        <f t="shared" ref="Q66:S81" si="6">+F66</f>
        <v>2-Actifs</v>
      </c>
      <c r="R66" s="153" t="str">
        <f t="shared" si="6"/>
        <v>1382</v>
      </c>
      <c r="S66" s="154">
        <f t="shared" si="6"/>
        <v>0</v>
      </c>
      <c r="T66" s="156">
        <f>+VLOOKUP($L66,Data_Validation!$A:$D,1,0)</f>
        <v>1340</v>
      </c>
      <c r="U66" s="156" t="str">
        <f>+VLOOKUP($L66,Data_Validation!$A:$D,3,0)</f>
        <v>Bilan</v>
      </c>
      <c r="V66" s="156" t="str">
        <f>+VLOOKUP($L66,Data_Validation!$A:$D,4,0)</f>
        <v>recevables Autres</v>
      </c>
      <c r="W66" s="156" t="str">
        <f>+VLOOKUP($L66,Data_Validation!$A:$E,5,0)</f>
        <v>$</v>
      </c>
      <c r="X66" s="156">
        <f>+VLOOKUP($L66,Data_Validation!$A:$F,6,0)</f>
        <v>0</v>
      </c>
    </row>
    <row r="67" spans="1:24" ht="15" hidden="1" customHeight="1">
      <c r="A67" s="1002" t="s">
        <v>2017</v>
      </c>
      <c r="B67" s="1145">
        <v>1352</v>
      </c>
      <c r="C67" s="1004">
        <v>161978.07</v>
      </c>
      <c r="D67" s="1004">
        <v>-122223.42</v>
      </c>
      <c r="E67" s="1004">
        <v>39754.65</v>
      </c>
      <c r="F67" s="1002" t="s">
        <v>293</v>
      </c>
      <c r="G67" s="1002" t="s">
        <v>2019</v>
      </c>
      <c r="H67" s="1003"/>
      <c r="I67" s="1003"/>
      <c r="J67" s="1003"/>
      <c r="K67" s="1003"/>
      <c r="L67" s="153">
        <f t="shared" si="0"/>
        <v>1352</v>
      </c>
      <c r="M67" s="154" t="str">
        <f t="shared" si="1"/>
        <v>RECEV. MANUFACTURIER VOLKS</v>
      </c>
      <c r="N67" s="155">
        <f>+IF(OR($Q67=Parametres!$G$2,$Q67=Parametres!$G$3),I67,C67)</f>
        <v>161978.07</v>
      </c>
      <c r="O67" s="575">
        <f>+IF(OR($Q67=Parametres!$G$2,$Q67=Parametres!$G$3),J67,D67)</f>
        <v>-122223.42</v>
      </c>
      <c r="P67" s="155">
        <f>+IF(OR($Q67=Parametres!$G$2,$Q67=Parametres!$G$3),K67,E67)</f>
        <v>39754.65</v>
      </c>
      <c r="Q67" s="154" t="str">
        <f t="shared" si="6"/>
        <v>2-Actifs</v>
      </c>
      <c r="R67" s="153" t="str">
        <f t="shared" si="6"/>
        <v>1314</v>
      </c>
      <c r="S67" s="154">
        <f t="shared" si="6"/>
        <v>0</v>
      </c>
      <c r="T67" s="156">
        <f>+VLOOKUP($L67,Data_Validation!$A:$D,1,0)</f>
        <v>1352</v>
      </c>
      <c r="U67" s="156" t="str">
        <f>+VLOOKUP($L67,Data_Validation!$A:$D,3,0)</f>
        <v>Bilan</v>
      </c>
      <c r="V67" s="156" t="str">
        <f>+VLOOKUP($L67,Data_Validation!$A:$D,4,0)</f>
        <v>Recevables Manufacturier</v>
      </c>
      <c r="W67" s="156" t="str">
        <f>+VLOOKUP($L67,Data_Validation!$A:$E,5,0)</f>
        <v>$</v>
      </c>
      <c r="X67" s="156">
        <f>+VLOOKUP($L67,Data_Validation!$A:$F,6,0)</f>
        <v>0</v>
      </c>
    </row>
    <row r="68" spans="1:24" ht="15" hidden="1" customHeight="1">
      <c r="A68" s="1002" t="s">
        <v>2817</v>
      </c>
      <c r="B68" s="1145">
        <v>1372</v>
      </c>
      <c r="C68" s="1004">
        <v>53960.13</v>
      </c>
      <c r="D68" s="1004">
        <v>0</v>
      </c>
      <c r="E68" s="1004">
        <v>53960.13</v>
      </c>
      <c r="F68" s="1002" t="s">
        <v>293</v>
      </c>
      <c r="G68" s="1002" t="s">
        <v>2818</v>
      </c>
      <c r="H68" s="1003"/>
      <c r="I68" s="1003"/>
      <c r="J68" s="1003"/>
      <c r="K68" s="1003"/>
      <c r="L68" s="153">
        <f t="shared" si="0"/>
        <v>1372</v>
      </c>
      <c r="M68" s="154" t="str">
        <f t="shared" si="1"/>
        <v>TAXES DE VENTES A RECEVOIR</v>
      </c>
      <c r="N68" s="155">
        <f>+IF(OR($Q68=Parametres!$G$2,$Q68=Parametres!$G$3),I68,C68)</f>
        <v>53960.13</v>
      </c>
      <c r="O68" s="155">
        <f>+IF(OR($Q68=Parametres!$G$2,$Q68=Parametres!$G$3),J68,D68)</f>
        <v>0</v>
      </c>
      <c r="P68" s="155">
        <f>+IF(OR($Q68=Parametres!$G$2,$Q68=Parametres!$G$3),K68,E68)</f>
        <v>53960.13</v>
      </c>
      <c r="Q68" s="154" t="str">
        <f t="shared" si="6"/>
        <v>2-Actifs</v>
      </c>
      <c r="R68" s="153" t="str">
        <f t="shared" si="6"/>
        <v>1372</v>
      </c>
      <c r="S68" s="154">
        <f t="shared" si="6"/>
        <v>0</v>
      </c>
      <c r="T68" s="156">
        <f>+VLOOKUP($L68,Data_Validation!$A:$D,1,0)</f>
        <v>1372</v>
      </c>
      <c r="U68" s="156" t="str">
        <f>+VLOOKUP($L68,Data_Validation!$A:$D,3,0)</f>
        <v>Bilan</v>
      </c>
      <c r="V68" s="156" t="str">
        <f>+VLOOKUP($L68,Data_Validation!$A:$D,4,0)</f>
        <v>Taxes de Vente à Payer</v>
      </c>
      <c r="W68" s="156" t="str">
        <f>+VLOOKUP($L68,Data_Validation!$A:$E,5,0)</f>
        <v>$</v>
      </c>
      <c r="X68" s="156">
        <f>+VLOOKUP($L68,Data_Validation!$A:$F,6,0)</f>
        <v>0</v>
      </c>
    </row>
    <row r="69" spans="1:24" ht="15" hidden="1" customHeight="1">
      <c r="A69" s="1002" t="s">
        <v>2860</v>
      </c>
      <c r="B69" s="1145">
        <v>1399</v>
      </c>
      <c r="C69" s="1004">
        <v>-45000</v>
      </c>
      <c r="D69" s="1004">
        <v>0</v>
      </c>
      <c r="E69" s="1004">
        <v>-45000</v>
      </c>
      <c r="F69" s="1002" t="s">
        <v>293</v>
      </c>
      <c r="G69" s="1002" t="s">
        <v>2861</v>
      </c>
      <c r="H69" s="1003"/>
      <c r="I69" s="1003"/>
      <c r="J69" s="1003"/>
      <c r="K69" s="1003"/>
      <c r="L69" s="153">
        <f t="shared" si="0"/>
        <v>1399</v>
      </c>
      <c r="M69" s="154" t="str">
        <f t="shared" si="1"/>
        <v>RESERVE CREANCE DOUTEUSES</v>
      </c>
      <c r="N69" s="155">
        <f>+IF(OR($Q69=Parametres!$G$2,$Q69=Parametres!$G$3),I69,C69)</f>
        <v>-45000</v>
      </c>
      <c r="O69" s="155">
        <f>+IF(OR($Q69=Parametres!$G$2,$Q69=Parametres!$G$3),J69,D69)</f>
        <v>0</v>
      </c>
      <c r="P69" s="155">
        <f>+IF(OR($Q69=Parametres!$G$2,$Q69=Parametres!$G$3),K69,E69)</f>
        <v>-45000</v>
      </c>
      <c r="Q69" s="154" t="str">
        <f t="shared" si="6"/>
        <v>2-Actifs</v>
      </c>
      <c r="R69" s="153" t="str">
        <f t="shared" si="6"/>
        <v>1399</v>
      </c>
      <c r="S69" s="154">
        <f t="shared" si="6"/>
        <v>0</v>
      </c>
      <c r="T69" s="156">
        <f>+VLOOKUP($L69,Data_Validation!$A:$D,1,0)</f>
        <v>1399</v>
      </c>
      <c r="U69" s="156" t="str">
        <f>+VLOOKUP($L69,Data_Validation!$A:$D,3,0)</f>
        <v>Bilan</v>
      </c>
      <c r="V69" s="156" t="str">
        <f>+VLOOKUP($L69,Data_Validation!$A:$D,4,0)</f>
        <v>Recevables Pièces et Service</v>
      </c>
      <c r="W69" s="156" t="str">
        <f>+VLOOKUP($L69,Data_Validation!$A:$E,5,0)</f>
        <v>$</v>
      </c>
      <c r="X69" s="156">
        <f>+VLOOKUP($L69,Data_Validation!$A:$F,6,0)</f>
        <v>0</v>
      </c>
    </row>
    <row r="70" spans="1:24" ht="15" hidden="1" customHeight="1">
      <c r="A70" s="1002" t="s">
        <v>2106</v>
      </c>
      <c r="B70" s="1145">
        <v>1402</v>
      </c>
      <c r="C70" s="1004">
        <v>3678703.16</v>
      </c>
      <c r="D70" s="1004">
        <v>23865.06</v>
      </c>
      <c r="E70" s="1004">
        <v>3702568.22</v>
      </c>
      <c r="F70" s="1002" t="s">
        <v>293</v>
      </c>
      <c r="G70" s="1002" t="s">
        <v>2107</v>
      </c>
      <c r="H70" s="1003"/>
      <c r="I70" s="1003"/>
      <c r="J70" s="1003"/>
      <c r="K70" s="1003"/>
      <c r="L70" s="153">
        <f t="shared" si="0"/>
        <v>1402</v>
      </c>
      <c r="M70" s="154" t="str">
        <f t="shared" si="1"/>
        <v>VEHIC. NEUFS VOLKS</v>
      </c>
      <c r="N70" s="155">
        <f>+IF(OR($Q70=Parametres!$G$2,$Q70=Parametres!$G$3),I70,C70)</f>
        <v>3678703.16</v>
      </c>
      <c r="O70" s="155">
        <f>+IF(OR($Q70=Parametres!$G$2,$Q70=Parametres!$G$3),J70,D70)</f>
        <v>23865.06</v>
      </c>
      <c r="P70" s="155">
        <f>+IF(OR($Q70=Parametres!$G$2,$Q70=Parametres!$G$3),K70,E70)</f>
        <v>3702568.22</v>
      </c>
      <c r="Q70" s="154" t="str">
        <f t="shared" si="6"/>
        <v>2-Actifs</v>
      </c>
      <c r="R70" s="153" t="str">
        <f t="shared" si="6"/>
        <v>1402</v>
      </c>
      <c r="S70" s="154">
        <f t="shared" si="6"/>
        <v>0</v>
      </c>
      <c r="T70" s="156">
        <f>+VLOOKUP($L70,Data_Validation!$A:$D,1,0)</f>
        <v>1402</v>
      </c>
      <c r="U70" s="156" t="str">
        <f>+VLOOKUP($L70,Data_Validation!$A:$D,3,0)</f>
        <v>Bilan</v>
      </c>
      <c r="V70" s="156" t="str">
        <f>+VLOOKUP($L70,Data_Validation!$A:$D,4,0)</f>
        <v>Inventaire Véhicules Neufs</v>
      </c>
      <c r="W70" s="156" t="str">
        <f>+VLOOKUP($L70,Data_Validation!$A:$E,5,0)</f>
        <v>$</v>
      </c>
      <c r="X70" s="156">
        <f>+VLOOKUP($L70,Data_Validation!$A:$F,6,0)</f>
        <v>0</v>
      </c>
    </row>
    <row r="71" spans="1:24" ht="15" hidden="1" customHeight="1">
      <c r="A71" s="1002" t="s">
        <v>2472</v>
      </c>
      <c r="B71" s="1145" t="s">
        <v>2473</v>
      </c>
      <c r="C71" s="1004"/>
      <c r="D71" s="1004"/>
      <c r="E71" s="1004"/>
      <c r="F71" s="1002" t="s">
        <v>4</v>
      </c>
      <c r="G71" s="1002" t="s">
        <v>2107</v>
      </c>
      <c r="H71" s="1003"/>
      <c r="I71" s="1003">
        <v>112</v>
      </c>
      <c r="J71" s="1003">
        <v>1</v>
      </c>
      <c r="K71" s="1003">
        <v>113</v>
      </c>
      <c r="L71" s="153" t="str">
        <f t="shared" si="0"/>
        <v>1402@</v>
      </c>
      <c r="M71" s="154" t="str">
        <f t="shared" si="1"/>
        <v># DE INVENTAIRE VEH.NEUFS VW</v>
      </c>
      <c r="N71" s="155">
        <f>+IF(OR($Q71=Parametres!$G$2,$Q71=Parametres!$G$3),I71,C71)</f>
        <v>112</v>
      </c>
      <c r="O71" s="575">
        <f>+IF(OR($Q71=Parametres!$G$2,$Q71=Parametres!$G$3),J71,D71)</f>
        <v>1</v>
      </c>
      <c r="P71" s="155">
        <f>+IF(OR($Q71=Parametres!$G$2,$Q71=Parametres!$G$3),K71,E71)</f>
        <v>113</v>
      </c>
      <c r="Q71" s="154" t="str">
        <f t="shared" si="6"/>
        <v>10-Compte compteur</v>
      </c>
      <c r="R71" s="153" t="str">
        <f t="shared" si="6"/>
        <v>1402</v>
      </c>
      <c r="S71" s="154">
        <f t="shared" si="6"/>
        <v>0</v>
      </c>
      <c r="T71" s="156" t="str">
        <f>+VLOOKUP($L71,Data_Validation!$A:$D,1,0)</f>
        <v>1402@</v>
      </c>
      <c r="U71" s="156" t="str">
        <f>+VLOOKUP($L71,Data_Validation!$A:$D,3,0)</f>
        <v>Bilan</v>
      </c>
      <c r="V71" s="156">
        <f>+VLOOKUP($L71,Data_Validation!$A:$D,4,0)</f>
        <v>0</v>
      </c>
      <c r="W71" s="156" t="str">
        <f>+VLOOKUP($L71,Data_Validation!$A:$E,5,0)</f>
        <v>NB</v>
      </c>
      <c r="X71" s="156">
        <f>+VLOOKUP($L71,Data_Validation!$A:$F,6,0)</f>
        <v>0</v>
      </c>
    </row>
    <row r="72" spans="1:24" ht="15" hidden="1" customHeight="1">
      <c r="A72" s="1002" t="s">
        <v>2115</v>
      </c>
      <c r="B72" s="1145">
        <v>1403</v>
      </c>
      <c r="C72" s="1004">
        <v>-132337.5</v>
      </c>
      <c r="D72" s="1004">
        <v>-16993.72</v>
      </c>
      <c r="E72" s="1004">
        <v>-149331.22</v>
      </c>
      <c r="F72" s="1002" t="s">
        <v>293</v>
      </c>
      <c r="G72" s="1002" t="s">
        <v>2107</v>
      </c>
      <c r="H72" s="1003"/>
      <c r="I72" s="1003"/>
      <c r="J72" s="1003"/>
      <c r="K72" s="1003"/>
      <c r="L72" s="153">
        <f t="shared" si="0"/>
        <v>1403</v>
      </c>
      <c r="M72" s="154" t="str">
        <f t="shared" si="1"/>
        <v>BRUISING VOLKS VEH. NEUFS</v>
      </c>
      <c r="N72" s="155">
        <f>+IF(OR($Q72=Parametres!$G$2,$Q72=Parametres!$G$3),I72,C72)</f>
        <v>-132337.5</v>
      </c>
      <c r="O72" s="155">
        <f>+IF(OR($Q72=Parametres!$G$2,$Q72=Parametres!$G$3),J72,D72)</f>
        <v>-16993.72</v>
      </c>
      <c r="P72" s="155">
        <f>+IF(OR($Q72=Parametres!$G$2,$Q72=Parametres!$G$3),K72,E72)</f>
        <v>-149331.22</v>
      </c>
      <c r="Q72" s="154" t="str">
        <f t="shared" si="6"/>
        <v>2-Actifs</v>
      </c>
      <c r="R72" s="153" t="str">
        <f t="shared" si="6"/>
        <v>1402</v>
      </c>
      <c r="S72" s="154">
        <f t="shared" si="6"/>
        <v>0</v>
      </c>
      <c r="T72" s="156">
        <f>+VLOOKUP($L72,Data_Validation!$A:$D,1,0)</f>
        <v>1403</v>
      </c>
      <c r="U72" s="156" t="str">
        <f>+VLOOKUP($L72,Data_Validation!$A:$D,3,0)</f>
        <v>Bilan</v>
      </c>
      <c r="V72" s="156" t="str">
        <f>+VLOOKUP($L72,Data_Validation!$A:$D,4,0)</f>
        <v>Inventaire Véhicules Neufs</v>
      </c>
      <c r="W72" s="156" t="str">
        <f>+VLOOKUP($L72,Data_Validation!$A:$E,5,0)</f>
        <v>$</v>
      </c>
      <c r="X72" s="156">
        <f>+VLOOKUP($L72,Data_Validation!$A:$F,6,0)</f>
        <v>0</v>
      </c>
    </row>
    <row r="73" spans="1:24" ht="15" hidden="1" customHeight="1">
      <c r="A73" s="1002" t="s">
        <v>2756</v>
      </c>
      <c r="B73" s="1145">
        <v>1413</v>
      </c>
      <c r="C73" s="1004">
        <v>-15000</v>
      </c>
      <c r="D73" s="1004">
        <v>-3600</v>
      </c>
      <c r="E73" s="1004">
        <v>-18600</v>
      </c>
      <c r="F73" s="1002" t="s">
        <v>293</v>
      </c>
      <c r="G73" s="1002" t="s">
        <v>2757</v>
      </c>
      <c r="H73" s="1003"/>
      <c r="I73" s="1003"/>
      <c r="J73" s="1003"/>
      <c r="K73" s="1003"/>
      <c r="L73" s="153">
        <f t="shared" si="0"/>
        <v>1413</v>
      </c>
      <c r="M73" s="154" t="str">
        <f t="shared" si="1"/>
        <v>BRUISING USED CAR</v>
      </c>
      <c r="N73" s="155">
        <f>+IF(OR($Q73=Parametres!$G$2,$Q73=Parametres!$G$3),I73,C73)</f>
        <v>-15000</v>
      </c>
      <c r="O73" s="155">
        <f>+IF(OR($Q73=Parametres!$G$2,$Q73=Parametres!$G$3),J73,D73)</f>
        <v>-3600</v>
      </c>
      <c r="P73" s="155">
        <f>+IF(OR($Q73=Parametres!$G$2,$Q73=Parametres!$G$3),K73,E73)</f>
        <v>-18600</v>
      </c>
      <c r="Q73" s="154" t="str">
        <f t="shared" si="6"/>
        <v>2-Actifs</v>
      </c>
      <c r="R73" s="153" t="str">
        <f t="shared" si="6"/>
        <v>1413</v>
      </c>
      <c r="S73" s="154">
        <f t="shared" si="6"/>
        <v>0</v>
      </c>
      <c r="T73" s="156">
        <f>+VLOOKUP($L73,Data_Validation!$A:$D,1,0)</f>
        <v>1413</v>
      </c>
      <c r="U73" s="156" t="str">
        <f>+VLOOKUP($L73,Data_Validation!$A:$D,3,0)</f>
        <v>Bilan</v>
      </c>
      <c r="V73" s="156" t="str">
        <f>+VLOOKUP($L73,Data_Validation!$A:$D,4,0)</f>
        <v>Inventaire Véhicules Usagés</v>
      </c>
      <c r="W73" s="156" t="str">
        <f>+VLOOKUP($L73,Data_Validation!$A:$E,5,0)</f>
        <v>$</v>
      </c>
      <c r="X73" s="156">
        <f>+VLOOKUP($L73,Data_Validation!$A:$F,6,0)</f>
        <v>0</v>
      </c>
    </row>
    <row r="74" spans="1:24" ht="15" hidden="1" customHeight="1">
      <c r="A74" s="1002" t="s">
        <v>2821</v>
      </c>
      <c r="B74" s="1145">
        <v>1416</v>
      </c>
      <c r="C74" s="1004">
        <v>1275119.93</v>
      </c>
      <c r="D74" s="1004">
        <v>25791.3</v>
      </c>
      <c r="E74" s="1004">
        <v>1300911.23</v>
      </c>
      <c r="F74" s="1002" t="s">
        <v>293</v>
      </c>
      <c r="G74" s="1002" t="s">
        <v>2476</v>
      </c>
      <c r="H74" s="1003"/>
      <c r="I74" s="1003"/>
      <c r="J74" s="1003"/>
      <c r="K74" s="1003"/>
      <c r="L74" s="153">
        <f t="shared" si="0"/>
        <v>1416</v>
      </c>
      <c r="M74" s="154" t="str">
        <f t="shared" si="1"/>
        <v>INV. VEH. USAGE VW</v>
      </c>
      <c r="N74" s="155">
        <f>+IF(OR($Q74=Parametres!$G$2,$Q74=Parametres!$G$3),I74,C74)</f>
        <v>1275119.93</v>
      </c>
      <c r="O74" s="155">
        <f>+IF(OR($Q74=Parametres!$G$2,$Q74=Parametres!$G$3),J74,D74)</f>
        <v>25791.3</v>
      </c>
      <c r="P74" s="155">
        <f>+IF(OR($Q74=Parametres!$G$2,$Q74=Parametres!$G$3),K74,E74)</f>
        <v>1300911.23</v>
      </c>
      <c r="Q74" s="154" t="str">
        <f t="shared" si="6"/>
        <v>2-Actifs</v>
      </c>
      <c r="R74" s="153" t="str">
        <f t="shared" si="6"/>
        <v>1416</v>
      </c>
      <c r="S74" s="154">
        <f t="shared" si="6"/>
        <v>0</v>
      </c>
      <c r="T74" s="156">
        <f>+VLOOKUP($L74,Data_Validation!$A:$D,1,0)</f>
        <v>1416</v>
      </c>
      <c r="U74" s="156" t="str">
        <f>+VLOOKUP($L74,Data_Validation!$A:$D,3,0)</f>
        <v>Bilan</v>
      </c>
      <c r="V74" s="156" t="str">
        <f>+VLOOKUP($L74,Data_Validation!$A:$D,4,0)</f>
        <v>Inventaire Véhicules Usagés</v>
      </c>
      <c r="W74" s="156" t="str">
        <f>+VLOOKUP($L74,Data_Validation!$A:$E,5,0)</f>
        <v>$</v>
      </c>
      <c r="X74" s="156">
        <f>+VLOOKUP($L74,Data_Validation!$A:$F,6,0)</f>
        <v>0</v>
      </c>
    </row>
    <row r="75" spans="1:24" ht="15" hidden="1" customHeight="1">
      <c r="A75" s="1002" t="s">
        <v>2474</v>
      </c>
      <c r="B75" s="1145" t="s">
        <v>2475</v>
      </c>
      <c r="C75" s="1023"/>
      <c r="D75" s="1023"/>
      <c r="E75" s="1023"/>
      <c r="F75" s="1002" t="s">
        <v>4</v>
      </c>
      <c r="G75" s="1002" t="s">
        <v>2476</v>
      </c>
      <c r="H75" s="1003"/>
      <c r="I75" s="1004">
        <v>76</v>
      </c>
      <c r="J75" s="1004">
        <v>0</v>
      </c>
      <c r="K75" s="1004">
        <v>76</v>
      </c>
      <c r="L75" s="153" t="str">
        <f t="shared" si="0"/>
        <v>1416@</v>
      </c>
      <c r="M75" s="154" t="str">
        <f t="shared" si="1"/>
        <v># DE INV. VEH. USAGE VW</v>
      </c>
      <c r="N75" s="155">
        <f>+IF(OR($Q75=Parametres!$G$2,$Q75=Parametres!$G$3),I75,C75)</f>
        <v>76</v>
      </c>
      <c r="O75" s="155">
        <f>+IF(OR($Q75=Parametres!$G$2,$Q75=Parametres!$G$3),J75,D75)</f>
        <v>0</v>
      </c>
      <c r="P75" s="155">
        <f>+IF(OR($Q75=Parametres!$G$2,$Q75=Parametres!$G$3),K75,E75)</f>
        <v>76</v>
      </c>
      <c r="Q75" s="154" t="str">
        <f t="shared" si="6"/>
        <v>10-Compte compteur</v>
      </c>
      <c r="R75" s="153" t="str">
        <f t="shared" si="6"/>
        <v>1416</v>
      </c>
      <c r="S75" s="154">
        <f t="shared" si="6"/>
        <v>0</v>
      </c>
      <c r="T75" s="156" t="str">
        <f>+VLOOKUP($L75,Data_Validation!$A:$D,1,0)</f>
        <v>1416@</v>
      </c>
      <c r="U75" s="156" t="str">
        <f>+VLOOKUP($L75,Data_Validation!$A:$D,3,0)</f>
        <v>Bilan</v>
      </c>
      <c r="V75" s="156">
        <f>+VLOOKUP($L75,Data_Validation!$A:$D,4,0)</f>
        <v>0</v>
      </c>
      <c r="W75" s="156" t="str">
        <f>+VLOOKUP($L75,Data_Validation!$A:$E,5,0)</f>
        <v>NB</v>
      </c>
      <c r="X75" s="156">
        <f>+VLOOKUP($L75,Data_Validation!$A:$F,6,0)</f>
        <v>0</v>
      </c>
    </row>
    <row r="76" spans="1:24" ht="15" hidden="1" customHeight="1">
      <c r="A76" s="1002" t="s">
        <v>2862</v>
      </c>
      <c r="B76" s="1145">
        <v>1423</v>
      </c>
      <c r="C76" s="1004">
        <v>-15404.61</v>
      </c>
      <c r="D76" s="1004">
        <v>0</v>
      </c>
      <c r="E76" s="1004">
        <v>-15404.61</v>
      </c>
      <c r="F76" s="1002" t="s">
        <v>293</v>
      </c>
      <c r="G76" s="1002" t="s">
        <v>2863</v>
      </c>
      <c r="H76" s="1003"/>
      <c r="I76" s="1003"/>
      <c r="J76" s="1003"/>
      <c r="K76" s="1003"/>
      <c r="L76" s="153">
        <f t="shared" si="0"/>
        <v>1423</v>
      </c>
      <c r="M76" s="154" t="str">
        <f t="shared" si="1"/>
        <v>RESERVE DEMO</v>
      </c>
      <c r="N76" s="155">
        <f>+IF(OR($Q76=Parametres!$G$2,$Q76=Parametres!$G$3),I76,C76)</f>
        <v>-15404.61</v>
      </c>
      <c r="O76" s="155">
        <f>+IF(OR($Q76=Parametres!$G$2,$Q76=Parametres!$G$3),J76,D76)</f>
        <v>0</v>
      </c>
      <c r="P76" s="155">
        <f>+IF(OR($Q76=Parametres!$G$2,$Q76=Parametres!$G$3),K76,E76)</f>
        <v>-15404.61</v>
      </c>
      <c r="Q76" s="154" t="str">
        <f t="shared" si="6"/>
        <v>2-Actifs</v>
      </c>
      <c r="R76" s="153" t="str">
        <f t="shared" si="6"/>
        <v>1423</v>
      </c>
      <c r="S76" s="154">
        <f t="shared" si="6"/>
        <v>0</v>
      </c>
      <c r="T76" s="156">
        <f>+VLOOKUP($L76,Data_Validation!$A:$D,1,0)</f>
        <v>1423</v>
      </c>
      <c r="U76" s="156" t="str">
        <f>+VLOOKUP($L76,Data_Validation!$A:$D,3,0)</f>
        <v>Bilan</v>
      </c>
      <c r="V76" s="156" t="str">
        <f>+VLOOKUP($L76,Data_Validation!$A:$D,4,0)</f>
        <v>Inventaire Véhicules Neufs</v>
      </c>
      <c r="W76" s="156" t="str">
        <f>+VLOOKUP($L76,Data_Validation!$A:$E,5,0)</f>
        <v>$</v>
      </c>
      <c r="X76" s="156">
        <f>+VLOOKUP($L76,Data_Validation!$A:$F,6,0)</f>
        <v>0</v>
      </c>
    </row>
    <row r="77" spans="1:24" ht="15" hidden="1" customHeight="1">
      <c r="A77" s="1002" t="s">
        <v>2864</v>
      </c>
      <c r="B77" s="1145">
        <v>1433</v>
      </c>
      <c r="C77" s="1004">
        <v>-33322.31</v>
      </c>
      <c r="D77" s="1004">
        <v>0</v>
      </c>
      <c r="E77" s="1004">
        <v>-33322.31</v>
      </c>
      <c r="F77" s="1002" t="s">
        <v>293</v>
      </c>
      <c r="G77" s="1002" t="s">
        <v>2865</v>
      </c>
      <c r="H77" s="1003"/>
      <c r="I77" s="1003"/>
      <c r="J77" s="1003"/>
      <c r="K77" s="1003"/>
      <c r="L77" s="153">
        <f t="shared" si="0"/>
        <v>1433</v>
      </c>
      <c r="M77" s="154" t="str">
        <f t="shared" si="1"/>
        <v>RESERVE COURTOISIE</v>
      </c>
      <c r="N77" s="155">
        <f>+IF(OR($Q77=Parametres!$G$2,$Q77=Parametres!$G$3),I77,C77)</f>
        <v>-33322.31</v>
      </c>
      <c r="O77" s="155">
        <f>+IF(OR($Q77=Parametres!$G$2,$Q77=Parametres!$G$3),J77,D77)</f>
        <v>0</v>
      </c>
      <c r="P77" s="155">
        <f>+IF(OR($Q77=Parametres!$G$2,$Q77=Parametres!$G$3),K77,E77)</f>
        <v>-33322.31</v>
      </c>
      <c r="Q77" s="154" t="str">
        <f t="shared" si="6"/>
        <v>2-Actifs</v>
      </c>
      <c r="R77" s="153" t="str">
        <f t="shared" si="6"/>
        <v>143</v>
      </c>
      <c r="S77" s="154">
        <f t="shared" si="6"/>
        <v>0</v>
      </c>
      <c r="T77" s="156">
        <f>+VLOOKUP($L77,Data_Validation!$A:$D,1,0)</f>
        <v>1433</v>
      </c>
      <c r="U77" s="156" t="str">
        <f>+VLOOKUP($L77,Data_Validation!$A:$D,3,0)</f>
        <v>Bilan</v>
      </c>
      <c r="V77" s="156" t="str">
        <f>+VLOOKUP($L77,Data_Validation!$A:$D,4,0)</f>
        <v>Inventaire Véhicules Neufs</v>
      </c>
      <c r="W77" s="156" t="str">
        <f>+VLOOKUP($L77,Data_Validation!$A:$E,5,0)</f>
        <v>$</v>
      </c>
      <c r="X77" s="156">
        <f>+VLOOKUP($L77,Data_Validation!$A:$F,6,0)</f>
        <v>0</v>
      </c>
    </row>
    <row r="78" spans="1:24" ht="15" hidden="1" customHeight="1">
      <c r="A78" s="1002" t="s">
        <v>2029</v>
      </c>
      <c r="B78" s="1145">
        <v>1442</v>
      </c>
      <c r="C78" s="1004">
        <v>259079.71</v>
      </c>
      <c r="D78" s="1004">
        <v>-59302.85</v>
      </c>
      <c r="E78" s="1004">
        <v>199776.86</v>
      </c>
      <c r="F78" s="1002" t="s">
        <v>293</v>
      </c>
      <c r="G78" s="1002" t="s">
        <v>2030</v>
      </c>
      <c r="H78" s="1003"/>
      <c r="I78" s="1003"/>
      <c r="J78" s="1003"/>
      <c r="K78" s="1003"/>
      <c r="L78" s="153">
        <f t="shared" si="0"/>
        <v>1442</v>
      </c>
      <c r="M78" s="154" t="str">
        <f t="shared" si="1"/>
        <v>PIECES &amp; ACCESSOIRES NEUFS</v>
      </c>
      <c r="N78" s="155">
        <f>+IF(OR($Q78=Parametres!$G$2,$Q78=Parametres!$G$3),I78,C78)</f>
        <v>259079.71</v>
      </c>
      <c r="O78" s="575">
        <f>+IF(OR($Q78=Parametres!$G$2,$Q78=Parametres!$G$3),J78,D78)</f>
        <v>-59302.85</v>
      </c>
      <c r="P78" s="155">
        <f>+IF(OR($Q78=Parametres!$G$2,$Q78=Parametres!$G$3),K78,E78)</f>
        <v>199776.86</v>
      </c>
      <c r="Q78" s="154" t="str">
        <f t="shared" si="6"/>
        <v>2-Actifs</v>
      </c>
      <c r="R78" s="153" t="str">
        <f t="shared" si="6"/>
        <v>1442</v>
      </c>
      <c r="S78" s="154">
        <f t="shared" si="6"/>
        <v>0</v>
      </c>
      <c r="T78" s="156">
        <f>+VLOOKUP($L78,Data_Validation!$A:$D,1,0)</f>
        <v>1442</v>
      </c>
      <c r="U78" s="156" t="str">
        <f>+VLOOKUP($L78,Data_Validation!$A:$D,3,0)</f>
        <v>Bilan</v>
      </c>
      <c r="V78" s="156" t="str">
        <f>+VLOOKUP($L78,Data_Validation!$A:$D,4,0)</f>
        <v>Inventaire Pièces, Pneus, Huile</v>
      </c>
      <c r="W78" s="156" t="str">
        <f>+VLOOKUP($L78,Data_Validation!$A:$E,5,0)</f>
        <v>$</v>
      </c>
      <c r="X78" s="156">
        <f>+VLOOKUP($L78,Data_Validation!$A:$F,6,0)</f>
        <v>0</v>
      </c>
    </row>
    <row r="79" spans="1:24" ht="15" hidden="1" customHeight="1">
      <c r="A79" s="1002" t="s">
        <v>2866</v>
      </c>
      <c r="B79" s="1145">
        <v>1448</v>
      </c>
      <c r="C79" s="1023">
        <v>329.48</v>
      </c>
      <c r="D79" s="1023">
        <v>3593.64</v>
      </c>
      <c r="E79" s="1023">
        <v>3923.12</v>
      </c>
      <c r="F79" s="1002" t="s">
        <v>293</v>
      </c>
      <c r="G79" s="1002" t="s">
        <v>2030</v>
      </c>
      <c r="H79" s="1003"/>
      <c r="I79" s="1004"/>
      <c r="J79" s="1004"/>
      <c r="K79" s="1004"/>
      <c r="L79" s="153">
        <f t="shared" si="0"/>
        <v>1448</v>
      </c>
      <c r="M79" s="154" t="str">
        <f t="shared" si="1"/>
        <v>AUTRES MARQUES P&amp;A</v>
      </c>
      <c r="N79" s="155">
        <f>+IF(OR($Q79=Parametres!$G$2,$Q79=Parametres!$G$3),I79,C79)</f>
        <v>329.48</v>
      </c>
      <c r="O79" s="155">
        <f>+IF(OR($Q79=Parametres!$G$2,$Q79=Parametres!$G$3),J79,D79)</f>
        <v>3593.64</v>
      </c>
      <c r="P79" s="155">
        <f>+IF(OR($Q79=Parametres!$G$2,$Q79=Parametres!$G$3),K79,E79)</f>
        <v>3923.12</v>
      </c>
      <c r="Q79" s="154" t="str">
        <f t="shared" si="6"/>
        <v>2-Actifs</v>
      </c>
      <c r="R79" s="153" t="str">
        <f t="shared" si="6"/>
        <v>1442</v>
      </c>
      <c r="S79" s="154">
        <f t="shared" si="6"/>
        <v>0</v>
      </c>
      <c r="T79" s="156">
        <f>+VLOOKUP($L79,Data_Validation!$A:$D,1,0)</f>
        <v>1448</v>
      </c>
      <c r="U79" s="156" t="str">
        <f>+VLOOKUP($L79,Data_Validation!$A:$D,3,0)</f>
        <v>Bilan</v>
      </c>
      <c r="V79" s="156" t="str">
        <f>+VLOOKUP($L79,Data_Validation!$A:$D,4,0)</f>
        <v>Inventaire Pièces, Pneus, Huile</v>
      </c>
      <c r="W79" s="156" t="str">
        <f>+VLOOKUP($L79,Data_Validation!$A:$E,5,0)</f>
        <v>$</v>
      </c>
      <c r="X79" s="156">
        <f>+VLOOKUP($L79,Data_Validation!$A:$F,6,0)</f>
        <v>0</v>
      </c>
    </row>
    <row r="80" spans="1:24" ht="15.75" hidden="1" customHeight="1">
      <c r="A80" s="1002" t="s">
        <v>2819</v>
      </c>
      <c r="B80" s="1145">
        <v>1452</v>
      </c>
      <c r="C80" s="1004">
        <v>130332.05</v>
      </c>
      <c r="D80" s="1004">
        <v>7170.72</v>
      </c>
      <c r="E80" s="1004">
        <v>137502.76999999999</v>
      </c>
      <c r="F80" s="1002" t="s">
        <v>293</v>
      </c>
      <c r="G80" s="1002" t="s">
        <v>2030</v>
      </c>
      <c r="H80" s="1003"/>
      <c r="I80" s="1003"/>
      <c r="J80" s="1003"/>
      <c r="K80" s="1003"/>
      <c r="L80" s="153">
        <f t="shared" si="0"/>
        <v>1452</v>
      </c>
      <c r="M80" s="154" t="str">
        <f t="shared" si="1"/>
        <v>PNEUS</v>
      </c>
      <c r="N80" s="155">
        <f>+IF(OR($Q80=Parametres!$G$2,$Q80=Parametres!$G$3),I80,C80)</f>
        <v>130332.05</v>
      </c>
      <c r="O80" s="155">
        <f>+IF(OR($Q80=Parametres!$G$2,$Q80=Parametres!$G$3),J80,D80)</f>
        <v>7170.72</v>
      </c>
      <c r="P80" s="155">
        <f>+IF(OR($Q80=Parametres!$G$2,$Q80=Parametres!$G$3),K80,E80)</f>
        <v>137502.76999999999</v>
      </c>
      <c r="Q80" s="154" t="str">
        <f t="shared" si="6"/>
        <v>2-Actifs</v>
      </c>
      <c r="R80" s="153" t="str">
        <f t="shared" si="6"/>
        <v>1442</v>
      </c>
      <c r="S80" s="154">
        <f t="shared" si="6"/>
        <v>0</v>
      </c>
      <c r="T80" s="156">
        <f>+VLOOKUP($L80,Data_Validation!$A:$D,1,0)</f>
        <v>1452</v>
      </c>
      <c r="U80" s="156" t="str">
        <f>+VLOOKUP($L80,Data_Validation!$A:$D,3,0)</f>
        <v>Bilan</v>
      </c>
      <c r="V80" s="156" t="str">
        <f>+VLOOKUP($L80,Data_Validation!$A:$D,4,0)</f>
        <v>Inventaire Pièces, Pneus, Huile</v>
      </c>
      <c r="W80" s="156" t="str">
        <f>+VLOOKUP($L80,Data_Validation!$A:$E,5,0)</f>
        <v>$</v>
      </c>
      <c r="X80" s="156">
        <f>+VLOOKUP($L80,Data_Validation!$A:$F,6,0)</f>
        <v>0</v>
      </c>
    </row>
    <row r="81" spans="1:24" ht="15" hidden="1" customHeight="1">
      <c r="A81" s="1002" t="s">
        <v>2735</v>
      </c>
      <c r="B81" s="1145">
        <v>1456</v>
      </c>
      <c r="C81" s="1004">
        <v>30227.87</v>
      </c>
      <c r="D81" s="1004">
        <v>326.24</v>
      </c>
      <c r="E81" s="1004">
        <v>30554.11</v>
      </c>
      <c r="F81" s="1002" t="s">
        <v>293</v>
      </c>
      <c r="G81" s="1002" t="s">
        <v>2736</v>
      </c>
      <c r="H81" s="961"/>
      <c r="I81" s="962"/>
      <c r="J81" s="962"/>
      <c r="K81" s="962"/>
      <c r="L81" s="153">
        <f t="shared" si="0"/>
        <v>1456</v>
      </c>
      <c r="M81" s="154" t="str">
        <f t="shared" si="1"/>
        <v>PIECES VW NON ORIGINE</v>
      </c>
      <c r="N81" s="155">
        <f>+IF(OR($Q81=Parametres!$G$2,$Q81=Parametres!$G$3),I81,C81)</f>
        <v>30227.87</v>
      </c>
      <c r="O81" s="155">
        <f>+IF(OR($Q81=Parametres!$G$2,$Q81=Parametres!$G$3),J81,D81)</f>
        <v>326.24</v>
      </c>
      <c r="P81" s="155">
        <f>+IF(OR($Q81=Parametres!$G$2,$Q81=Parametres!$G$3),K81,E81)</f>
        <v>30554.11</v>
      </c>
      <c r="Q81" s="154" t="str">
        <f t="shared" si="6"/>
        <v>2-Actifs</v>
      </c>
      <c r="R81" s="153" t="str">
        <f t="shared" si="6"/>
        <v>1456</v>
      </c>
      <c r="S81" s="154">
        <f t="shared" si="6"/>
        <v>0</v>
      </c>
      <c r="T81" s="156">
        <f>+VLOOKUP($L81,Data_Validation!$A:$D,1,0)</f>
        <v>1456</v>
      </c>
      <c r="U81" s="156" t="str">
        <f>+VLOOKUP($L81,Data_Validation!$A:$D,3,0)</f>
        <v>Bilan</v>
      </c>
      <c r="V81" s="156" t="str">
        <f>+VLOOKUP($L81,Data_Validation!$A:$D,4,0)</f>
        <v>Inventaire Pièces, Pneus, Huile</v>
      </c>
      <c r="W81" s="156" t="str">
        <f>+VLOOKUP($L81,Data_Validation!$A:$E,5,0)</f>
        <v>$</v>
      </c>
      <c r="X81" s="156">
        <f>+VLOOKUP($L81,Data_Validation!$A:$F,6,0)</f>
        <v>0</v>
      </c>
    </row>
    <row r="82" spans="1:24" ht="15" hidden="1" customHeight="1">
      <c r="A82" s="1002" t="s">
        <v>2584</v>
      </c>
      <c r="B82" s="1145">
        <v>1472</v>
      </c>
      <c r="C82" s="1004">
        <v>16790.64</v>
      </c>
      <c r="D82" s="1004">
        <v>-9667.6</v>
      </c>
      <c r="E82" s="1004">
        <v>7123.04</v>
      </c>
      <c r="F82" s="1002" t="s">
        <v>293</v>
      </c>
      <c r="G82" s="1002" t="s">
        <v>2585</v>
      </c>
      <c r="H82" s="961"/>
      <c r="I82" s="962"/>
      <c r="J82" s="962"/>
      <c r="K82" s="962"/>
      <c r="L82" s="153">
        <f t="shared" si="0"/>
        <v>1472</v>
      </c>
      <c r="M82" s="154" t="str">
        <f t="shared" si="1"/>
        <v>WIP M-O VW</v>
      </c>
      <c r="N82" s="155">
        <f>+IF(OR($Q82=Parametres!$G$2,$Q82=Parametres!$G$3),I82,C82)</f>
        <v>16790.64</v>
      </c>
      <c r="O82" s="155">
        <f>+IF(OR($Q82=Parametres!$G$2,$Q82=Parametres!$G$3),J82,D82)</f>
        <v>-9667.6</v>
      </c>
      <c r="P82" s="155">
        <f>+IF(OR($Q82=Parametres!$G$2,$Q82=Parametres!$G$3),K82,E82)</f>
        <v>7123.04</v>
      </c>
      <c r="Q82" s="154" t="str">
        <f t="shared" ref="Q82:S97" si="7">+F82</f>
        <v>2-Actifs</v>
      </c>
      <c r="R82" s="153" t="str">
        <f t="shared" si="7"/>
        <v>1472</v>
      </c>
      <c r="S82" s="154">
        <f t="shared" si="7"/>
        <v>0</v>
      </c>
      <c r="T82" s="156">
        <f>+VLOOKUP($L82,Data_Validation!$A:$D,1,0)</f>
        <v>1472</v>
      </c>
      <c r="U82" s="156" t="str">
        <f>+VLOOKUP($L82,Data_Validation!$A:$D,3,0)</f>
        <v>Bilan</v>
      </c>
      <c r="V82" s="156" t="str">
        <f>+VLOOKUP($L82,Data_Validation!$A:$D,4,0)</f>
        <v>Travaux en Cours</v>
      </c>
      <c r="W82" s="156" t="str">
        <f>+VLOOKUP($L82,Data_Validation!$A:$E,5,0)</f>
        <v>$</v>
      </c>
      <c r="X82" s="156">
        <f>+VLOOKUP($L82,Data_Validation!$A:$F,6,0)</f>
        <v>0</v>
      </c>
    </row>
    <row r="83" spans="1:24" ht="15" hidden="1" customHeight="1">
      <c r="A83" s="1002" t="s">
        <v>2758</v>
      </c>
      <c r="B83" s="1145">
        <v>1474</v>
      </c>
      <c r="C83" s="1004">
        <v>17257.13</v>
      </c>
      <c r="D83" s="1004">
        <v>-21378.55</v>
      </c>
      <c r="E83" s="1004">
        <v>-4121.42</v>
      </c>
      <c r="F83" s="1002" t="s">
        <v>293</v>
      </c>
      <c r="G83" s="1002" t="s">
        <v>2585</v>
      </c>
      <c r="H83" s="961"/>
      <c r="I83" s="962"/>
      <c r="J83" s="962"/>
      <c r="K83" s="962"/>
      <c r="L83" s="153">
        <f t="shared" si="0"/>
        <v>1474</v>
      </c>
      <c r="M83" s="154" t="str">
        <f t="shared" si="1"/>
        <v>INVENTAIRE SOUS-TRAITANTS</v>
      </c>
      <c r="N83" s="155">
        <f>+IF(OR($Q83=Parametres!$G$2,$Q83=Parametres!$G$3),I83,C83)</f>
        <v>17257.13</v>
      </c>
      <c r="O83" s="155">
        <f>+IF(OR($Q83=Parametres!$G$2,$Q83=Parametres!$G$3),J83,D83)</f>
        <v>-21378.55</v>
      </c>
      <c r="P83" s="155">
        <f>+IF(OR($Q83=Parametres!$G$2,$Q83=Parametres!$G$3),K83,E83)</f>
        <v>-4121.42</v>
      </c>
      <c r="Q83" s="154" t="str">
        <f t="shared" si="7"/>
        <v>2-Actifs</v>
      </c>
      <c r="R83" s="153" t="str">
        <f t="shared" si="7"/>
        <v>1472</v>
      </c>
      <c r="S83" s="154">
        <f t="shared" si="7"/>
        <v>0</v>
      </c>
      <c r="T83" s="156">
        <f>+VLOOKUP($L83,Data_Validation!$A:$D,1,0)</f>
        <v>1474</v>
      </c>
      <c r="U83" s="156" t="str">
        <f>+VLOOKUP($L83,Data_Validation!$A:$D,3,0)</f>
        <v>Bilan</v>
      </c>
      <c r="V83" s="156" t="str">
        <f>+VLOOKUP($L83,Data_Validation!$A:$D,4,0)</f>
        <v>Sous-Traitance</v>
      </c>
      <c r="W83" s="156" t="str">
        <f>+VLOOKUP($L83,Data_Validation!$A:$E,5,0)</f>
        <v>$</v>
      </c>
      <c r="X83" s="156">
        <f>+VLOOKUP($L83,Data_Validation!$A:$F,6,0)</f>
        <v>0</v>
      </c>
    </row>
    <row r="84" spans="1:24" ht="15.75" hidden="1" customHeight="1">
      <c r="A84" s="1002" t="s">
        <v>2137</v>
      </c>
      <c r="B84" s="1145">
        <v>1492</v>
      </c>
      <c r="C84" s="1004">
        <v>26215.66</v>
      </c>
      <c r="D84" s="1004">
        <v>-4604.01</v>
      </c>
      <c r="E84" s="1004">
        <v>21611.65</v>
      </c>
      <c r="F84" s="1002" t="s">
        <v>293</v>
      </c>
      <c r="G84" s="1002" t="s">
        <v>2030</v>
      </c>
      <c r="H84" s="961"/>
      <c r="I84" s="962"/>
      <c r="J84" s="962"/>
      <c r="K84" s="962"/>
      <c r="L84" s="153">
        <f t="shared" si="0"/>
        <v>1492</v>
      </c>
      <c r="M84" s="154" t="str">
        <f t="shared" si="1"/>
        <v>CARBURANT, HUILE, GRAISSE</v>
      </c>
      <c r="N84" s="155">
        <f>+IF(OR($Q84=Parametres!$G$2,$Q84=Parametres!$G$3),I84,C84)</f>
        <v>26215.66</v>
      </c>
      <c r="O84" s="575">
        <f>+IF(OR($Q84=Parametres!$G$2,$Q84=Parametres!$G$3),J84,D84)</f>
        <v>-4604.01</v>
      </c>
      <c r="P84" s="155">
        <f>+IF(OR($Q84=Parametres!$G$2,$Q84=Parametres!$G$3),K84,E84)</f>
        <v>21611.65</v>
      </c>
      <c r="Q84" s="154" t="str">
        <f t="shared" si="7"/>
        <v>2-Actifs</v>
      </c>
      <c r="R84" s="153" t="str">
        <f t="shared" si="7"/>
        <v>1442</v>
      </c>
      <c r="S84" s="154">
        <f t="shared" si="7"/>
        <v>0</v>
      </c>
      <c r="T84" s="156">
        <f>+VLOOKUP($L84,Data_Validation!$A:$D,1,0)</f>
        <v>1492</v>
      </c>
      <c r="U84" s="156" t="str">
        <f>+VLOOKUP($L84,Data_Validation!$A:$D,3,0)</f>
        <v>Bilan</v>
      </c>
      <c r="V84" s="156" t="str">
        <f>+VLOOKUP($L84,Data_Validation!$A:$D,4,0)</f>
        <v>Inventaire Pièces, Pneus, Huile</v>
      </c>
      <c r="W84" s="156" t="str">
        <f>+VLOOKUP($L84,Data_Validation!$A:$E,5,0)</f>
        <v>$</v>
      </c>
      <c r="X84" s="156">
        <f>+VLOOKUP($L84,Data_Validation!$A:$F,6,0)</f>
        <v>0</v>
      </c>
    </row>
    <row r="85" spans="1:24" ht="15" hidden="1" customHeight="1">
      <c r="A85" s="1002" t="s">
        <v>2686</v>
      </c>
      <c r="B85" s="1145">
        <v>1498</v>
      </c>
      <c r="C85" s="1004">
        <v>0</v>
      </c>
      <c r="D85" s="1004">
        <v>-145</v>
      </c>
      <c r="E85" s="1004">
        <v>-145</v>
      </c>
      <c r="F85" s="1002" t="s">
        <v>293</v>
      </c>
      <c r="G85" s="1002" t="s">
        <v>2687</v>
      </c>
      <c r="H85" s="961"/>
      <c r="I85" s="962"/>
      <c r="J85" s="962"/>
      <c r="K85" s="962"/>
      <c r="L85" s="153">
        <f t="shared" si="0"/>
        <v>1498</v>
      </c>
      <c r="M85" s="154" t="str">
        <f t="shared" si="1"/>
        <v>AUTRES INVENTAIRES</v>
      </c>
      <c r="N85" s="155">
        <f>+IF(OR($Q85=Parametres!$G$2,$Q85=Parametres!$G$3),I85,C85)</f>
        <v>0</v>
      </c>
      <c r="O85" s="575">
        <f>+IF(OR($Q85=Parametres!$G$2,$Q85=Parametres!$G$3),J85,D85)</f>
        <v>-145</v>
      </c>
      <c r="P85" s="155">
        <f>+IF(OR($Q85=Parametres!$G$2,$Q85=Parametres!$G$3),K85,E85)</f>
        <v>-145</v>
      </c>
      <c r="Q85" s="154" t="str">
        <f t="shared" si="7"/>
        <v>2-Actifs</v>
      </c>
      <c r="R85" s="153" t="str">
        <f t="shared" si="7"/>
        <v>1498</v>
      </c>
      <c r="S85" s="154">
        <f t="shared" si="7"/>
        <v>0</v>
      </c>
      <c r="T85" s="156">
        <f>+VLOOKUP($L85,Data_Validation!$A:$D,1,0)</f>
        <v>1498</v>
      </c>
      <c r="U85" s="156" t="str">
        <f>+VLOOKUP($L85,Data_Validation!$A:$D,3,0)</f>
        <v>Bilan</v>
      </c>
      <c r="V85" s="156" t="str">
        <f>+VLOOKUP($L85,Data_Validation!$A:$D,4,0)</f>
        <v>Inventaire Pièces, Pneus, Huile</v>
      </c>
      <c r="W85" s="156" t="str">
        <f>+VLOOKUP($L85,Data_Validation!$A:$E,5,0)</f>
        <v>$</v>
      </c>
      <c r="X85" s="156">
        <f>+VLOOKUP($L85,Data_Validation!$A:$F,6,0)</f>
        <v>0</v>
      </c>
    </row>
    <row r="86" spans="1:24" ht="15" hidden="1" customHeight="1">
      <c r="A86" s="1002" t="s">
        <v>2101</v>
      </c>
      <c r="B86" s="1145">
        <v>1502</v>
      </c>
      <c r="C86" s="1004">
        <v>0</v>
      </c>
      <c r="D86" s="1004">
        <v>1500</v>
      </c>
      <c r="E86" s="1004">
        <v>1500</v>
      </c>
      <c r="F86" s="1002" t="s">
        <v>293</v>
      </c>
      <c r="G86" s="1002" t="s">
        <v>2103</v>
      </c>
      <c r="H86" s="961"/>
      <c r="I86" s="962"/>
      <c r="J86" s="962"/>
      <c r="K86" s="962"/>
      <c r="L86" s="153">
        <f t="shared" si="0"/>
        <v>1502</v>
      </c>
      <c r="M86" s="154" t="str">
        <f t="shared" si="1"/>
        <v>FPA PUB.VEHICULES NEUFS</v>
      </c>
      <c r="N86" s="155">
        <f>+IF(OR($Q86=Parametres!$G$2,$Q86=Parametres!$G$3),I86,C86)</f>
        <v>0</v>
      </c>
      <c r="O86" s="155">
        <f>+IF(OR($Q86=Parametres!$G$2,$Q86=Parametres!$G$3),J86,D86)</f>
        <v>1500</v>
      </c>
      <c r="P86" s="155">
        <f>+IF(OR($Q86=Parametres!$G$2,$Q86=Parametres!$G$3),K86,E86)</f>
        <v>1500</v>
      </c>
      <c r="Q86" s="154" t="str">
        <f t="shared" si="7"/>
        <v>2-Actifs</v>
      </c>
      <c r="R86" s="153" t="str">
        <f t="shared" si="7"/>
        <v>1500</v>
      </c>
      <c r="S86" s="154">
        <f t="shared" si="7"/>
        <v>0</v>
      </c>
      <c r="T86" s="156">
        <f>+VLOOKUP($L86,Data_Validation!$A:$D,1,0)</f>
        <v>1502</v>
      </c>
      <c r="U86" s="156" t="str">
        <f>+VLOOKUP($L86,Data_Validation!$A:$D,3,0)</f>
        <v>Bilan</v>
      </c>
      <c r="V86" s="156" t="str">
        <f>+VLOOKUP($L86,Data_Validation!$A:$D,4,0)</f>
        <v>Frais Payés d'Avance</v>
      </c>
      <c r="W86" s="156" t="str">
        <f>+VLOOKUP($L86,Data_Validation!$A:$E,5,0)</f>
        <v>$</v>
      </c>
      <c r="X86" s="156">
        <f>+VLOOKUP($L86,Data_Validation!$A:$F,6,0)</f>
        <v>0</v>
      </c>
    </row>
    <row r="87" spans="1:24" ht="15" hidden="1" customHeight="1">
      <c r="A87" s="1002" t="s">
        <v>2127</v>
      </c>
      <c r="B87" s="1145">
        <v>1504</v>
      </c>
      <c r="C87" s="1004">
        <v>0</v>
      </c>
      <c r="D87" s="1004">
        <v>1821.24</v>
      </c>
      <c r="E87" s="1004">
        <v>1821.24</v>
      </c>
      <c r="F87" s="1002" t="s">
        <v>293</v>
      </c>
      <c r="G87" s="1002" t="s">
        <v>2103</v>
      </c>
      <c r="H87" s="961"/>
      <c r="I87" s="962"/>
      <c r="J87" s="962"/>
      <c r="K87" s="962"/>
      <c r="L87" s="153">
        <f t="shared" si="0"/>
        <v>1504</v>
      </c>
      <c r="M87" s="154" t="str">
        <f t="shared" si="1"/>
        <v>PUBLICITE VEH USAGES</v>
      </c>
      <c r="N87" s="155">
        <f>+IF(OR($Q87=Parametres!$G$2,$Q87=Parametres!$G$3),I87,C87)</f>
        <v>0</v>
      </c>
      <c r="O87" s="155">
        <f>+IF(OR($Q87=Parametres!$G$2,$Q87=Parametres!$G$3),J87,D87)</f>
        <v>1821.24</v>
      </c>
      <c r="P87" s="155">
        <f>+IF(OR($Q87=Parametres!$G$2,$Q87=Parametres!$G$3),K87,E87)</f>
        <v>1821.24</v>
      </c>
      <c r="Q87" s="154" t="str">
        <f t="shared" si="7"/>
        <v>2-Actifs</v>
      </c>
      <c r="R87" s="153" t="str">
        <f t="shared" si="7"/>
        <v>1500</v>
      </c>
      <c r="S87" s="154">
        <f t="shared" si="7"/>
        <v>0</v>
      </c>
      <c r="T87" s="156">
        <f>+VLOOKUP($L87,Data_Validation!$A:$D,1,0)</f>
        <v>1504</v>
      </c>
      <c r="U87" s="156" t="str">
        <f>+VLOOKUP($L87,Data_Validation!$A:$D,3,0)</f>
        <v>Bilan</v>
      </c>
      <c r="V87" s="156" t="str">
        <f>+VLOOKUP($L87,Data_Validation!$A:$D,4,0)</f>
        <v>Frais Payés d'Avance</v>
      </c>
      <c r="W87" s="156" t="str">
        <f>+VLOOKUP($L87,Data_Validation!$A:$E,5,0)</f>
        <v>$</v>
      </c>
      <c r="X87" s="156">
        <f>+VLOOKUP($L87,Data_Validation!$A:$F,6,0)</f>
        <v>0</v>
      </c>
    </row>
    <row r="88" spans="1:24" ht="15" hidden="1" customHeight="1">
      <c r="A88" s="1002" t="s">
        <v>2801</v>
      </c>
      <c r="B88" s="1145">
        <v>1506</v>
      </c>
      <c r="C88" s="1004">
        <v>0</v>
      </c>
      <c r="D88" s="1004">
        <v>-494.45</v>
      </c>
      <c r="E88" s="1004">
        <v>-494.45</v>
      </c>
      <c r="F88" s="1002" t="s">
        <v>293</v>
      </c>
      <c r="G88" s="1002" t="s">
        <v>2103</v>
      </c>
      <c r="H88" s="961"/>
      <c r="I88" s="962"/>
      <c r="J88" s="962"/>
      <c r="K88" s="962"/>
      <c r="L88" s="153">
        <f t="shared" si="0"/>
        <v>1506</v>
      </c>
      <c r="M88" s="154" t="str">
        <f t="shared" si="1"/>
        <v>FPA PUBLICITE SERVICE</v>
      </c>
      <c r="N88" s="155">
        <f>+IF(OR($Q88=Parametres!$G$2,$Q88=Parametres!$G$3),I88,C88)</f>
        <v>0</v>
      </c>
      <c r="O88" s="575">
        <f>+IF(OR($Q88=Parametres!$G$2,$Q88=Parametres!$G$3),J88,D88)</f>
        <v>-494.45</v>
      </c>
      <c r="P88" s="155">
        <f>+IF(OR($Q88=Parametres!$G$2,$Q88=Parametres!$G$3),K88,E88)</f>
        <v>-494.45</v>
      </c>
      <c r="Q88" s="154" t="str">
        <f t="shared" si="7"/>
        <v>2-Actifs</v>
      </c>
      <c r="R88" s="153" t="str">
        <f t="shared" si="7"/>
        <v>1500</v>
      </c>
      <c r="S88" s="154">
        <f t="shared" si="7"/>
        <v>0</v>
      </c>
      <c r="T88" s="156">
        <f>+VLOOKUP($L88,Data_Validation!$A:$D,1,0)</f>
        <v>1506</v>
      </c>
      <c r="U88" s="156" t="str">
        <f>+VLOOKUP($L88,Data_Validation!$A:$D,3,0)</f>
        <v>Bilan</v>
      </c>
      <c r="V88" s="156" t="str">
        <f>+VLOOKUP($L88,Data_Validation!$A:$D,4,0)</f>
        <v>Frais Payés d'Avance</v>
      </c>
      <c r="W88" s="156" t="str">
        <f>+VLOOKUP($L88,Data_Validation!$A:$E,5,0)</f>
        <v>$</v>
      </c>
      <c r="X88" s="156">
        <f>+VLOOKUP($L88,Data_Validation!$A:$F,6,0)</f>
        <v>0</v>
      </c>
    </row>
    <row r="89" spans="1:24" ht="15" hidden="1" customHeight="1">
      <c r="A89" s="1002" t="s">
        <v>2637</v>
      </c>
      <c r="B89" s="1145">
        <v>1510</v>
      </c>
      <c r="C89" s="1004">
        <v>3221.95</v>
      </c>
      <c r="D89" s="1004">
        <v>-12</v>
      </c>
      <c r="E89" s="1004">
        <v>3209.95</v>
      </c>
      <c r="F89" s="1002" t="s">
        <v>293</v>
      </c>
      <c r="G89" s="1002" t="s">
        <v>2103</v>
      </c>
      <c r="H89" s="961"/>
      <c r="I89" s="962"/>
      <c r="J89" s="962"/>
      <c r="K89" s="962"/>
      <c r="L89" s="153">
        <f t="shared" si="0"/>
        <v>1510</v>
      </c>
      <c r="M89" s="154" t="str">
        <f t="shared" si="1"/>
        <v>DIAMOND KOTE (NANO)</v>
      </c>
      <c r="N89" s="155">
        <f>+IF(OR($Q89=Parametres!$G$2,$Q89=Parametres!$G$3),I89,C89)</f>
        <v>3221.95</v>
      </c>
      <c r="O89" s="155">
        <f>+IF(OR($Q89=Parametres!$G$2,$Q89=Parametres!$G$3),J89,D89)</f>
        <v>-12</v>
      </c>
      <c r="P89" s="155">
        <f>+IF(OR($Q89=Parametres!$G$2,$Q89=Parametres!$G$3),K89,E89)</f>
        <v>3209.95</v>
      </c>
      <c r="Q89" s="154" t="str">
        <f t="shared" si="7"/>
        <v>2-Actifs</v>
      </c>
      <c r="R89" s="153" t="str">
        <f t="shared" si="7"/>
        <v>1500</v>
      </c>
      <c r="S89" s="154">
        <f t="shared" si="7"/>
        <v>0</v>
      </c>
      <c r="T89" s="156">
        <f>+VLOOKUP($L89,Data_Validation!$A:$D,1,0)</f>
        <v>1510</v>
      </c>
      <c r="U89" s="156" t="str">
        <f>+VLOOKUP($L89,Data_Validation!$A:$D,3,0)</f>
        <v>Bilan</v>
      </c>
      <c r="V89" s="156" t="str">
        <f>+VLOOKUP($L89,Data_Validation!$A:$D,4,0)</f>
        <v>Frais Payés d'Avance</v>
      </c>
      <c r="W89" s="156" t="str">
        <f>+VLOOKUP($L89,Data_Validation!$A:$E,5,0)</f>
        <v>$</v>
      </c>
      <c r="X89" s="156">
        <f>+VLOOKUP($L89,Data_Validation!$A:$F,6,0)</f>
        <v>0</v>
      </c>
    </row>
    <row r="90" spans="1:24" ht="15" hidden="1" customHeight="1">
      <c r="A90" s="1002" t="s">
        <v>2149</v>
      </c>
      <c r="B90" s="1145">
        <v>1520</v>
      </c>
      <c r="C90" s="1004">
        <v>2925</v>
      </c>
      <c r="D90" s="1004">
        <v>-1023.66</v>
      </c>
      <c r="E90" s="1004">
        <v>1901.34</v>
      </c>
      <c r="F90" s="1002" t="s">
        <v>293</v>
      </c>
      <c r="G90" s="1002" t="s">
        <v>2103</v>
      </c>
      <c r="H90" s="961"/>
      <c r="I90" s="962"/>
      <c r="J90" s="962"/>
      <c r="K90" s="962"/>
      <c r="L90" s="153">
        <f t="shared" si="0"/>
        <v>1520</v>
      </c>
      <c r="M90" s="154" t="str">
        <f t="shared" si="1"/>
        <v>FPA IMMATRICULATION</v>
      </c>
      <c r="N90" s="155">
        <f>+IF(OR($Q90=Parametres!$G$2,$Q90=Parametres!$G$3),I90,C90)</f>
        <v>2925</v>
      </c>
      <c r="O90" s="155">
        <f>+IF(OR($Q90=Parametres!$G$2,$Q90=Parametres!$G$3),J90,D90)</f>
        <v>-1023.66</v>
      </c>
      <c r="P90" s="155">
        <f>+IF(OR($Q90=Parametres!$G$2,$Q90=Parametres!$G$3),K90,E90)</f>
        <v>1901.34</v>
      </c>
      <c r="Q90" s="154" t="str">
        <f t="shared" si="7"/>
        <v>2-Actifs</v>
      </c>
      <c r="R90" s="153" t="str">
        <f t="shared" si="7"/>
        <v>1500</v>
      </c>
      <c r="S90" s="154">
        <f t="shared" si="7"/>
        <v>0</v>
      </c>
      <c r="T90" s="156">
        <f>+VLOOKUP($L90,Data_Validation!$A:$D,1,0)</f>
        <v>1520</v>
      </c>
      <c r="U90" s="156" t="str">
        <f>+VLOOKUP($L90,Data_Validation!$A:$D,3,0)</f>
        <v>Bilan</v>
      </c>
      <c r="V90" s="156" t="str">
        <f>+VLOOKUP($L90,Data_Validation!$A:$D,4,0)</f>
        <v>Frais Payés d'Avance</v>
      </c>
      <c r="W90" s="156" t="str">
        <f>+VLOOKUP($L90,Data_Validation!$A:$E,5,0)</f>
        <v>$</v>
      </c>
      <c r="X90" s="156">
        <f>+VLOOKUP($L90,Data_Validation!$A:$F,6,0)</f>
        <v>0</v>
      </c>
    </row>
    <row r="91" spans="1:24" ht="15" hidden="1" customHeight="1">
      <c r="A91" s="1002" t="s">
        <v>2600</v>
      </c>
      <c r="B91" s="1145">
        <v>1530</v>
      </c>
      <c r="C91" s="1004">
        <v>2554.4299999999998</v>
      </c>
      <c r="D91" s="1004">
        <v>0</v>
      </c>
      <c r="E91" s="1004">
        <v>2554.4299999999998</v>
      </c>
      <c r="F91" s="1002" t="s">
        <v>293</v>
      </c>
      <c r="G91" s="1002" t="s">
        <v>2103</v>
      </c>
      <c r="H91" s="961"/>
      <c r="I91" s="962"/>
      <c r="J91" s="962"/>
      <c r="K91" s="962"/>
      <c r="L91" s="153">
        <f t="shared" si="0"/>
        <v>1530</v>
      </c>
      <c r="M91" s="154" t="str">
        <f t="shared" si="1"/>
        <v>FPA PAPETERIE</v>
      </c>
      <c r="N91" s="155">
        <f>+IF(OR($Q91=Parametres!$G$2,$Q91=Parametres!$G$3),I91,C91)</f>
        <v>2554.4299999999998</v>
      </c>
      <c r="O91" s="155">
        <f>+IF(OR($Q91=Parametres!$G$2,$Q91=Parametres!$G$3),J91,D91)</f>
        <v>0</v>
      </c>
      <c r="P91" s="155">
        <f>+IF(OR($Q91=Parametres!$G$2,$Q91=Parametres!$G$3),K91,E91)</f>
        <v>2554.4299999999998</v>
      </c>
      <c r="Q91" s="154" t="str">
        <f t="shared" si="7"/>
        <v>2-Actifs</v>
      </c>
      <c r="R91" s="153" t="str">
        <f t="shared" si="7"/>
        <v>1500</v>
      </c>
      <c r="S91" s="154">
        <f t="shared" si="7"/>
        <v>0</v>
      </c>
      <c r="T91" s="156">
        <f>+VLOOKUP($L91,Data_Validation!$A:$D,1,0)</f>
        <v>1530</v>
      </c>
      <c r="U91" s="156" t="str">
        <f>+VLOOKUP($L91,Data_Validation!$A:$D,3,0)</f>
        <v>Bilan</v>
      </c>
      <c r="V91" s="156" t="str">
        <f>+VLOOKUP($L91,Data_Validation!$A:$D,4,0)</f>
        <v>Frais Payés d'Avance</v>
      </c>
      <c r="W91" s="156" t="str">
        <f>+VLOOKUP($L91,Data_Validation!$A:$E,5,0)</f>
        <v>$</v>
      </c>
      <c r="X91" s="156">
        <f>+VLOOKUP($L91,Data_Validation!$A:$F,6,0)</f>
        <v>0</v>
      </c>
    </row>
    <row r="92" spans="1:24" ht="15" hidden="1" customHeight="1">
      <c r="A92" s="1002" t="s">
        <v>2196</v>
      </c>
      <c r="B92" s="1145">
        <v>1534</v>
      </c>
      <c r="C92" s="1004">
        <v>0</v>
      </c>
      <c r="D92" s="1004">
        <v>928</v>
      </c>
      <c r="E92" s="1004">
        <v>928</v>
      </c>
      <c r="F92" s="1002" t="s">
        <v>293</v>
      </c>
      <c r="G92" s="1002" t="s">
        <v>2103</v>
      </c>
      <c r="H92" s="961"/>
      <c r="I92" s="962"/>
      <c r="J92" s="962"/>
      <c r="K92" s="962"/>
      <c r="L92" s="153">
        <f t="shared" si="0"/>
        <v>1534</v>
      </c>
      <c r="M92" s="154" t="str">
        <f t="shared" si="1"/>
        <v>FPA FOURNITURES LAVAGE</v>
      </c>
      <c r="N92" s="155">
        <f>+IF(OR($Q92=Parametres!$G$2,$Q92=Parametres!$G$3),I92,C92)</f>
        <v>0</v>
      </c>
      <c r="O92" s="155">
        <f>+IF(OR($Q92=Parametres!$G$2,$Q92=Parametres!$G$3),J92,D92)</f>
        <v>928</v>
      </c>
      <c r="P92" s="155">
        <f>+IF(OR($Q92=Parametres!$G$2,$Q92=Parametres!$G$3),K92,E92)</f>
        <v>928</v>
      </c>
      <c r="Q92" s="154" t="str">
        <f t="shared" si="7"/>
        <v>2-Actifs</v>
      </c>
      <c r="R92" s="153" t="str">
        <f t="shared" si="7"/>
        <v>1500</v>
      </c>
      <c r="S92" s="154">
        <f t="shared" si="7"/>
        <v>0</v>
      </c>
      <c r="T92" s="156">
        <f>+VLOOKUP($L92,Data_Validation!$A:$D,1,0)</f>
        <v>1534</v>
      </c>
      <c r="U92" s="156" t="str">
        <f>+VLOOKUP($L92,Data_Validation!$A:$D,3,0)</f>
        <v>Bilan</v>
      </c>
      <c r="V92" s="156" t="str">
        <f>+VLOOKUP($L92,Data_Validation!$A:$D,4,0)</f>
        <v>Frais Payés d'Avance</v>
      </c>
      <c r="W92" s="156" t="str">
        <f>+VLOOKUP($L92,Data_Validation!$A:$E,5,0)</f>
        <v>$</v>
      </c>
      <c r="X92" s="156">
        <f>+VLOOKUP($L92,Data_Validation!$A:$F,6,0)</f>
        <v>0</v>
      </c>
    </row>
    <row r="93" spans="1:24" ht="15" hidden="1" customHeight="1">
      <c r="A93" s="1002" t="s">
        <v>2780</v>
      </c>
      <c r="B93" s="1145">
        <v>1540</v>
      </c>
      <c r="C93" s="1004">
        <v>-1525</v>
      </c>
      <c r="D93" s="1004">
        <v>607.41999999999996</v>
      </c>
      <c r="E93" s="1004">
        <v>-917.58</v>
      </c>
      <c r="F93" s="1002" t="s">
        <v>293</v>
      </c>
      <c r="G93" s="1002" t="s">
        <v>2103</v>
      </c>
      <c r="H93" s="961"/>
      <c r="I93" s="962"/>
      <c r="J93" s="962"/>
      <c r="K93" s="962"/>
      <c r="L93" s="153">
        <f t="shared" si="0"/>
        <v>1540</v>
      </c>
      <c r="M93" s="154" t="str">
        <f t="shared" si="1"/>
        <v>FPA CONTRATS DE SERVICES</v>
      </c>
      <c r="N93" s="155">
        <f>+IF(OR($Q93=Parametres!$G$2,$Q93=Parametres!$G$3),I93,C93)</f>
        <v>-1525</v>
      </c>
      <c r="O93" s="575">
        <f>+IF(OR($Q93=Parametres!$G$2,$Q93=Parametres!$G$3),J93,D93)</f>
        <v>607.41999999999996</v>
      </c>
      <c r="P93" s="155">
        <f>+IF(OR($Q93=Parametres!$G$2,$Q93=Parametres!$G$3),K93,E93)</f>
        <v>-917.58</v>
      </c>
      <c r="Q93" s="154" t="str">
        <f t="shared" si="7"/>
        <v>2-Actifs</v>
      </c>
      <c r="R93" s="153" t="str">
        <f t="shared" si="7"/>
        <v>1500</v>
      </c>
      <c r="S93" s="154">
        <f t="shared" si="7"/>
        <v>0</v>
      </c>
      <c r="T93" s="156">
        <f>+VLOOKUP($L93,Data_Validation!$A:$D,1,0)</f>
        <v>1540</v>
      </c>
      <c r="U93" s="156" t="str">
        <f>+VLOOKUP($L93,Data_Validation!$A:$D,3,0)</f>
        <v>Bilan</v>
      </c>
      <c r="V93" s="156" t="str">
        <f>+VLOOKUP($L93,Data_Validation!$A:$D,4,0)</f>
        <v>Frais Payés d'Avance</v>
      </c>
      <c r="W93" s="156" t="str">
        <f>+VLOOKUP($L93,Data_Validation!$A:$E,5,0)</f>
        <v>$</v>
      </c>
      <c r="X93" s="156">
        <f>+VLOOKUP($L93,Data_Validation!$A:$F,6,0)</f>
        <v>0</v>
      </c>
    </row>
    <row r="94" spans="1:24" ht="15.75" hidden="1" customHeight="1">
      <c r="A94" s="1002" t="s">
        <v>2198</v>
      </c>
      <c r="B94" s="1145">
        <v>1544</v>
      </c>
      <c r="C94" s="1004">
        <v>-3525.13</v>
      </c>
      <c r="D94" s="1004">
        <v>0</v>
      </c>
      <c r="E94" s="1004">
        <v>-3525.13</v>
      </c>
      <c r="F94" s="1002" t="s">
        <v>293</v>
      </c>
      <c r="G94" s="1002" t="s">
        <v>2103</v>
      </c>
      <c r="H94" s="961"/>
      <c r="I94" s="962"/>
      <c r="J94" s="962"/>
      <c r="K94" s="962"/>
      <c r="L94" s="153">
        <f t="shared" si="0"/>
        <v>1544</v>
      </c>
      <c r="M94" s="154" t="str">
        <f t="shared" si="1"/>
        <v>FPA GAZ METROPOLITAIN</v>
      </c>
      <c r="N94" s="155">
        <f>+IF(OR($Q94=Parametres!$G$2,$Q94=Parametres!$G$3),I94,C94)</f>
        <v>-3525.13</v>
      </c>
      <c r="O94" s="155">
        <f>+IF(OR($Q94=Parametres!$G$2,$Q94=Parametres!$G$3),J94,D94)</f>
        <v>0</v>
      </c>
      <c r="P94" s="155">
        <f>+IF(OR($Q94=Parametres!$G$2,$Q94=Parametres!$G$3),K94,E94)</f>
        <v>-3525.13</v>
      </c>
      <c r="Q94" s="154" t="str">
        <f t="shared" si="7"/>
        <v>2-Actifs</v>
      </c>
      <c r="R94" s="153" t="str">
        <f t="shared" si="7"/>
        <v>1500</v>
      </c>
      <c r="S94" s="154">
        <f t="shared" si="7"/>
        <v>0</v>
      </c>
      <c r="T94" s="156">
        <f>+VLOOKUP($L94,Data_Validation!$A:$D,1,0)</f>
        <v>1544</v>
      </c>
      <c r="U94" s="156" t="str">
        <f>+VLOOKUP($L94,Data_Validation!$A:$D,3,0)</f>
        <v>Bilan</v>
      </c>
      <c r="V94" s="156" t="str">
        <f>+VLOOKUP($L94,Data_Validation!$A:$D,4,0)</f>
        <v>Autres Courus</v>
      </c>
      <c r="W94" s="156" t="str">
        <f>+VLOOKUP($L94,Data_Validation!$A:$E,5,0)</f>
        <v>$</v>
      </c>
      <c r="X94" s="156">
        <f>+VLOOKUP($L94,Data_Validation!$A:$F,6,0)</f>
        <v>0</v>
      </c>
    </row>
    <row r="95" spans="1:24" ht="15" hidden="1" customHeight="1">
      <c r="A95" s="1002" t="s">
        <v>2183</v>
      </c>
      <c r="B95" s="1145">
        <v>1546</v>
      </c>
      <c r="C95" s="1004">
        <v>-3125.4</v>
      </c>
      <c r="D95" s="1004">
        <v>1616.36</v>
      </c>
      <c r="E95" s="1004">
        <v>-1509.04</v>
      </c>
      <c r="F95" s="1002" t="s">
        <v>293</v>
      </c>
      <c r="G95" s="1002" t="s">
        <v>2103</v>
      </c>
      <c r="H95" s="961"/>
      <c r="I95" s="962"/>
      <c r="J95" s="962"/>
      <c r="K95" s="962"/>
      <c r="L95" s="153">
        <f t="shared" si="0"/>
        <v>1546</v>
      </c>
      <c r="M95" s="154" t="str">
        <f t="shared" si="1"/>
        <v>FPA ELECTRICITE HYDRO-QUEBEC</v>
      </c>
      <c r="N95" s="155">
        <f>+IF(OR($Q95=Parametres!$G$2,$Q95=Parametres!$G$3),I95,C95)</f>
        <v>-3125.4</v>
      </c>
      <c r="O95" s="155">
        <f>+IF(OR($Q95=Parametres!$G$2,$Q95=Parametres!$G$3),J95,D95)</f>
        <v>1616.36</v>
      </c>
      <c r="P95" s="155">
        <f>+IF(OR($Q95=Parametres!$G$2,$Q95=Parametres!$G$3),K95,E95)</f>
        <v>-1509.04</v>
      </c>
      <c r="Q95" s="154" t="str">
        <f t="shared" si="7"/>
        <v>2-Actifs</v>
      </c>
      <c r="R95" s="153" t="str">
        <f t="shared" si="7"/>
        <v>1500</v>
      </c>
      <c r="S95" s="154">
        <f t="shared" si="7"/>
        <v>0</v>
      </c>
      <c r="T95" s="156">
        <f>+VLOOKUP($L95,Data_Validation!$A:$D,1,0)</f>
        <v>1546</v>
      </c>
      <c r="U95" s="156" t="str">
        <f>+VLOOKUP($L95,Data_Validation!$A:$D,3,0)</f>
        <v>Bilan</v>
      </c>
      <c r="V95" s="156" t="str">
        <f>+VLOOKUP($L95,Data_Validation!$A:$D,4,0)</f>
        <v>Autres Courus</v>
      </c>
      <c r="W95" s="156" t="str">
        <f>+VLOOKUP($L95,Data_Validation!$A:$E,5,0)</f>
        <v>$</v>
      </c>
      <c r="X95" s="156">
        <f>+VLOOKUP($L95,Data_Validation!$A:$F,6,0)</f>
        <v>0</v>
      </c>
    </row>
    <row r="96" spans="1:24" ht="15" hidden="1" customHeight="1">
      <c r="A96" s="1002" t="s">
        <v>2119</v>
      </c>
      <c r="B96" s="1145">
        <v>1552</v>
      </c>
      <c r="C96" s="1004">
        <v>6339</v>
      </c>
      <c r="D96" s="1004">
        <v>4915.46</v>
      </c>
      <c r="E96" s="1004">
        <v>11254.46</v>
      </c>
      <c r="F96" s="1002" t="s">
        <v>293</v>
      </c>
      <c r="G96" s="1002" t="s">
        <v>2103</v>
      </c>
      <c r="H96" s="961"/>
      <c r="I96" s="962"/>
      <c r="J96" s="962"/>
      <c r="K96" s="962"/>
      <c r="L96" s="153">
        <f t="shared" si="0"/>
        <v>1552</v>
      </c>
      <c r="M96" s="154" t="str">
        <f t="shared" si="1"/>
        <v>FPA C.S.S.T.</v>
      </c>
      <c r="N96" s="155">
        <f>+IF(OR($Q96=Parametres!$G$2,$Q96=Parametres!$G$3),I96,C96)</f>
        <v>6339</v>
      </c>
      <c r="O96" s="155">
        <f>+IF(OR($Q96=Parametres!$G$2,$Q96=Parametres!$G$3),J96,D96)</f>
        <v>4915.46</v>
      </c>
      <c r="P96" s="155">
        <f>+IF(OR($Q96=Parametres!$G$2,$Q96=Parametres!$G$3),K96,E96)</f>
        <v>11254.46</v>
      </c>
      <c r="Q96" s="154" t="str">
        <f t="shared" si="7"/>
        <v>2-Actifs</v>
      </c>
      <c r="R96" s="153" t="str">
        <f t="shared" si="7"/>
        <v>1500</v>
      </c>
      <c r="S96" s="154">
        <f t="shared" si="7"/>
        <v>0</v>
      </c>
      <c r="T96" s="156">
        <f>+VLOOKUP($L96,Data_Validation!$A:$D,1,0)</f>
        <v>1552</v>
      </c>
      <c r="U96" s="156" t="str">
        <f>+VLOOKUP($L96,Data_Validation!$A:$D,3,0)</f>
        <v>Bilan</v>
      </c>
      <c r="V96" s="156" t="str">
        <f>+VLOOKUP($L96,Data_Validation!$A:$D,4,0)</f>
        <v>Frais Payés d'Avance</v>
      </c>
      <c r="W96" s="156" t="str">
        <f>+VLOOKUP($L96,Data_Validation!$A:$E,5,0)</f>
        <v>$</v>
      </c>
      <c r="X96" s="156">
        <f>+VLOOKUP($L96,Data_Validation!$A:$F,6,0)</f>
        <v>0</v>
      </c>
    </row>
    <row r="97" spans="1:24" ht="15" hidden="1" customHeight="1">
      <c r="A97" s="1002" t="s">
        <v>2113</v>
      </c>
      <c r="B97" s="1145">
        <v>1582</v>
      </c>
      <c r="C97" s="1004">
        <v>0</v>
      </c>
      <c r="D97" s="1004">
        <v>-7699.3</v>
      </c>
      <c r="E97" s="1004">
        <v>-7699.3</v>
      </c>
      <c r="F97" s="1002" t="s">
        <v>293</v>
      </c>
      <c r="G97" s="1002" t="s">
        <v>2103</v>
      </c>
      <c r="H97" s="938"/>
      <c r="I97" s="938"/>
      <c r="J97" s="938"/>
      <c r="K97" s="938"/>
      <c r="L97" s="153">
        <f t="shared" si="0"/>
        <v>1582</v>
      </c>
      <c r="M97" s="154" t="str">
        <f t="shared" si="1"/>
        <v>FPA TAXES MUNICIPALES</v>
      </c>
      <c r="N97" s="155">
        <f>+IF(OR($Q97=Parametres!$G$2,$Q97=Parametres!$G$3),I97,C97)</f>
        <v>0</v>
      </c>
      <c r="O97" s="155">
        <f>+IF(OR($Q97=Parametres!$G$2,$Q97=Parametres!$G$3),J97,D97)</f>
        <v>-7699.3</v>
      </c>
      <c r="P97" s="155">
        <f>+IF(OR($Q97=Parametres!$G$2,$Q97=Parametres!$G$3),K97,E97)</f>
        <v>-7699.3</v>
      </c>
      <c r="Q97" s="154" t="str">
        <f t="shared" si="7"/>
        <v>2-Actifs</v>
      </c>
      <c r="R97" s="153" t="str">
        <f t="shared" si="7"/>
        <v>1500</v>
      </c>
      <c r="S97" s="154">
        <f t="shared" si="7"/>
        <v>0</v>
      </c>
      <c r="T97" s="156">
        <f>+VLOOKUP($L97,Data_Validation!$A:$D,1,0)</f>
        <v>1582</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002" t="s">
        <v>2174</v>
      </c>
      <c r="B98" s="1145">
        <v>1586</v>
      </c>
      <c r="C98" s="1004">
        <v>2000</v>
      </c>
      <c r="D98" s="1004">
        <v>-310.7</v>
      </c>
      <c r="E98" s="1004">
        <v>1689.3</v>
      </c>
      <c r="F98" s="1002" t="s">
        <v>293</v>
      </c>
      <c r="G98" s="1002" t="s">
        <v>2103</v>
      </c>
      <c r="H98" s="938"/>
      <c r="I98" s="938"/>
      <c r="J98" s="938"/>
      <c r="K98" s="938"/>
      <c r="L98" s="153">
        <f t="shared" si="0"/>
        <v>1586</v>
      </c>
      <c r="M98" s="154" t="str">
        <f t="shared" si="1"/>
        <v>FPA TAXES SCOLAIRES</v>
      </c>
      <c r="N98" s="155">
        <f>+IF(OR($Q98=Parametres!$G$2,$Q98=Parametres!$G$3),I98,C98)</f>
        <v>2000</v>
      </c>
      <c r="O98" s="155">
        <f>+IF(OR($Q98=Parametres!$G$2,$Q98=Parametres!$G$3),J98,D98)</f>
        <v>-310.7</v>
      </c>
      <c r="P98" s="155">
        <f>+IF(OR($Q98=Parametres!$G$2,$Q98=Parametres!$G$3),K98,E98)</f>
        <v>1689.3</v>
      </c>
      <c r="Q98" s="154" t="str">
        <f t="shared" ref="Q98:S113" si="8">+F98</f>
        <v>2-Actifs</v>
      </c>
      <c r="R98" s="153" t="str">
        <f t="shared" si="8"/>
        <v>1500</v>
      </c>
      <c r="S98" s="154">
        <f t="shared" si="8"/>
        <v>0</v>
      </c>
      <c r="T98" s="156">
        <f>+VLOOKUP($L98,Data_Validation!$A:$D,1,0)</f>
        <v>1586</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002" t="s">
        <v>2798</v>
      </c>
      <c r="B99" s="1145">
        <v>1592</v>
      </c>
      <c r="C99" s="1004">
        <v>55761.7</v>
      </c>
      <c r="D99" s="1004">
        <v>27319.98</v>
      </c>
      <c r="E99" s="1004">
        <v>83081.679999999993</v>
      </c>
      <c r="F99" s="1002" t="s">
        <v>293</v>
      </c>
      <c r="G99" s="1002" t="s">
        <v>2103</v>
      </c>
      <c r="H99" s="938"/>
      <c r="I99" s="938"/>
      <c r="J99" s="938"/>
      <c r="K99" s="938"/>
      <c r="L99" s="153">
        <f t="shared" si="0"/>
        <v>1592</v>
      </c>
      <c r="M99" s="154" t="str">
        <f t="shared" si="1"/>
        <v>FPA AUTRES</v>
      </c>
      <c r="N99" s="155">
        <f>+IF(OR($Q99=Parametres!$G$2,$Q99=Parametres!$G$3),I99,C99)</f>
        <v>55761.7</v>
      </c>
      <c r="O99" s="155">
        <f>+IF(OR($Q99=Parametres!$G$2,$Q99=Parametres!$G$3),J99,D99)</f>
        <v>27319.98</v>
      </c>
      <c r="P99" s="155">
        <f>+IF(OR($Q99=Parametres!$G$2,$Q99=Parametres!$G$3),K99,E99)</f>
        <v>83081.679999999993</v>
      </c>
      <c r="Q99" s="154" t="str">
        <f t="shared" si="8"/>
        <v>2-Actifs</v>
      </c>
      <c r="R99" s="153" t="str">
        <f t="shared" si="8"/>
        <v>1500</v>
      </c>
      <c r="S99" s="154">
        <f t="shared" si="8"/>
        <v>0</v>
      </c>
      <c r="T99" s="156">
        <f>+VLOOKUP($L99,Data_Validation!$A:$D,1,0)</f>
        <v>1592</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002" t="s">
        <v>2395</v>
      </c>
      <c r="B100" s="1145">
        <v>1732</v>
      </c>
      <c r="C100" s="1004">
        <v>96990.28</v>
      </c>
      <c r="D100" s="1004">
        <v>0</v>
      </c>
      <c r="E100" s="1004">
        <v>96990.28</v>
      </c>
      <c r="F100" s="1002" t="s">
        <v>293</v>
      </c>
      <c r="G100" s="1002" t="s">
        <v>2125</v>
      </c>
      <c r="H100" s="938"/>
      <c r="I100" s="938"/>
      <c r="J100" s="938"/>
      <c r="K100" s="938"/>
      <c r="L100" s="153">
        <f t="shared" si="0"/>
        <v>1732</v>
      </c>
      <c r="M100" s="154" t="str">
        <f t="shared" si="1"/>
        <v>AMELIOR. LOCATIVES</v>
      </c>
      <c r="N100" s="155">
        <f>+IF(OR($Q100=Parametres!$G$2,$Q100=Parametres!$G$3),I100,C100)</f>
        <v>96990.28</v>
      </c>
      <c r="O100" s="155">
        <f>+IF(OR($Q100=Parametres!$G$2,$Q100=Parametres!$G$3),J100,D100)</f>
        <v>0</v>
      </c>
      <c r="P100" s="155">
        <f>+IF(OR($Q100=Parametres!$G$2,$Q100=Parametres!$G$3),K100,E100)</f>
        <v>96990.28</v>
      </c>
      <c r="Q100" s="154" t="str">
        <f t="shared" si="8"/>
        <v>2-Actifs</v>
      </c>
      <c r="R100" s="153" t="str">
        <f t="shared" si="8"/>
        <v>1700</v>
      </c>
      <c r="S100" s="154">
        <f t="shared" si="8"/>
        <v>0</v>
      </c>
      <c r="T100" s="156">
        <f>+VLOOKUP($L100,Data_Validation!$A:$D,1,0)</f>
        <v>1732</v>
      </c>
      <c r="U100" s="156" t="str">
        <f>+VLOOKUP($L100,Data_Validation!$A:$D,3,0)</f>
        <v>Bilan</v>
      </c>
      <c r="V100" s="156" t="str">
        <f>+VLOOKUP($L100,Data_Validation!$A:$D,4,0)</f>
        <v>Améliorations Locatives</v>
      </c>
      <c r="W100" s="156" t="str">
        <f>+VLOOKUP($L100,Data_Validation!$A:$E,5,0)</f>
        <v>$</v>
      </c>
      <c r="X100" s="156">
        <f>+VLOOKUP($L100,Data_Validation!$A:$F,6,0)</f>
        <v>0</v>
      </c>
    </row>
    <row r="101" spans="1:24" ht="15" hidden="1" customHeight="1">
      <c r="A101" s="1002" t="s">
        <v>2153</v>
      </c>
      <c r="B101" s="1145">
        <v>1733</v>
      </c>
      <c r="C101" s="1004">
        <v>-94290.97</v>
      </c>
      <c r="D101" s="1004">
        <v>-1730</v>
      </c>
      <c r="E101" s="1004">
        <v>-96020.97</v>
      </c>
      <c r="F101" s="1002" t="s">
        <v>293</v>
      </c>
      <c r="G101" s="1002" t="s">
        <v>2125</v>
      </c>
      <c r="H101" s="938"/>
      <c r="I101" s="938"/>
      <c r="J101" s="938"/>
      <c r="K101" s="938"/>
      <c r="L101" s="153">
        <f t="shared" si="0"/>
        <v>1733</v>
      </c>
      <c r="M101" s="154" t="str">
        <f t="shared" si="1"/>
        <v>AMORT. CUM. AMEL. LOCAT.</v>
      </c>
      <c r="N101" s="155">
        <f>+IF(OR($Q101=Parametres!$G$2,$Q101=Parametres!$G$3),I101,C101)</f>
        <v>-94290.97</v>
      </c>
      <c r="O101" s="155">
        <f>+IF(OR($Q101=Parametres!$G$2,$Q101=Parametres!$G$3),J101,D101)</f>
        <v>-1730</v>
      </c>
      <c r="P101" s="155">
        <f>+IF(OR($Q101=Parametres!$G$2,$Q101=Parametres!$G$3),K101,E101)</f>
        <v>-96020.97</v>
      </c>
      <c r="Q101" s="154" t="str">
        <f t="shared" si="8"/>
        <v>2-Actifs</v>
      </c>
      <c r="R101" s="153" t="str">
        <f t="shared" si="8"/>
        <v>1700</v>
      </c>
      <c r="S101" s="154">
        <f t="shared" si="8"/>
        <v>0</v>
      </c>
      <c r="T101" s="156">
        <f>+VLOOKUP($L101,Data_Validation!$A:$D,1,0)</f>
        <v>1733</v>
      </c>
      <c r="U101" s="156" t="str">
        <f>+VLOOKUP($L101,Data_Validation!$A:$D,3,0)</f>
        <v>Bilan</v>
      </c>
      <c r="V101" s="156" t="str">
        <f>+VLOOKUP($L101,Data_Validation!$A:$D,4,0)</f>
        <v>Améliorations Locatives</v>
      </c>
      <c r="W101" s="156" t="str">
        <f>+VLOOKUP($L101,Data_Validation!$A:$E,5,0)</f>
        <v>$</v>
      </c>
      <c r="X101" s="156">
        <f>+VLOOKUP($L101,Data_Validation!$A:$F,6,0)</f>
        <v>0</v>
      </c>
    </row>
    <row r="102" spans="1:24" ht="15" hidden="1" customHeight="1">
      <c r="A102" s="1002" t="s">
        <v>2397</v>
      </c>
      <c r="B102" s="1145">
        <v>1742</v>
      </c>
      <c r="C102" s="1004">
        <v>942882.53</v>
      </c>
      <c r="D102" s="1004">
        <v>0</v>
      </c>
      <c r="E102" s="1004">
        <v>942882.53</v>
      </c>
      <c r="F102" s="1002" t="s">
        <v>293</v>
      </c>
      <c r="G102" s="1002" t="s">
        <v>2125</v>
      </c>
      <c r="H102" s="938"/>
      <c r="I102" s="938"/>
      <c r="J102" s="938"/>
      <c r="K102" s="938"/>
      <c r="L102" s="153">
        <f t="shared" si="0"/>
        <v>1742</v>
      </c>
      <c r="M102" s="154" t="str">
        <f t="shared" si="1"/>
        <v>MACHINERIE &amp; EQUIPEMENT</v>
      </c>
      <c r="N102" s="155">
        <f>+IF(OR($Q102=Parametres!$G$2,$Q102=Parametres!$G$3),I102,C102)</f>
        <v>942882.53</v>
      </c>
      <c r="O102" s="575">
        <f>+IF(OR($Q102=Parametres!$G$2,$Q102=Parametres!$G$3),J102,D102)</f>
        <v>0</v>
      </c>
      <c r="P102" s="155">
        <f>+IF(OR($Q102=Parametres!$G$2,$Q102=Parametres!$G$3),K102,E102)</f>
        <v>942882.53</v>
      </c>
      <c r="Q102" s="154" t="str">
        <f t="shared" si="8"/>
        <v>2-Actifs</v>
      </c>
      <c r="R102" s="153" t="str">
        <f t="shared" si="8"/>
        <v>1700</v>
      </c>
      <c r="S102" s="154">
        <f t="shared" si="8"/>
        <v>0</v>
      </c>
      <c r="T102" s="156">
        <f>+VLOOKUP($L102,Data_Validation!$A:$D,1,0)</f>
        <v>1742</v>
      </c>
      <c r="U102" s="156" t="str">
        <f>+VLOOKUP($L102,Data_Validation!$A:$D,3,0)</f>
        <v>Bilan</v>
      </c>
      <c r="V102" s="156" t="str">
        <f>+VLOOKUP($L102,Data_Validation!$A:$D,4,0)</f>
        <v>Équipements Service</v>
      </c>
      <c r="W102" s="156" t="str">
        <f>+VLOOKUP($L102,Data_Validation!$A:$E,5,0)</f>
        <v>$</v>
      </c>
      <c r="X102" s="156">
        <f>+VLOOKUP($L102,Data_Validation!$A:$F,6,0)</f>
        <v>0</v>
      </c>
    </row>
    <row r="103" spans="1:24" ht="15.75" hidden="1" customHeight="1">
      <c r="A103" s="1002" t="s">
        <v>2123</v>
      </c>
      <c r="B103" s="1145">
        <v>1743</v>
      </c>
      <c r="C103" s="1004">
        <v>-753722.84</v>
      </c>
      <c r="D103" s="1004">
        <v>-3972</v>
      </c>
      <c r="E103" s="1004">
        <v>-757694.84</v>
      </c>
      <c r="F103" s="1002" t="s">
        <v>293</v>
      </c>
      <c r="G103" s="1002" t="s">
        <v>2125</v>
      </c>
      <c r="H103" s="938"/>
      <c r="I103" s="937"/>
      <c r="J103" s="937"/>
      <c r="K103" s="937"/>
      <c r="L103" s="153">
        <f t="shared" si="0"/>
        <v>1743</v>
      </c>
      <c r="M103" s="154" t="str">
        <f t="shared" si="1"/>
        <v>AMORTISS.MACHINERIE &amp; EQUIP.</v>
      </c>
      <c r="N103" s="155">
        <f>+IF(OR($Q103=Parametres!$G$2,$Q103=Parametres!$G$3),I103,C103)</f>
        <v>-753722.84</v>
      </c>
      <c r="O103" s="155">
        <f>+IF(OR($Q103=Parametres!$G$2,$Q103=Parametres!$G$3),J103,D103)</f>
        <v>-3972</v>
      </c>
      <c r="P103" s="155">
        <f>+IF(OR($Q103=Parametres!$G$2,$Q103=Parametres!$G$3),K103,E103)</f>
        <v>-757694.84</v>
      </c>
      <c r="Q103" s="154" t="str">
        <f t="shared" si="8"/>
        <v>2-Actifs</v>
      </c>
      <c r="R103" s="153" t="str">
        <f t="shared" si="8"/>
        <v>1700</v>
      </c>
      <c r="S103" s="154">
        <f t="shared" si="8"/>
        <v>0</v>
      </c>
      <c r="T103" s="156">
        <f>+VLOOKUP($L103,Data_Validation!$A:$D,1,0)</f>
        <v>1743</v>
      </c>
      <c r="U103" s="156" t="str">
        <f>+VLOOKUP($L103,Data_Validation!$A:$D,3,0)</f>
        <v>Bilan</v>
      </c>
      <c r="V103" s="156" t="str">
        <f>+VLOOKUP($L103,Data_Validation!$A:$D,4,0)</f>
        <v>Équipements Service</v>
      </c>
      <c r="W103" s="156" t="str">
        <f>+VLOOKUP($L103,Data_Validation!$A:$E,5,0)</f>
        <v>$</v>
      </c>
      <c r="X103" s="156">
        <f>+VLOOKUP($L103,Data_Validation!$A:$F,6,0)</f>
        <v>0</v>
      </c>
    </row>
    <row r="104" spans="1:24" ht="15" hidden="1" customHeight="1">
      <c r="A104" s="1002" t="s">
        <v>2399</v>
      </c>
      <c r="B104" s="1145">
        <v>1744</v>
      </c>
      <c r="C104" s="1004">
        <v>47461.59</v>
      </c>
      <c r="D104" s="1004">
        <v>0</v>
      </c>
      <c r="E104" s="1004">
        <v>47461.59</v>
      </c>
      <c r="F104" s="1002" t="s">
        <v>293</v>
      </c>
      <c r="G104" s="1002" t="s">
        <v>2125</v>
      </c>
      <c r="H104" s="938"/>
      <c r="I104" s="937"/>
      <c r="J104" s="937"/>
      <c r="K104" s="937"/>
      <c r="L104" s="153">
        <f t="shared" si="0"/>
        <v>1744</v>
      </c>
      <c r="M104" s="154" t="str">
        <f t="shared" si="1"/>
        <v>EQUIPEMENT PIECES</v>
      </c>
      <c r="N104" s="155">
        <f>+IF(OR($Q104=Parametres!$G$2,$Q104=Parametres!$G$3),I104,C104)</f>
        <v>47461.59</v>
      </c>
      <c r="O104" s="155">
        <f>+IF(OR($Q104=Parametres!$G$2,$Q104=Parametres!$G$3),J104,D104)</f>
        <v>0</v>
      </c>
      <c r="P104" s="155">
        <f>+IF(OR($Q104=Parametres!$G$2,$Q104=Parametres!$G$3),K104,E104)</f>
        <v>47461.59</v>
      </c>
      <c r="Q104" s="154" t="str">
        <f t="shared" si="8"/>
        <v>2-Actifs</v>
      </c>
      <c r="R104" s="153" t="str">
        <f t="shared" si="8"/>
        <v>1700</v>
      </c>
      <c r="S104" s="154">
        <f t="shared" si="8"/>
        <v>0</v>
      </c>
      <c r="T104" s="156">
        <f>+VLOOKUP($L104,Data_Validation!$A:$D,1,0)</f>
        <v>1744</v>
      </c>
      <c r="U104" s="156" t="str">
        <f>+VLOOKUP($L104,Data_Validation!$A:$D,3,0)</f>
        <v>Bilan</v>
      </c>
      <c r="V104" s="156" t="str">
        <f>+VLOOKUP($L104,Data_Validation!$A:$D,4,0)</f>
        <v>Équipements Service</v>
      </c>
      <c r="W104" s="156" t="str">
        <f>+VLOOKUP($L104,Data_Validation!$A:$E,5,0)</f>
        <v>$</v>
      </c>
      <c r="X104" s="156">
        <f>+VLOOKUP($L104,Data_Validation!$A:$F,6,0)</f>
        <v>0</v>
      </c>
    </row>
    <row r="105" spans="1:24" ht="15" hidden="1" customHeight="1">
      <c r="A105" s="1002" t="s">
        <v>2194</v>
      </c>
      <c r="B105" s="1145">
        <v>1745</v>
      </c>
      <c r="C105" s="1004">
        <v>-47293.48</v>
      </c>
      <c r="D105" s="1004">
        <v>-180</v>
      </c>
      <c r="E105" s="1004">
        <v>-47473.48</v>
      </c>
      <c r="F105" s="1002" t="s">
        <v>293</v>
      </c>
      <c r="G105" s="1002" t="s">
        <v>2125</v>
      </c>
      <c r="H105" s="938"/>
      <c r="I105" s="937"/>
      <c r="J105" s="937"/>
      <c r="K105" s="937"/>
      <c r="L105" s="153">
        <f t="shared" si="0"/>
        <v>1745</v>
      </c>
      <c r="M105" s="154" t="str">
        <f t="shared" si="1"/>
        <v>AMORTISS.EQUIPEMENTS PIECES</v>
      </c>
      <c r="N105" s="155">
        <f>+IF(OR($Q105=Parametres!$G$2,$Q105=Parametres!$G$3),I105,C105)</f>
        <v>-47293.48</v>
      </c>
      <c r="O105" s="155">
        <f>+IF(OR($Q105=Parametres!$G$2,$Q105=Parametres!$G$3),J105,D105)</f>
        <v>-180</v>
      </c>
      <c r="P105" s="155">
        <f>+IF(OR($Q105=Parametres!$G$2,$Q105=Parametres!$G$3),K105,E105)</f>
        <v>-47473.48</v>
      </c>
      <c r="Q105" s="154" t="str">
        <f t="shared" si="8"/>
        <v>2-Actifs</v>
      </c>
      <c r="R105" s="153" t="str">
        <f t="shared" si="8"/>
        <v>1700</v>
      </c>
      <c r="S105" s="154">
        <f t="shared" si="8"/>
        <v>0</v>
      </c>
      <c r="T105" s="156">
        <f>+VLOOKUP($L105,Data_Validation!$A:$D,1,0)</f>
        <v>1745</v>
      </c>
      <c r="U105" s="156" t="str">
        <f>+VLOOKUP($L105,Data_Validation!$A:$D,3,0)</f>
        <v>Bilan</v>
      </c>
      <c r="V105" s="156" t="str">
        <f>+VLOOKUP($L105,Data_Validation!$A:$D,4,0)</f>
        <v>Équipements Service</v>
      </c>
      <c r="W105" s="156" t="str">
        <f>+VLOOKUP($L105,Data_Validation!$A:$E,5,0)</f>
        <v>$</v>
      </c>
      <c r="X105" s="156">
        <f>+VLOOKUP($L105,Data_Validation!$A:$F,6,0)</f>
        <v>0</v>
      </c>
    </row>
    <row r="106" spans="1:24" ht="15" hidden="1" customHeight="1">
      <c r="A106" s="1002" t="s">
        <v>2401</v>
      </c>
      <c r="B106" s="1145">
        <v>1760</v>
      </c>
      <c r="C106" s="1004">
        <v>155280.23000000001</v>
      </c>
      <c r="D106" s="1004">
        <v>0</v>
      </c>
      <c r="E106" s="1004">
        <v>155280.23000000001</v>
      </c>
      <c r="F106" s="1002" t="s">
        <v>293</v>
      </c>
      <c r="G106" s="1002" t="s">
        <v>2125</v>
      </c>
      <c r="H106" s="938"/>
      <c r="I106" s="937"/>
      <c r="J106" s="937"/>
      <c r="K106" s="937"/>
      <c r="L106" s="153">
        <f t="shared" si="0"/>
        <v>1760</v>
      </c>
      <c r="M106" s="154" t="str">
        <f t="shared" si="1"/>
        <v>EQUIPEMENT TELEPHONIQUE</v>
      </c>
      <c r="N106" s="155">
        <f>+IF(OR($Q106=Parametres!$G$2,$Q106=Parametres!$G$3),I106,C106)</f>
        <v>155280.23000000001</v>
      </c>
      <c r="O106" s="575">
        <f>+IF(OR($Q106=Parametres!$G$2,$Q106=Parametres!$G$3),J106,D106)</f>
        <v>0</v>
      </c>
      <c r="P106" s="155">
        <f>+IF(OR($Q106=Parametres!$G$2,$Q106=Parametres!$G$3),K106,E106)</f>
        <v>155280.23000000001</v>
      </c>
      <c r="Q106" s="154" t="str">
        <f t="shared" si="8"/>
        <v>2-Actifs</v>
      </c>
      <c r="R106" s="153" t="str">
        <f t="shared" si="8"/>
        <v>1700</v>
      </c>
      <c r="S106" s="154">
        <f t="shared" si="8"/>
        <v>0</v>
      </c>
      <c r="T106" s="156">
        <f>+VLOOKUP($L106,Data_Validation!$A:$D,1,0)</f>
        <v>1760</v>
      </c>
      <c r="U106" s="156" t="str">
        <f>+VLOOKUP($L106,Data_Validation!$A:$D,3,0)</f>
        <v>Bilan</v>
      </c>
      <c r="V106" s="156" t="str">
        <f>+VLOOKUP($L106,Data_Validation!$A:$D,4,0)</f>
        <v>Équipements Téléphonique</v>
      </c>
      <c r="W106" s="156" t="str">
        <f>+VLOOKUP($L106,Data_Validation!$A:$E,5,0)</f>
        <v>$</v>
      </c>
      <c r="X106" s="156">
        <f>+VLOOKUP($L106,Data_Validation!$A:$F,6,0)</f>
        <v>0</v>
      </c>
    </row>
    <row r="107" spans="1:24" ht="15" hidden="1" customHeight="1">
      <c r="A107" s="1002" t="s">
        <v>2565</v>
      </c>
      <c r="B107" s="1145">
        <v>1761</v>
      </c>
      <c r="C107" s="1004">
        <v>-155280.23000000001</v>
      </c>
      <c r="D107" s="1004">
        <v>20</v>
      </c>
      <c r="E107" s="1004">
        <v>-155260.23000000001</v>
      </c>
      <c r="F107" s="1002" t="s">
        <v>293</v>
      </c>
      <c r="G107" s="1002" t="s">
        <v>2125</v>
      </c>
      <c r="H107" s="938"/>
      <c r="I107" s="937"/>
      <c r="J107" s="937"/>
      <c r="K107" s="937"/>
      <c r="L107" s="153">
        <f t="shared" si="0"/>
        <v>1761</v>
      </c>
      <c r="M107" s="154" t="str">
        <f t="shared" si="1"/>
        <v>AMORTISS.EQUIP.TELEPHONIQUES</v>
      </c>
      <c r="N107" s="155">
        <f>+IF(OR($Q107=Parametres!$G$2,$Q107=Parametres!$G$3),I107,C107)</f>
        <v>-155280.23000000001</v>
      </c>
      <c r="O107" s="155">
        <f>+IF(OR($Q107=Parametres!$G$2,$Q107=Parametres!$G$3),J107,D107)</f>
        <v>20</v>
      </c>
      <c r="P107" s="155">
        <f>+IF(OR($Q107=Parametres!$G$2,$Q107=Parametres!$G$3),K107,E107)</f>
        <v>-155260.23000000001</v>
      </c>
      <c r="Q107" s="154" t="str">
        <f t="shared" si="8"/>
        <v>2-Actifs</v>
      </c>
      <c r="R107" s="153" t="str">
        <f t="shared" si="8"/>
        <v>1700</v>
      </c>
      <c r="S107" s="154">
        <f t="shared" si="8"/>
        <v>0</v>
      </c>
      <c r="T107" s="156">
        <f>+VLOOKUP($L107,Data_Validation!$A:$D,1,0)</f>
        <v>1761</v>
      </c>
      <c r="U107" s="156" t="str">
        <f>+VLOOKUP($L107,Data_Validation!$A:$D,3,0)</f>
        <v>Bilan</v>
      </c>
      <c r="V107" s="156" t="str">
        <f>+VLOOKUP($L107,Data_Validation!$A:$D,4,0)</f>
        <v>Équipements Téléphonique</v>
      </c>
      <c r="W107" s="156" t="str">
        <f>+VLOOKUP($L107,Data_Validation!$A:$E,5,0)</f>
        <v>$</v>
      </c>
      <c r="X107" s="156">
        <f>+VLOOKUP($L107,Data_Validation!$A:$F,6,0)</f>
        <v>0</v>
      </c>
    </row>
    <row r="108" spans="1:24" ht="15" hidden="1" customHeight="1">
      <c r="A108" s="1002" t="s">
        <v>2403</v>
      </c>
      <c r="B108" s="1145">
        <v>1762</v>
      </c>
      <c r="C108" s="1004">
        <v>433206.49</v>
      </c>
      <c r="D108" s="1004">
        <v>0</v>
      </c>
      <c r="E108" s="1004">
        <v>433206.49</v>
      </c>
      <c r="F108" s="1002" t="s">
        <v>293</v>
      </c>
      <c r="G108" s="1002" t="s">
        <v>2125</v>
      </c>
      <c r="H108" s="938"/>
      <c r="I108" s="937"/>
      <c r="J108" s="937"/>
      <c r="K108" s="937"/>
      <c r="L108" s="153">
        <f t="shared" si="0"/>
        <v>1762</v>
      </c>
      <c r="M108" s="154" t="str">
        <f t="shared" si="1"/>
        <v>AMEUBLEMENT &amp; INSTR.</v>
      </c>
      <c r="N108" s="155">
        <f>+IF(OR($Q108=Parametres!$G$2,$Q108=Parametres!$G$3),I108,C108)</f>
        <v>433206.49</v>
      </c>
      <c r="O108" s="155">
        <f>+IF(OR($Q108=Parametres!$G$2,$Q108=Parametres!$G$3),J108,D108)</f>
        <v>0</v>
      </c>
      <c r="P108" s="155">
        <f>+IF(OR($Q108=Parametres!$G$2,$Q108=Parametres!$G$3),K108,E108)</f>
        <v>433206.49</v>
      </c>
      <c r="Q108" s="154" t="str">
        <f t="shared" si="8"/>
        <v>2-Actifs</v>
      </c>
      <c r="R108" s="153" t="str">
        <f t="shared" si="8"/>
        <v>1700</v>
      </c>
      <c r="S108" s="154">
        <f t="shared" si="8"/>
        <v>0</v>
      </c>
      <c r="T108" s="156">
        <f>+VLOOKUP($L108,Data_Validation!$A:$D,1,0)</f>
        <v>1762</v>
      </c>
      <c r="U108" s="156" t="str">
        <f>+VLOOKUP($L108,Data_Validation!$A:$D,3,0)</f>
        <v>Bilan</v>
      </c>
      <c r="V108" s="156" t="str">
        <f>+VLOOKUP($L108,Data_Validation!$A:$D,4,0)</f>
        <v>Mobilier</v>
      </c>
      <c r="W108" s="156" t="str">
        <f>+VLOOKUP($L108,Data_Validation!$A:$E,5,0)</f>
        <v>$</v>
      </c>
      <c r="X108" s="156">
        <f>+VLOOKUP($L108,Data_Validation!$A:$F,6,0)</f>
        <v>0</v>
      </c>
    </row>
    <row r="109" spans="1:24" ht="15.75" hidden="1" customHeight="1">
      <c r="A109" s="1002" t="s">
        <v>2160</v>
      </c>
      <c r="B109" s="1145">
        <v>1763</v>
      </c>
      <c r="C109" s="1004">
        <v>-396242.54</v>
      </c>
      <c r="D109" s="1004">
        <v>-1250</v>
      </c>
      <c r="E109" s="1004">
        <v>-397492.54</v>
      </c>
      <c r="F109" s="1002" t="s">
        <v>293</v>
      </c>
      <c r="G109" s="1002" t="s">
        <v>2125</v>
      </c>
      <c r="H109" s="938"/>
      <c r="I109" s="937"/>
      <c r="J109" s="937"/>
      <c r="K109" s="937"/>
      <c r="L109" s="153">
        <f t="shared" si="0"/>
        <v>1763</v>
      </c>
      <c r="M109" s="154" t="str">
        <f t="shared" si="1"/>
        <v>AMORTISS.AMEUBL.INSTR.</v>
      </c>
      <c r="N109" s="155">
        <f>+IF(OR($Q109=Parametres!$G$2,$Q109=Parametres!$G$3),I109,C109)</f>
        <v>-396242.54</v>
      </c>
      <c r="O109" s="575">
        <f>+IF(OR($Q109=Parametres!$G$2,$Q109=Parametres!$G$3),J109,D109)</f>
        <v>-1250</v>
      </c>
      <c r="P109" s="155">
        <f>+IF(OR($Q109=Parametres!$G$2,$Q109=Parametres!$G$3),K109,E109)</f>
        <v>-397492.54</v>
      </c>
      <c r="Q109" s="154" t="str">
        <f t="shared" si="8"/>
        <v>2-Actifs</v>
      </c>
      <c r="R109" s="153" t="str">
        <f t="shared" si="8"/>
        <v>1700</v>
      </c>
      <c r="S109" s="154">
        <f t="shared" si="8"/>
        <v>0</v>
      </c>
      <c r="T109" s="156">
        <f>+VLOOKUP($L109,Data_Validation!$A:$D,1,0)</f>
        <v>1763</v>
      </c>
      <c r="U109" s="156" t="str">
        <f>+VLOOKUP($L109,Data_Validation!$A:$D,3,0)</f>
        <v>Bilan</v>
      </c>
      <c r="V109" s="156" t="str">
        <f>+VLOOKUP($L109,Data_Validation!$A:$D,4,0)</f>
        <v>Mobilier</v>
      </c>
      <c r="W109" s="156" t="str">
        <f>+VLOOKUP($L109,Data_Validation!$A:$E,5,0)</f>
        <v>$</v>
      </c>
      <c r="X109" s="156">
        <f>+VLOOKUP($L109,Data_Validation!$A:$F,6,0)</f>
        <v>0</v>
      </c>
    </row>
    <row r="110" spans="1:24" ht="15" hidden="1" customHeight="1">
      <c r="A110" s="1002" t="s">
        <v>2405</v>
      </c>
      <c r="B110" s="1145">
        <v>1772</v>
      </c>
      <c r="C110" s="1004">
        <v>3987.88</v>
      </c>
      <c r="D110" s="1004">
        <v>0</v>
      </c>
      <c r="E110" s="1004">
        <v>3987.88</v>
      </c>
      <c r="F110" s="1002" t="s">
        <v>293</v>
      </c>
      <c r="G110" s="1002" t="s">
        <v>2125</v>
      </c>
      <c r="H110" s="938"/>
      <c r="I110" s="937"/>
      <c r="J110" s="937"/>
      <c r="K110" s="937"/>
      <c r="L110" s="153">
        <f t="shared" si="0"/>
        <v>1772</v>
      </c>
      <c r="M110" s="154" t="str">
        <f t="shared" si="1"/>
        <v>VEHICULES DE CIE</v>
      </c>
      <c r="N110" s="155">
        <f>+IF(OR($Q110=Parametres!$G$2,$Q110=Parametres!$G$3),I110,C110)</f>
        <v>3987.88</v>
      </c>
      <c r="O110" s="155">
        <f>+IF(OR($Q110=Parametres!$G$2,$Q110=Parametres!$G$3),J110,D110)</f>
        <v>0</v>
      </c>
      <c r="P110" s="155">
        <f>+IF(OR($Q110=Parametres!$G$2,$Q110=Parametres!$G$3),K110,E110)</f>
        <v>3987.88</v>
      </c>
      <c r="Q110" s="154" t="str">
        <f t="shared" si="8"/>
        <v>2-Actifs</v>
      </c>
      <c r="R110" s="153" t="str">
        <f t="shared" si="8"/>
        <v>1700</v>
      </c>
      <c r="S110" s="154">
        <f t="shared" si="8"/>
        <v>0</v>
      </c>
      <c r="T110" s="156">
        <f>+VLOOKUP($L110,Data_Validation!$A:$D,1,0)</f>
        <v>1772</v>
      </c>
      <c r="U110" s="156" t="str">
        <f>+VLOOKUP($L110,Data_Validation!$A:$D,3,0)</f>
        <v>Bilan</v>
      </c>
      <c r="V110" s="156" t="str">
        <f>+VLOOKUP($L110,Data_Validation!$A:$D,4,0)</f>
        <v>Équipements Service</v>
      </c>
      <c r="W110" s="156" t="str">
        <f>+VLOOKUP($L110,Data_Validation!$A:$E,5,0)</f>
        <v>$</v>
      </c>
      <c r="X110" s="156">
        <f>+VLOOKUP($L110,Data_Validation!$A:$F,6,0)</f>
        <v>0</v>
      </c>
    </row>
    <row r="111" spans="1:24" ht="15" hidden="1" customHeight="1">
      <c r="A111" s="1002" t="s">
        <v>2407</v>
      </c>
      <c r="B111" s="1145">
        <v>1773</v>
      </c>
      <c r="C111" s="1004">
        <v>-3987.88</v>
      </c>
      <c r="D111" s="1004">
        <v>0</v>
      </c>
      <c r="E111" s="1004">
        <v>-3987.88</v>
      </c>
      <c r="F111" s="1002" t="s">
        <v>293</v>
      </c>
      <c r="G111" s="1002" t="s">
        <v>2125</v>
      </c>
      <c r="H111" s="938"/>
      <c r="I111" s="937"/>
      <c r="J111" s="937"/>
      <c r="K111" s="937"/>
      <c r="L111" s="153">
        <f t="shared" si="0"/>
        <v>1773</v>
      </c>
      <c r="M111" s="154" t="str">
        <f t="shared" si="1"/>
        <v>DEPRECIATION &amp; AMORT.</v>
      </c>
      <c r="N111" s="155">
        <f>+IF(OR($Q111=Parametres!$G$2,$Q111=Parametres!$G$3),I111,C111)</f>
        <v>-3987.88</v>
      </c>
      <c r="O111" s="155">
        <f>+IF(OR($Q111=Parametres!$G$2,$Q111=Parametres!$G$3),J111,D111)</f>
        <v>0</v>
      </c>
      <c r="P111" s="155">
        <f>+IF(OR($Q111=Parametres!$G$2,$Q111=Parametres!$G$3),K111,E111)</f>
        <v>-3987.88</v>
      </c>
      <c r="Q111" s="154" t="str">
        <f t="shared" si="8"/>
        <v>2-Actifs</v>
      </c>
      <c r="R111" s="153" t="str">
        <f t="shared" si="8"/>
        <v>1700</v>
      </c>
      <c r="S111" s="154">
        <f t="shared" si="8"/>
        <v>0</v>
      </c>
      <c r="T111" s="156">
        <f>+VLOOKUP($L111,Data_Validation!$A:$D,1,0)</f>
        <v>1773</v>
      </c>
      <c r="U111" s="156" t="str">
        <f>+VLOOKUP($L111,Data_Validation!$A:$D,3,0)</f>
        <v>Bilan</v>
      </c>
      <c r="V111" s="156" t="str">
        <f>+VLOOKUP($L111,Data_Validation!$A:$D,4,0)</f>
        <v>Équipements Service</v>
      </c>
      <c r="W111" s="156" t="str">
        <f>+VLOOKUP($L111,Data_Validation!$A:$E,5,0)</f>
        <v>$</v>
      </c>
      <c r="X111" s="156">
        <f>+VLOOKUP($L111,Data_Validation!$A:$F,6,0)</f>
        <v>0</v>
      </c>
    </row>
    <row r="112" spans="1:24" ht="15" hidden="1" customHeight="1">
      <c r="A112" s="1002" t="s">
        <v>2563</v>
      </c>
      <c r="B112" s="1145">
        <v>1786</v>
      </c>
      <c r="C112" s="1004">
        <v>270585.31</v>
      </c>
      <c r="D112" s="1004">
        <v>0</v>
      </c>
      <c r="E112" s="1004">
        <v>270585.31</v>
      </c>
      <c r="F112" s="1002" t="s">
        <v>293</v>
      </c>
      <c r="G112" s="1002" t="s">
        <v>2125</v>
      </c>
      <c r="H112" s="938"/>
      <c r="I112" s="937"/>
      <c r="J112" s="937"/>
      <c r="K112" s="937"/>
      <c r="L112" s="153">
        <f t="shared" si="0"/>
        <v>1786</v>
      </c>
      <c r="M112" s="154" t="str">
        <f t="shared" si="1"/>
        <v>EQUIPEMENT INFORMATIQUE</v>
      </c>
      <c r="N112" s="155">
        <f>+IF(OR($Q112=Parametres!$G$2,$Q112=Parametres!$G$3),I112,C112)</f>
        <v>270585.31</v>
      </c>
      <c r="O112" s="155">
        <f>+IF(OR($Q112=Parametres!$G$2,$Q112=Parametres!$G$3),J112,D112)</f>
        <v>0</v>
      </c>
      <c r="P112" s="155">
        <f>+IF(OR($Q112=Parametres!$G$2,$Q112=Parametres!$G$3),K112,E112)</f>
        <v>270585.31</v>
      </c>
      <c r="Q112" s="154" t="str">
        <f t="shared" si="8"/>
        <v>2-Actifs</v>
      </c>
      <c r="R112" s="153" t="str">
        <f t="shared" si="8"/>
        <v>1700</v>
      </c>
      <c r="S112" s="154">
        <f t="shared" si="8"/>
        <v>0</v>
      </c>
      <c r="T112" s="156">
        <f>+VLOOKUP($L112,Data_Validation!$A:$D,1,0)</f>
        <v>1786</v>
      </c>
      <c r="U112" s="156" t="str">
        <f>+VLOOKUP($L112,Data_Validation!$A:$D,3,0)</f>
        <v>Bilan</v>
      </c>
      <c r="V112" s="156" t="str">
        <f>+VLOOKUP($L112,Data_Validation!$A:$D,4,0)</f>
        <v>Équipements Informatique</v>
      </c>
      <c r="W112" s="156" t="str">
        <f>+VLOOKUP($L112,Data_Validation!$A:$E,5,0)</f>
        <v>$</v>
      </c>
      <c r="X112" s="156">
        <f>+VLOOKUP($L112,Data_Validation!$A:$F,6,0)</f>
        <v>0</v>
      </c>
    </row>
    <row r="113" spans="1:24" ht="15.75" hidden="1" customHeight="1">
      <c r="A113" s="1002" t="s">
        <v>2151</v>
      </c>
      <c r="B113" s="1145">
        <v>1787</v>
      </c>
      <c r="C113" s="1004">
        <v>-244304.65</v>
      </c>
      <c r="D113" s="1004">
        <v>-1870</v>
      </c>
      <c r="E113" s="1004">
        <v>-246174.65</v>
      </c>
      <c r="F113" s="1002" t="s">
        <v>293</v>
      </c>
      <c r="G113" s="1002" t="s">
        <v>2125</v>
      </c>
      <c r="H113" s="938"/>
      <c r="I113" s="937"/>
      <c r="J113" s="937"/>
      <c r="K113" s="937"/>
      <c r="L113" s="153">
        <f t="shared" si="0"/>
        <v>1787</v>
      </c>
      <c r="M113" s="154" t="str">
        <f t="shared" si="1"/>
        <v>AMORTISS.EQUIP.INFORMATIQUES</v>
      </c>
      <c r="N113" s="155">
        <f>+IF(OR($Q113=Parametres!$G$2,$Q113=Parametres!$G$3),I113,C113)</f>
        <v>-244304.65</v>
      </c>
      <c r="O113" s="575">
        <f>+IF(OR($Q113=Parametres!$G$2,$Q113=Parametres!$G$3),J113,D113)</f>
        <v>-1870</v>
      </c>
      <c r="P113" s="155">
        <f>+IF(OR($Q113=Parametres!$G$2,$Q113=Parametres!$G$3),K113,E113)</f>
        <v>-246174.65</v>
      </c>
      <c r="Q113" s="154" t="str">
        <f t="shared" si="8"/>
        <v>2-Actifs</v>
      </c>
      <c r="R113" s="153" t="str">
        <f t="shared" si="8"/>
        <v>1700</v>
      </c>
      <c r="S113" s="154">
        <f t="shared" si="8"/>
        <v>0</v>
      </c>
      <c r="T113" s="156">
        <f>+VLOOKUP($L113,Data_Validation!$A:$D,1,0)</f>
        <v>1787</v>
      </c>
      <c r="U113" s="156" t="str">
        <f>+VLOOKUP($L113,Data_Validation!$A:$D,3,0)</f>
        <v>Bilan</v>
      </c>
      <c r="V113" s="156" t="str">
        <f>+VLOOKUP($L113,Data_Validation!$A:$D,4,0)</f>
        <v>Équipements Informatique</v>
      </c>
      <c r="W113" s="156" t="str">
        <f>+VLOOKUP($L113,Data_Validation!$A:$E,5,0)</f>
        <v>$</v>
      </c>
      <c r="X113" s="156">
        <f>+VLOOKUP($L113,Data_Validation!$A:$F,6,0)</f>
        <v>0</v>
      </c>
    </row>
    <row r="114" spans="1:24" ht="15" hidden="1" customHeight="1">
      <c r="A114" s="1002" t="s">
        <v>822</v>
      </c>
      <c r="B114" s="1145">
        <v>1792</v>
      </c>
      <c r="C114" s="1004">
        <v>119393.66</v>
      </c>
      <c r="D114" s="1004">
        <v>0</v>
      </c>
      <c r="E114" s="1004">
        <v>119393.66</v>
      </c>
      <c r="F114" s="1002" t="s">
        <v>293</v>
      </c>
      <c r="G114" s="1002" t="s">
        <v>2125</v>
      </c>
      <c r="H114" s="938"/>
      <c r="I114" s="937"/>
      <c r="J114" s="937"/>
      <c r="K114" s="937"/>
      <c r="L114" s="153">
        <f t="shared" si="0"/>
        <v>1792</v>
      </c>
      <c r="M114" s="579" t="str">
        <f t="shared" si="1"/>
        <v>ENSEIGNES</v>
      </c>
      <c r="N114" s="155">
        <f>+IF(OR($Q114=Parametres!$G$2,$Q114=Parametres!$G$3),I114,C114)</f>
        <v>119393.66</v>
      </c>
      <c r="O114" s="580">
        <f>+IF(OR($Q114=Parametres!$G$2,$Q114=Parametres!$G$3),J114,D114)</f>
        <v>0</v>
      </c>
      <c r="P114" s="581">
        <f>+IF(OR($Q114=Parametres!$G$2,$Q114=Parametres!$G$3),K114,E114)</f>
        <v>119393.66</v>
      </c>
      <c r="Q114" s="154" t="str">
        <f t="shared" ref="Q114:S129" si="9">+F114</f>
        <v>2-Actifs</v>
      </c>
      <c r="R114" s="153" t="str">
        <f t="shared" si="9"/>
        <v>1700</v>
      </c>
      <c r="S114" s="154">
        <f t="shared" si="9"/>
        <v>0</v>
      </c>
      <c r="T114" s="156">
        <f>+VLOOKUP($L114,Data_Validation!$A:$D,1,0)</f>
        <v>1792</v>
      </c>
      <c r="U114" s="156" t="str">
        <f>+VLOOKUP($L114,Data_Validation!$A:$D,3,0)</f>
        <v>Bilan</v>
      </c>
      <c r="V114" s="156" t="str">
        <f>+VLOOKUP($L114,Data_Validation!$A:$D,4,0)</f>
        <v>Enseigne</v>
      </c>
      <c r="W114" s="156" t="str">
        <f>+VLOOKUP($L114,Data_Validation!$A:$E,5,0)</f>
        <v>$</v>
      </c>
      <c r="X114" s="156">
        <f>+VLOOKUP($L114,Data_Validation!$A:$F,6,0)</f>
        <v>0</v>
      </c>
    </row>
    <row r="115" spans="1:24" ht="15" hidden="1" customHeight="1">
      <c r="A115" s="1002" t="s">
        <v>2192</v>
      </c>
      <c r="B115" s="1145">
        <v>1793</v>
      </c>
      <c r="C115" s="1004">
        <v>-119393.65</v>
      </c>
      <c r="D115" s="1004">
        <v>-185</v>
      </c>
      <c r="E115" s="1004">
        <v>-119578.65</v>
      </c>
      <c r="F115" s="1002" t="s">
        <v>293</v>
      </c>
      <c r="G115" s="1002" t="s">
        <v>2125</v>
      </c>
      <c r="H115" s="938"/>
      <c r="I115" s="937"/>
      <c r="J115" s="937"/>
      <c r="K115" s="937"/>
      <c r="L115" s="153">
        <f t="shared" si="0"/>
        <v>1793</v>
      </c>
      <c r="M115" s="154" t="str">
        <f t="shared" si="1"/>
        <v>AMORT. CUM. ENSEIGNES</v>
      </c>
      <c r="N115" s="155">
        <f>+IF(OR($Q115=Parametres!$G$2,$Q115=Parametres!$G$3),I115,C115)</f>
        <v>-119393.65</v>
      </c>
      <c r="O115" s="155">
        <f>+IF(OR($Q115=Parametres!$G$2,$Q115=Parametres!$G$3),J115,D115)</f>
        <v>-185</v>
      </c>
      <c r="P115" s="155">
        <f>+IF(OR($Q115=Parametres!$G$2,$Q115=Parametres!$G$3),K115,E115)</f>
        <v>-119578.65</v>
      </c>
      <c r="Q115" s="154" t="str">
        <f t="shared" si="9"/>
        <v>2-Actifs</v>
      </c>
      <c r="R115" s="153" t="str">
        <f t="shared" si="9"/>
        <v>1700</v>
      </c>
      <c r="S115" s="154">
        <f t="shared" si="9"/>
        <v>0</v>
      </c>
      <c r="T115" s="156">
        <f>+VLOOKUP($L115,Data_Validation!$A:$D,1,0)</f>
        <v>1793</v>
      </c>
      <c r="U115" s="156" t="str">
        <f>+VLOOKUP($L115,Data_Validation!$A:$D,3,0)</f>
        <v>Bilan</v>
      </c>
      <c r="V115" s="156" t="str">
        <f>+VLOOKUP($L115,Data_Validation!$A:$D,4,0)</f>
        <v>Enseigne</v>
      </c>
      <c r="W115" s="156" t="str">
        <f>+VLOOKUP($L115,Data_Validation!$A:$E,5,0)</f>
        <v>$</v>
      </c>
      <c r="X115" s="156">
        <f>+VLOOKUP($L115,Data_Validation!$A:$F,6,0)</f>
        <v>0</v>
      </c>
    </row>
    <row r="116" spans="1:24" ht="15" hidden="1" customHeight="1">
      <c r="A116" s="1002" t="s">
        <v>2410</v>
      </c>
      <c r="B116" s="1145">
        <v>1804</v>
      </c>
      <c r="C116" s="1004">
        <v>1623600</v>
      </c>
      <c r="D116" s="1004">
        <v>0</v>
      </c>
      <c r="E116" s="1004">
        <v>1623600</v>
      </c>
      <c r="F116" s="1002" t="s">
        <v>293</v>
      </c>
      <c r="G116" s="1002" t="s">
        <v>2411</v>
      </c>
      <c r="H116" s="938"/>
      <c r="I116" s="937"/>
      <c r="J116" s="937"/>
      <c r="K116" s="937"/>
      <c r="L116" s="153">
        <f t="shared" si="0"/>
        <v>1804</v>
      </c>
      <c r="M116" s="154" t="str">
        <f t="shared" si="1"/>
        <v>RECEVABLE-PROP. &amp; EMPL.</v>
      </c>
      <c r="N116" s="155">
        <f>+IF(OR($Q116=Parametres!$G$2,$Q116=Parametres!$G$3),I116,C116)</f>
        <v>1623600</v>
      </c>
      <c r="O116" s="155">
        <f>+IF(OR($Q116=Parametres!$G$2,$Q116=Parametres!$G$3),J116,D116)</f>
        <v>0</v>
      </c>
      <c r="P116" s="155">
        <f>+IF(OR($Q116=Parametres!$G$2,$Q116=Parametres!$G$3),K116,E116)</f>
        <v>1623600</v>
      </c>
      <c r="Q116" s="154" t="str">
        <f t="shared" si="9"/>
        <v>2-Actifs</v>
      </c>
      <c r="R116" s="153" t="str">
        <f t="shared" si="9"/>
        <v>1804</v>
      </c>
      <c r="S116" s="154">
        <f t="shared" si="9"/>
        <v>0</v>
      </c>
      <c r="T116" s="156">
        <f>+VLOOKUP($L116,Data_Validation!$A:$D,1,0)</f>
        <v>1804</v>
      </c>
      <c r="U116" s="156" t="str">
        <f>+VLOOKUP($L116,Data_Validation!$A:$D,3,0)</f>
        <v>Bilan</v>
      </c>
      <c r="V116" s="156" t="str">
        <f>+VLOOKUP($L116,Data_Validation!$A:$D,4,0)</f>
        <v>Avances à Recevoir Long Terme</v>
      </c>
      <c r="W116" s="156" t="str">
        <f>+VLOOKUP($L116,Data_Validation!$A:$E,5,0)</f>
        <v>$</v>
      </c>
      <c r="X116" s="156">
        <f>+VLOOKUP($L116,Data_Validation!$A:$F,6,0)</f>
        <v>0</v>
      </c>
    </row>
    <row r="117" spans="1:24" ht="15.75" hidden="1" customHeight="1">
      <c r="A117" s="1002" t="s">
        <v>2747</v>
      </c>
      <c r="B117" s="1145">
        <v>1806</v>
      </c>
      <c r="C117" s="1004">
        <v>1633.63</v>
      </c>
      <c r="D117" s="1004">
        <v>-921.6</v>
      </c>
      <c r="E117" s="1004">
        <v>712.03</v>
      </c>
      <c r="F117" s="1002" t="s">
        <v>293</v>
      </c>
      <c r="G117" s="1002" t="s">
        <v>2618</v>
      </c>
      <c r="H117" s="938"/>
      <c r="I117" s="937"/>
      <c r="J117" s="937"/>
      <c r="K117" s="937"/>
      <c r="L117" s="153">
        <f t="shared" si="0"/>
        <v>1806</v>
      </c>
      <c r="M117" s="579" t="str">
        <f t="shared" si="1"/>
        <v>FINANCEMENT RECEVABLE</v>
      </c>
      <c r="N117" s="155">
        <f>+IF(OR($Q117=Parametres!$G$2,$Q117=Parametres!$G$3),I117,C117)</f>
        <v>1633.63</v>
      </c>
      <c r="O117" s="580">
        <f>+IF(OR($Q117=Parametres!$G$2,$Q117=Parametres!$G$3),J117,D117)</f>
        <v>-921.6</v>
      </c>
      <c r="P117" s="581">
        <f>+IF(OR($Q117=Parametres!$G$2,$Q117=Parametres!$G$3),K117,E117)</f>
        <v>712.03</v>
      </c>
      <c r="Q117" s="154" t="str">
        <f t="shared" si="9"/>
        <v>2-Actifs</v>
      </c>
      <c r="R117" s="153" t="str">
        <f t="shared" si="9"/>
        <v>1382</v>
      </c>
      <c r="S117" s="154">
        <f t="shared" si="9"/>
        <v>0</v>
      </c>
      <c r="T117" s="156">
        <f>+VLOOKUP($L117,Data_Validation!$A:$D,1,0)</f>
        <v>1806</v>
      </c>
      <c r="U117" s="156" t="str">
        <f>+VLOOKUP($L117,Data_Validation!$A:$D,3,0)</f>
        <v>Bilan</v>
      </c>
      <c r="V117" s="156" t="str">
        <f>+VLOOKUP($L117,Data_Validation!$A:$D,4,0)</f>
        <v>Recevables Autres</v>
      </c>
      <c r="W117" s="156" t="str">
        <f>+VLOOKUP($L117,Data_Validation!$A:$E,5,0)</f>
        <v>$</v>
      </c>
      <c r="X117" s="156">
        <f>+VLOOKUP($L117,Data_Validation!$A:$F,6,0)</f>
        <v>0</v>
      </c>
    </row>
    <row r="118" spans="1:24" ht="15" hidden="1" customHeight="1">
      <c r="A118" s="1002" t="s">
        <v>2841</v>
      </c>
      <c r="B118" s="1145">
        <v>2101</v>
      </c>
      <c r="C118" s="1004">
        <v>-3887653.04</v>
      </c>
      <c r="D118" s="1004">
        <v>-495824.9</v>
      </c>
      <c r="E118" s="1004">
        <v>-4383477.9400000004</v>
      </c>
      <c r="F118" s="1002" t="s">
        <v>282</v>
      </c>
      <c r="G118" s="1002" t="s">
        <v>2842</v>
      </c>
      <c r="H118" s="938"/>
      <c r="I118" s="937"/>
      <c r="J118" s="937"/>
      <c r="K118" s="937"/>
      <c r="L118" s="153">
        <f t="shared" si="0"/>
        <v>2101</v>
      </c>
      <c r="M118" s="154" t="str">
        <f t="shared" si="1"/>
        <v>NOTE A PAYER VEH. NEUFS VOLKS</v>
      </c>
      <c r="N118" s="155">
        <f>+IF(OR($Q118=Parametres!$G$2,$Q118=Parametres!$G$3),I118,C118)</f>
        <v>-3887653.04</v>
      </c>
      <c r="O118" s="575">
        <f>+IF(OR($Q118=Parametres!$G$2,$Q118=Parametres!$G$3),J118,D118)</f>
        <v>-495824.9</v>
      </c>
      <c r="P118" s="155">
        <f>+IF(OR($Q118=Parametres!$G$2,$Q118=Parametres!$G$3),K118,E118)</f>
        <v>-4383477.9400000004</v>
      </c>
      <c r="Q118" s="154" t="str">
        <f t="shared" si="9"/>
        <v>3-Passifs</v>
      </c>
      <c r="R118" s="153" t="str">
        <f t="shared" si="9"/>
        <v>2101</v>
      </c>
      <c r="S118" s="154">
        <f t="shared" si="9"/>
        <v>0</v>
      </c>
      <c r="T118" s="156">
        <f>+VLOOKUP($L118,Data_Validation!$A:$D,1,0)</f>
        <v>2101</v>
      </c>
      <c r="U118" s="156" t="str">
        <f>+VLOOKUP($L118,Data_Validation!$A:$D,3,0)</f>
        <v>Bilan</v>
      </c>
      <c r="V118" s="156" t="str">
        <f>+VLOOKUP($L118,Data_Validation!$A:$D,4,0)</f>
        <v>Effet à Payer Véhicules Neufs</v>
      </c>
      <c r="W118" s="156" t="str">
        <f>+VLOOKUP($L118,Data_Validation!$A:$E,5,0)</f>
        <v>$</v>
      </c>
      <c r="X118" s="156">
        <f>+VLOOKUP($L118,Data_Validation!$A:$F,6,0)</f>
        <v>0</v>
      </c>
    </row>
    <row r="119" spans="1:24" ht="15" hidden="1" customHeight="1">
      <c r="A119" s="1002" t="s">
        <v>2033</v>
      </c>
      <c r="B119" s="1145">
        <v>2103</v>
      </c>
      <c r="C119" s="1004">
        <v>-293422.46999999997</v>
      </c>
      <c r="D119" s="1004">
        <v>-52073.33</v>
      </c>
      <c r="E119" s="1004">
        <v>-345495.8</v>
      </c>
      <c r="F119" s="1002" t="s">
        <v>282</v>
      </c>
      <c r="G119" s="1002" t="s">
        <v>2034</v>
      </c>
      <c r="H119" s="938"/>
      <c r="I119" s="937"/>
      <c r="J119" s="937"/>
      <c r="K119" s="937"/>
      <c r="L119" s="153">
        <f t="shared" si="0"/>
        <v>2103</v>
      </c>
      <c r="M119" s="154" t="str">
        <f t="shared" si="1"/>
        <v>NOTE PAYABLE-FIN. VEH. USAG.</v>
      </c>
      <c r="N119" s="155">
        <f>+IF(OR($Q119=Parametres!$G$2,$Q119=Parametres!$G$3),I119,C119)</f>
        <v>-293422.46999999997</v>
      </c>
      <c r="O119" s="575">
        <f>+IF(OR($Q119=Parametres!$G$2,$Q119=Parametres!$G$3),J119,D119)</f>
        <v>-52073.33</v>
      </c>
      <c r="P119" s="155">
        <f>+IF(OR($Q119=Parametres!$G$2,$Q119=Parametres!$G$3),K119,E119)</f>
        <v>-345495.8</v>
      </c>
      <c r="Q119" s="154" t="str">
        <f t="shared" si="9"/>
        <v>3-Passifs</v>
      </c>
      <c r="R119" s="153" t="str">
        <f t="shared" si="9"/>
        <v>2103</v>
      </c>
      <c r="S119" s="154">
        <f t="shared" si="9"/>
        <v>0</v>
      </c>
      <c r="T119" s="156">
        <f>+VLOOKUP($L119,Data_Validation!$A:$D,1,0)</f>
        <v>2103</v>
      </c>
      <c r="U119" s="156" t="str">
        <f>+VLOOKUP($L119,Data_Validation!$A:$D,3,0)</f>
        <v>Bilan</v>
      </c>
      <c r="V119" s="156" t="str">
        <f>+VLOOKUP($L119,Data_Validation!$A:$D,4,0)</f>
        <v>Effet à Payer Véhicules Usagés</v>
      </c>
      <c r="W119" s="156" t="str">
        <f>+VLOOKUP($L119,Data_Validation!$A:$E,5,0)</f>
        <v>$</v>
      </c>
      <c r="X119" s="156">
        <f>+VLOOKUP($L119,Data_Validation!$A:$F,6,0)</f>
        <v>0</v>
      </c>
    </row>
    <row r="120" spans="1:24" ht="15" hidden="1" customHeight="1">
      <c r="A120" s="1002" t="s">
        <v>2412</v>
      </c>
      <c r="B120" s="1145">
        <v>2131</v>
      </c>
      <c r="C120" s="1004">
        <v>-15810</v>
      </c>
      <c r="D120" s="1004">
        <v>0</v>
      </c>
      <c r="E120" s="1004">
        <v>-15810</v>
      </c>
      <c r="F120" s="1002" t="s">
        <v>282</v>
      </c>
      <c r="G120" s="1002" t="s">
        <v>2413</v>
      </c>
      <c r="H120" s="938"/>
      <c r="I120" s="937"/>
      <c r="J120" s="937"/>
      <c r="K120" s="937"/>
      <c r="L120" s="153">
        <f t="shared" si="0"/>
        <v>2131</v>
      </c>
      <c r="M120" s="154" t="str">
        <f t="shared" si="1"/>
        <v>PORTION COURANTE PRET</v>
      </c>
      <c r="N120" s="155">
        <f>+IF(OR($Q120=Parametres!$G$2,$Q120=Parametres!$G$3),I120,C120)</f>
        <v>-15810</v>
      </c>
      <c r="O120" s="155">
        <f>+IF(OR($Q120=Parametres!$G$2,$Q120=Parametres!$G$3),J120,D120)</f>
        <v>0</v>
      </c>
      <c r="P120" s="155">
        <f>+IF(OR($Q120=Parametres!$G$2,$Q120=Parametres!$G$3),K120,E120)</f>
        <v>-15810</v>
      </c>
      <c r="Q120" s="154" t="str">
        <f t="shared" si="9"/>
        <v>3-Passifs</v>
      </c>
      <c r="R120" s="153" t="str">
        <f t="shared" si="9"/>
        <v>2131</v>
      </c>
      <c r="S120" s="154">
        <f t="shared" si="9"/>
        <v>0</v>
      </c>
      <c r="T120" s="156">
        <f>+VLOOKUP($L120,Data_Validation!$A:$D,1,0)</f>
        <v>2131</v>
      </c>
      <c r="U120" s="156" t="str">
        <f>+VLOOKUP($L120,Data_Validation!$A:$D,3,0)</f>
        <v>Bilan</v>
      </c>
      <c r="V120" s="156" t="str">
        <f>+VLOOKUP($L120,Data_Validation!$A:$D,4,0)</f>
        <v>Portion Court Terme de la Dette Long Terme</v>
      </c>
      <c r="W120" s="156" t="str">
        <f>+VLOOKUP($L120,Data_Validation!$A:$E,5,0)</f>
        <v>$</v>
      </c>
      <c r="X120" s="156">
        <f>+VLOOKUP($L120,Data_Validation!$A:$F,6,0)</f>
        <v>0</v>
      </c>
    </row>
    <row r="121" spans="1:24" ht="15" hidden="1" customHeight="1">
      <c r="A121" s="1002" t="s">
        <v>2053</v>
      </c>
      <c r="B121" s="1145">
        <v>2221</v>
      </c>
      <c r="C121" s="1004">
        <v>-52561.9</v>
      </c>
      <c r="D121" s="1004">
        <v>-9966.69</v>
      </c>
      <c r="E121" s="1004">
        <v>-62528.59</v>
      </c>
      <c r="F121" s="1002" t="s">
        <v>282</v>
      </c>
      <c r="G121" s="1002" t="s">
        <v>2054</v>
      </c>
      <c r="H121" s="938"/>
      <c r="I121" s="937"/>
      <c r="J121" s="937"/>
      <c r="K121" s="937"/>
      <c r="L121" s="153">
        <f t="shared" si="0"/>
        <v>2221</v>
      </c>
      <c r="M121" s="154" t="str">
        <f t="shared" si="1"/>
        <v>TVQ A PAYER</v>
      </c>
      <c r="N121" s="155">
        <f>+IF(OR($Q121=Parametres!$G$2,$Q121=Parametres!$G$3),I121,C121)</f>
        <v>-52561.9</v>
      </c>
      <c r="O121" s="155">
        <f>+IF(OR($Q121=Parametres!$G$2,$Q121=Parametres!$G$3),J121,D121)</f>
        <v>-9966.69</v>
      </c>
      <c r="P121" s="155">
        <f>+IF(OR($Q121=Parametres!$G$2,$Q121=Parametres!$G$3),K121,E121)</f>
        <v>-62528.59</v>
      </c>
      <c r="Q121" s="154" t="str">
        <f t="shared" si="9"/>
        <v>3-Passifs</v>
      </c>
      <c r="R121" s="153" t="str">
        <f t="shared" si="9"/>
        <v>2221</v>
      </c>
      <c r="S121" s="154">
        <f t="shared" si="9"/>
        <v>0</v>
      </c>
      <c r="T121" s="156">
        <f>+VLOOKUP($L121,Data_Validation!$A:$D,1,0)</f>
        <v>2221</v>
      </c>
      <c r="U121" s="156" t="str">
        <f>+VLOOKUP($L121,Data_Validation!$A:$D,3,0)</f>
        <v>Bilan</v>
      </c>
      <c r="V121" s="156" t="str">
        <f>+VLOOKUP($L121,Data_Validation!$A:$D,4,0)</f>
        <v>Taxes de Vente à Payer</v>
      </c>
      <c r="W121" s="156" t="str">
        <f>+VLOOKUP($L121,Data_Validation!$A:$E,5,0)</f>
        <v>$</v>
      </c>
      <c r="X121" s="156">
        <f>+VLOOKUP($L121,Data_Validation!$A:$F,6,0)</f>
        <v>0</v>
      </c>
    </row>
    <row r="122" spans="1:24" ht="15" hidden="1" customHeight="1">
      <c r="A122" s="1002" t="s">
        <v>2791</v>
      </c>
      <c r="B122" s="1145">
        <v>2222</v>
      </c>
      <c r="C122" s="1004">
        <v>48523</v>
      </c>
      <c r="D122" s="1004">
        <v>-23722.45</v>
      </c>
      <c r="E122" s="1004">
        <v>24800.55</v>
      </c>
      <c r="F122" s="1002" t="s">
        <v>282</v>
      </c>
      <c r="G122" s="1002" t="s">
        <v>2054</v>
      </c>
      <c r="H122" s="938"/>
      <c r="I122" s="937"/>
      <c r="J122" s="937"/>
      <c r="K122" s="937"/>
      <c r="L122" s="153">
        <f t="shared" si="0"/>
        <v>2222</v>
      </c>
      <c r="M122" s="154" t="str">
        <f t="shared" si="1"/>
        <v>TVQ A RECEVOIR</v>
      </c>
      <c r="N122" s="155">
        <f>+IF(OR($Q122=Parametres!$G$2,$Q122=Parametres!$G$3),I122,C122)</f>
        <v>48523</v>
      </c>
      <c r="O122" s="155">
        <f>+IF(OR($Q122=Parametres!$G$2,$Q122=Parametres!$G$3),J122,D122)</f>
        <v>-23722.45</v>
      </c>
      <c r="P122" s="155">
        <f>+IF(OR($Q122=Parametres!$G$2,$Q122=Parametres!$G$3),K122,E122)</f>
        <v>24800.55</v>
      </c>
      <c r="Q122" s="154" t="str">
        <f t="shared" si="9"/>
        <v>3-Passifs</v>
      </c>
      <c r="R122" s="153" t="str">
        <f t="shared" si="9"/>
        <v>2221</v>
      </c>
      <c r="S122" s="154">
        <f t="shared" si="9"/>
        <v>0</v>
      </c>
      <c r="T122" s="156">
        <f>+VLOOKUP($L122,Data_Validation!$A:$D,1,0)</f>
        <v>2222</v>
      </c>
      <c r="U122" s="156" t="str">
        <f>+VLOOKUP($L122,Data_Validation!$A:$D,3,0)</f>
        <v>Bilan</v>
      </c>
      <c r="V122" s="156" t="str">
        <f>+VLOOKUP($L122,Data_Validation!$A:$D,4,0)</f>
        <v>Taxes de Vente à Payer</v>
      </c>
      <c r="W122" s="156" t="str">
        <f>+VLOOKUP($L122,Data_Validation!$A:$E,5,0)</f>
        <v>$</v>
      </c>
      <c r="X122" s="156">
        <f>+VLOOKUP($L122,Data_Validation!$A:$F,6,0)</f>
        <v>0</v>
      </c>
    </row>
    <row r="123" spans="1:24" ht="15.75" hidden="1" customHeight="1">
      <c r="A123" s="1002" t="s">
        <v>2808</v>
      </c>
      <c r="B123" s="1145">
        <v>2223</v>
      </c>
      <c r="C123" s="1004">
        <v>-116529.4</v>
      </c>
      <c r="D123" s="1004">
        <v>20652.900000000001</v>
      </c>
      <c r="E123" s="1004">
        <v>-95876.5</v>
      </c>
      <c r="F123" s="1002" t="s">
        <v>282</v>
      </c>
      <c r="G123" s="1002" t="s">
        <v>2063</v>
      </c>
      <c r="H123" s="938"/>
      <c r="I123" s="937"/>
      <c r="J123" s="937"/>
      <c r="K123" s="937"/>
      <c r="L123" s="153">
        <f t="shared" si="0"/>
        <v>2223</v>
      </c>
      <c r="M123" s="154" t="str">
        <f t="shared" si="1"/>
        <v>TPS A PAYER</v>
      </c>
      <c r="N123" s="155">
        <f>+IF(OR($Q123=Parametres!$G$2,$Q123=Parametres!$G$3),I123,C123)</f>
        <v>-116529.4</v>
      </c>
      <c r="O123" s="155">
        <f>+IF(OR($Q123=Parametres!$G$2,$Q123=Parametres!$G$3),J123,D123)</f>
        <v>20652.900000000001</v>
      </c>
      <c r="P123" s="155">
        <f>+IF(OR($Q123=Parametres!$G$2,$Q123=Parametres!$G$3),K123,E123)</f>
        <v>-95876.5</v>
      </c>
      <c r="Q123" s="154" t="str">
        <f t="shared" si="9"/>
        <v>3-Passifs</v>
      </c>
      <c r="R123" s="153" t="str">
        <f t="shared" si="9"/>
        <v>2223</v>
      </c>
      <c r="S123" s="154">
        <f t="shared" si="9"/>
        <v>0</v>
      </c>
      <c r="T123" s="156">
        <f>+VLOOKUP($L123,Data_Validation!$A:$D,1,0)</f>
        <v>2223</v>
      </c>
      <c r="U123" s="156" t="str">
        <f>+VLOOKUP($L123,Data_Validation!$A:$D,3,0)</f>
        <v>Bilan</v>
      </c>
      <c r="V123" s="156" t="str">
        <f>+VLOOKUP($L123,Data_Validation!$A:$D,4,0)</f>
        <v>Taxes de Vente à Payer</v>
      </c>
      <c r="W123" s="156" t="str">
        <f>+VLOOKUP($L123,Data_Validation!$A:$E,5,0)</f>
        <v>$</v>
      </c>
      <c r="X123" s="156">
        <f>+VLOOKUP($L123,Data_Validation!$A:$F,6,0)</f>
        <v>0</v>
      </c>
    </row>
    <row r="124" spans="1:24" ht="15" hidden="1" customHeight="1">
      <c r="A124" s="1002" t="s">
        <v>2061</v>
      </c>
      <c r="B124" s="1145">
        <v>2224</v>
      </c>
      <c r="C124" s="1004">
        <v>116783.87</v>
      </c>
      <c r="D124" s="1004">
        <v>-41450.65</v>
      </c>
      <c r="E124" s="1004">
        <v>75333.22</v>
      </c>
      <c r="F124" s="1002" t="s">
        <v>282</v>
      </c>
      <c r="G124" s="1002" t="s">
        <v>2063</v>
      </c>
      <c r="H124" s="938"/>
      <c r="I124" s="937"/>
      <c r="J124" s="937"/>
      <c r="K124" s="937"/>
      <c r="L124" s="153">
        <f t="shared" si="0"/>
        <v>2224</v>
      </c>
      <c r="M124" s="154" t="str">
        <f t="shared" si="1"/>
        <v>TPS A RECEVOIR</v>
      </c>
      <c r="N124" s="155">
        <f>+IF(OR($Q124=Parametres!$G$2,$Q124=Parametres!$G$3),I124,C124)</f>
        <v>116783.87</v>
      </c>
      <c r="O124" s="155">
        <f>+IF(OR($Q124=Parametres!$G$2,$Q124=Parametres!$G$3),J124,D124)</f>
        <v>-41450.65</v>
      </c>
      <c r="P124" s="155">
        <f>+IF(OR($Q124=Parametres!$G$2,$Q124=Parametres!$G$3),K124,E124)</f>
        <v>75333.22</v>
      </c>
      <c r="Q124" s="154" t="str">
        <f t="shared" si="9"/>
        <v>3-Passifs</v>
      </c>
      <c r="R124" s="153" t="str">
        <f t="shared" si="9"/>
        <v>2223</v>
      </c>
      <c r="S124" s="154">
        <f t="shared" si="9"/>
        <v>0</v>
      </c>
      <c r="T124" s="156">
        <f>+VLOOKUP($L124,Data_Validation!$A:$D,1,0)</f>
        <v>2224</v>
      </c>
      <c r="U124" s="156" t="str">
        <f>+VLOOKUP($L124,Data_Validation!$A:$D,3,0)</f>
        <v>Bilan</v>
      </c>
      <c r="V124" s="156" t="str">
        <f>+VLOOKUP($L124,Data_Validation!$A:$D,4,0)</f>
        <v>Taxes de Vente à Payer</v>
      </c>
      <c r="W124" s="156" t="str">
        <f>+VLOOKUP($L124,Data_Validation!$A:$E,5,0)</f>
        <v>$</v>
      </c>
      <c r="X124" s="156">
        <f>+VLOOKUP($L124,Data_Validation!$A:$F,6,0)</f>
        <v>0</v>
      </c>
    </row>
    <row r="125" spans="1:24" ht="15" hidden="1" customHeight="1">
      <c r="A125" s="1002" t="s">
        <v>2611</v>
      </c>
      <c r="B125" s="1145">
        <v>2225</v>
      </c>
      <c r="C125" s="1004">
        <v>-1131</v>
      </c>
      <c r="D125" s="1004">
        <v>690</v>
      </c>
      <c r="E125" s="1004">
        <v>-441</v>
      </c>
      <c r="F125" s="1002" t="s">
        <v>282</v>
      </c>
      <c r="G125" s="1002" t="s">
        <v>2054</v>
      </c>
      <c r="H125" s="938"/>
      <c r="I125" s="937"/>
      <c r="J125" s="937"/>
      <c r="K125" s="937"/>
      <c r="L125" s="153">
        <f t="shared" si="0"/>
        <v>2225</v>
      </c>
      <c r="M125" s="154" t="str">
        <f t="shared" si="1"/>
        <v>DROIT SUR PNEUS</v>
      </c>
      <c r="N125" s="155">
        <f>+IF(OR($Q125=Parametres!$G$2,$Q125=Parametres!$G$3),I125,C125)</f>
        <v>-1131</v>
      </c>
      <c r="O125" s="575">
        <f>+IF(OR($Q125=Parametres!$G$2,$Q125=Parametres!$G$3),J125,D125)</f>
        <v>690</v>
      </c>
      <c r="P125" s="155">
        <f>+IF(OR($Q125=Parametres!$G$2,$Q125=Parametres!$G$3),K125,E125)</f>
        <v>-441</v>
      </c>
      <c r="Q125" s="154" t="str">
        <f t="shared" si="9"/>
        <v>3-Passifs</v>
      </c>
      <c r="R125" s="153" t="str">
        <f t="shared" si="9"/>
        <v>2221</v>
      </c>
      <c r="S125" s="154">
        <f t="shared" si="9"/>
        <v>0</v>
      </c>
      <c r="T125" s="156">
        <f>+VLOOKUP($L125,Data_Validation!$A:$D,1,0)</f>
        <v>2225</v>
      </c>
      <c r="U125" s="156" t="str">
        <f>+VLOOKUP($L125,Data_Validation!$A:$D,3,0)</f>
        <v>Bilan</v>
      </c>
      <c r="V125" s="156" t="str">
        <f>+VLOOKUP($L125,Data_Validation!$A:$D,4,0)</f>
        <v>Taxes de Vente à Payer</v>
      </c>
      <c r="W125" s="156" t="str">
        <f>+VLOOKUP($L125,Data_Validation!$A:$E,5,0)</f>
        <v>$</v>
      </c>
      <c r="X125" s="156">
        <f>+VLOOKUP($L125,Data_Validation!$A:$F,6,0)</f>
        <v>0</v>
      </c>
    </row>
    <row r="126" spans="1:24" ht="15" hidden="1" customHeight="1">
      <c r="A126" s="1002" t="s">
        <v>2813</v>
      </c>
      <c r="B126" s="1145">
        <v>2281</v>
      </c>
      <c r="C126" s="1004">
        <v>-48330.92</v>
      </c>
      <c r="D126" s="1004">
        <v>-142706.76999999999</v>
      </c>
      <c r="E126" s="1004">
        <v>-191037.69</v>
      </c>
      <c r="F126" s="1002" t="s">
        <v>282</v>
      </c>
      <c r="G126" s="1002" t="s">
        <v>2131</v>
      </c>
      <c r="H126" s="938"/>
      <c r="I126" s="937"/>
      <c r="J126" s="937"/>
      <c r="K126" s="937"/>
      <c r="L126" s="153">
        <f t="shared" si="0"/>
        <v>2281</v>
      </c>
      <c r="M126" s="154" t="str">
        <f t="shared" si="1"/>
        <v>LIEN A PAYER</v>
      </c>
      <c r="N126" s="155">
        <f>+IF(OR($Q126=Parametres!$G$2,$Q126=Parametres!$G$3),I126,C126)</f>
        <v>-48330.92</v>
      </c>
      <c r="O126" s="575">
        <f>+IF(OR($Q126=Parametres!$G$2,$Q126=Parametres!$G$3),J126,D126)</f>
        <v>-142706.76999999999</v>
      </c>
      <c r="P126" s="155">
        <f>+IF(OR($Q126=Parametres!$G$2,$Q126=Parametres!$G$3),K126,E126)</f>
        <v>-191037.69</v>
      </c>
      <c r="Q126" s="154" t="str">
        <f t="shared" si="9"/>
        <v>3-Passifs</v>
      </c>
      <c r="R126" s="153" t="str">
        <f t="shared" si="9"/>
        <v>2283</v>
      </c>
      <c r="S126" s="154">
        <f t="shared" si="9"/>
        <v>0</v>
      </c>
      <c r="T126" s="156">
        <f>+VLOOKUP($L126,Data_Validation!$A:$D,1,0)</f>
        <v>2281</v>
      </c>
      <c r="U126" s="156" t="str">
        <f>+VLOOKUP($L126,Data_Validation!$A:$D,3,0)</f>
        <v>Bilan</v>
      </c>
      <c r="V126" s="156" t="str">
        <f>+VLOOKUP($L126,Data_Validation!$A:$D,4,0)</f>
        <v>Autres Comptes à Payer</v>
      </c>
      <c r="W126" s="156" t="str">
        <f>+VLOOKUP($L126,Data_Validation!$A:$E,5,0)</f>
        <v>$</v>
      </c>
      <c r="X126" s="156">
        <f>+VLOOKUP($L126,Data_Validation!$A:$F,6,0)</f>
        <v>0</v>
      </c>
    </row>
    <row r="127" spans="1:24" ht="15" hidden="1" customHeight="1">
      <c r="A127" s="1002" t="s">
        <v>2170</v>
      </c>
      <c r="B127" s="1145">
        <v>2283</v>
      </c>
      <c r="C127" s="1004">
        <v>0</v>
      </c>
      <c r="D127" s="1004">
        <v>-388.01</v>
      </c>
      <c r="E127" s="1004">
        <v>-388.01</v>
      </c>
      <c r="F127" s="1002" t="s">
        <v>282</v>
      </c>
      <c r="G127" s="1002" t="s">
        <v>2131</v>
      </c>
      <c r="H127" s="938"/>
      <c r="I127" s="937"/>
      <c r="J127" s="937"/>
      <c r="K127" s="937"/>
      <c r="L127" s="153">
        <f t="shared" si="0"/>
        <v>2283</v>
      </c>
      <c r="M127" s="154" t="str">
        <f t="shared" si="1"/>
        <v>PLAQUE A PAYER</v>
      </c>
      <c r="N127" s="155">
        <f>+IF(OR($Q127=Parametres!$G$2,$Q127=Parametres!$G$3),I127,C127)</f>
        <v>0</v>
      </c>
      <c r="O127" s="155">
        <f>+IF(OR($Q127=Parametres!$G$2,$Q127=Parametres!$G$3),J127,D127)</f>
        <v>-388.01</v>
      </c>
      <c r="P127" s="155">
        <f>+IF(OR($Q127=Parametres!$G$2,$Q127=Parametres!$G$3),K127,E127)</f>
        <v>-388.01</v>
      </c>
      <c r="Q127" s="154" t="str">
        <f t="shared" si="9"/>
        <v>3-Passifs</v>
      </c>
      <c r="R127" s="153" t="str">
        <f t="shared" si="9"/>
        <v>2283</v>
      </c>
      <c r="S127" s="154">
        <f t="shared" si="9"/>
        <v>0</v>
      </c>
      <c r="T127" s="156">
        <f>+VLOOKUP($L127,Data_Validation!$A:$D,1,0)</f>
        <v>2283</v>
      </c>
      <c r="U127" s="156" t="str">
        <f>+VLOOKUP($L127,Data_Validation!$A:$D,3,0)</f>
        <v>Bilan</v>
      </c>
      <c r="V127" s="156" t="str">
        <f>+VLOOKUP($L127,Data_Validation!$A:$D,4,0)</f>
        <v>Autres Comptes à Payer</v>
      </c>
      <c r="W127" s="156" t="str">
        <f>+VLOOKUP($L127,Data_Validation!$A:$E,5,0)</f>
        <v>$</v>
      </c>
      <c r="X127" s="156">
        <f>+VLOOKUP($L127,Data_Validation!$A:$F,6,0)</f>
        <v>0</v>
      </c>
    </row>
    <row r="128" spans="1:24" ht="15" hidden="1" customHeight="1">
      <c r="A128" s="1002" t="s">
        <v>2767</v>
      </c>
      <c r="B128" s="1145">
        <v>2285</v>
      </c>
      <c r="C128" s="1004">
        <v>-47666.87</v>
      </c>
      <c r="D128" s="1004">
        <v>11232.77</v>
      </c>
      <c r="E128" s="1004">
        <v>-36434.1</v>
      </c>
      <c r="F128" s="1002" t="s">
        <v>282</v>
      </c>
      <c r="G128" s="1002" t="s">
        <v>2131</v>
      </c>
      <c r="H128" s="938"/>
      <c r="I128" s="937"/>
      <c r="J128" s="937"/>
      <c r="K128" s="937"/>
      <c r="L128" s="153">
        <f t="shared" si="0"/>
        <v>2285</v>
      </c>
      <c r="M128" s="579" t="str">
        <f t="shared" si="1"/>
        <v>PROTECTIONS A PAYER</v>
      </c>
      <c r="N128" s="155">
        <f>+IF(OR($Q128=Parametres!$G$2,$Q128=Parametres!$G$3),I128,C128)</f>
        <v>-47666.87</v>
      </c>
      <c r="O128" s="580">
        <f>+IF(OR($Q128=Parametres!$G$2,$Q128=Parametres!$G$3),J128,D128)</f>
        <v>11232.77</v>
      </c>
      <c r="P128" s="581">
        <f>+IF(OR($Q128=Parametres!$G$2,$Q128=Parametres!$G$3),K128,E128)</f>
        <v>-36434.1</v>
      </c>
      <c r="Q128" s="154" t="str">
        <f t="shared" si="9"/>
        <v>3-Passifs</v>
      </c>
      <c r="R128" s="153" t="str">
        <f t="shared" si="9"/>
        <v>2283</v>
      </c>
      <c r="S128" s="154">
        <f t="shared" si="9"/>
        <v>0</v>
      </c>
      <c r="T128" s="156">
        <f>+VLOOKUP($L128,Data_Validation!$A:$D,1,0)</f>
        <v>2285</v>
      </c>
      <c r="U128" s="156" t="str">
        <f>+VLOOKUP($L128,Data_Validation!$A:$D,3,0)</f>
        <v>Bilan</v>
      </c>
      <c r="V128" s="156" t="str">
        <f>+VLOOKUP($L128,Data_Validation!$A:$D,4,0)</f>
        <v>Autres Comptes à Payer</v>
      </c>
      <c r="W128" s="156" t="str">
        <f>+VLOOKUP($L128,Data_Validation!$A:$E,5,0)</f>
        <v>$</v>
      </c>
      <c r="X128" s="156">
        <f>+VLOOKUP($L128,Data_Validation!$A:$F,6,0)</f>
        <v>0</v>
      </c>
    </row>
    <row r="129" spans="1:24" ht="15" hidden="1" customHeight="1">
      <c r="A129" s="1002" t="s">
        <v>2741</v>
      </c>
      <c r="B129" s="1145">
        <v>2287</v>
      </c>
      <c r="C129" s="1004">
        <v>-5716.17</v>
      </c>
      <c r="D129" s="1004">
        <v>2676.42</v>
      </c>
      <c r="E129" s="1004">
        <v>-3039.75</v>
      </c>
      <c r="F129" s="1002" t="s">
        <v>282</v>
      </c>
      <c r="G129" s="1002" t="s">
        <v>2131</v>
      </c>
      <c r="H129" s="938"/>
      <c r="I129" s="937"/>
      <c r="J129" s="937"/>
      <c r="K129" s="937"/>
      <c r="L129" s="153">
        <f t="shared" si="0"/>
        <v>2287</v>
      </c>
      <c r="M129" s="154" t="str">
        <f t="shared" si="1"/>
        <v>A PAYER INVAPLAN</v>
      </c>
      <c r="N129" s="155">
        <f>+IF(OR($Q129=Parametres!$G$2,$Q129=Parametres!$G$3),I129,C129)</f>
        <v>-5716.17</v>
      </c>
      <c r="O129" s="155">
        <f>+IF(OR($Q129=Parametres!$G$2,$Q129=Parametres!$G$3),J129,D129)</f>
        <v>2676.42</v>
      </c>
      <c r="P129" s="155">
        <f>+IF(OR($Q129=Parametres!$G$2,$Q129=Parametres!$G$3),K129,E129)</f>
        <v>-3039.75</v>
      </c>
      <c r="Q129" s="154" t="str">
        <f t="shared" si="9"/>
        <v>3-Passifs</v>
      </c>
      <c r="R129" s="153" t="str">
        <f t="shared" si="9"/>
        <v>2283</v>
      </c>
      <c r="S129" s="154">
        <f t="shared" si="9"/>
        <v>0</v>
      </c>
      <c r="T129" s="156">
        <f>+VLOOKUP($L129,Data_Validation!$A:$D,1,0)</f>
        <v>2287</v>
      </c>
      <c r="U129" s="156" t="str">
        <f>+VLOOKUP($L129,Data_Validation!$A:$D,3,0)</f>
        <v>Bilan</v>
      </c>
      <c r="V129" s="156" t="str">
        <f>+VLOOKUP($L129,Data_Validation!$A:$D,4,0)</f>
        <v>Autres Comptes à Payer</v>
      </c>
      <c r="W129" s="156" t="str">
        <f>+VLOOKUP($L129,Data_Validation!$A:$E,5,0)</f>
        <v>$</v>
      </c>
      <c r="X129" s="156">
        <f>+VLOOKUP($L129,Data_Validation!$A:$F,6,0)</f>
        <v>0</v>
      </c>
    </row>
    <row r="130" spans="1:24" ht="15" hidden="1" customHeight="1">
      <c r="A130" s="1002" t="s">
        <v>2006</v>
      </c>
      <c r="B130" s="1145">
        <v>2291</v>
      </c>
      <c r="C130" s="1004">
        <v>-229342.51</v>
      </c>
      <c r="D130" s="1004">
        <v>374134.6</v>
      </c>
      <c r="E130" s="1004">
        <v>144792.09</v>
      </c>
      <c r="F130" s="1002" t="s">
        <v>282</v>
      </c>
      <c r="G130" s="1002" t="s">
        <v>2007</v>
      </c>
      <c r="H130" s="938"/>
      <c r="I130" s="937"/>
      <c r="J130" s="937"/>
      <c r="K130" s="937"/>
      <c r="L130" s="153">
        <f t="shared" si="0"/>
        <v>2291</v>
      </c>
      <c r="M130" s="154" t="str">
        <f t="shared" si="1"/>
        <v>COMPTES FOURNISSEURS</v>
      </c>
      <c r="N130" s="155">
        <f>+IF(OR($Q130=Parametres!$G$2,$Q130=Parametres!$G$3),I130,C130)</f>
        <v>-229342.51</v>
      </c>
      <c r="O130" s="155">
        <f>+IF(OR($Q130=Parametres!$G$2,$Q130=Parametres!$G$3),J130,D130)</f>
        <v>374134.6</v>
      </c>
      <c r="P130" s="155">
        <f>+IF(OR($Q130=Parametres!$G$2,$Q130=Parametres!$G$3),K130,E130)</f>
        <v>144792.09</v>
      </c>
      <c r="Q130" s="154" t="str">
        <f t="shared" ref="Q130:S145" si="10">+F130</f>
        <v>3-Passifs</v>
      </c>
      <c r="R130" s="153" t="str">
        <f t="shared" si="10"/>
        <v>2291</v>
      </c>
      <c r="S130" s="154">
        <f t="shared" si="10"/>
        <v>0</v>
      </c>
      <c r="T130" s="156">
        <f>+VLOOKUP($L130,Data_Validation!$A:$D,1,0)</f>
        <v>2291</v>
      </c>
      <c r="U130" s="156" t="str">
        <f>+VLOOKUP($L130,Data_Validation!$A:$D,3,0)</f>
        <v>Bilan</v>
      </c>
      <c r="V130" s="156" t="str">
        <f>+VLOOKUP($L130,Data_Validation!$A:$D,4,0)</f>
        <v>Comptes à Payer Fournisseurs</v>
      </c>
      <c r="W130" s="156" t="str">
        <f>+VLOOKUP($L130,Data_Validation!$A:$E,5,0)</f>
        <v>$</v>
      </c>
      <c r="X130" s="156">
        <f>+VLOOKUP($L130,Data_Validation!$A:$F,6,0)</f>
        <v>0</v>
      </c>
    </row>
    <row r="131" spans="1:24" ht="15.75" hidden="1" customHeight="1">
      <c r="A131" s="1002" t="s">
        <v>2046</v>
      </c>
      <c r="B131" s="1145">
        <v>2292</v>
      </c>
      <c r="C131" s="1004">
        <v>-35559.99</v>
      </c>
      <c r="D131" s="1004">
        <v>35559.99</v>
      </c>
      <c r="E131" s="1004">
        <v>0</v>
      </c>
      <c r="F131" s="1002" t="s">
        <v>282</v>
      </c>
      <c r="G131" s="1002" t="s">
        <v>2007</v>
      </c>
      <c r="H131" s="938"/>
      <c r="I131" s="937"/>
      <c r="J131" s="937"/>
      <c r="K131" s="937"/>
      <c r="L131" s="153">
        <f t="shared" si="0"/>
        <v>2292</v>
      </c>
      <c r="M131" s="154" t="str">
        <f t="shared" si="1"/>
        <v>ECHANGE ENTRE CONCESSIONNAIRES</v>
      </c>
      <c r="N131" s="155">
        <f>+IF(OR($Q131=Parametres!$G$2,$Q131=Parametres!$G$3),I131,C131)</f>
        <v>-35559.99</v>
      </c>
      <c r="O131" s="155">
        <f>+IF(OR($Q131=Parametres!$G$2,$Q131=Parametres!$G$3),J131,D131)</f>
        <v>35559.99</v>
      </c>
      <c r="P131" s="155">
        <f>+IF(OR($Q131=Parametres!$G$2,$Q131=Parametres!$G$3),K131,E131)</f>
        <v>0</v>
      </c>
      <c r="Q131" s="154" t="str">
        <f t="shared" si="10"/>
        <v>3-Passifs</v>
      </c>
      <c r="R131" s="153" t="str">
        <f t="shared" si="10"/>
        <v>2291</v>
      </c>
      <c r="S131" s="154">
        <f t="shared" si="10"/>
        <v>0</v>
      </c>
      <c r="T131" s="156">
        <f>+VLOOKUP($L131,Data_Validation!$A:$D,1,0)</f>
        <v>2292</v>
      </c>
      <c r="U131" s="156" t="str">
        <f>+VLOOKUP($L131,Data_Validation!$A:$D,3,0)</f>
        <v>Bilan</v>
      </c>
      <c r="V131" s="156" t="str">
        <f>+VLOOKUP($L131,Data_Validation!$A:$D,4,0)</f>
        <v>Autres Comptes à Payer</v>
      </c>
      <c r="W131" s="156" t="str">
        <f>+VLOOKUP($L131,Data_Validation!$A:$E,5,0)</f>
        <v>$</v>
      </c>
      <c r="X131" s="156">
        <f>+VLOOKUP($L131,Data_Validation!$A:$F,6,0)</f>
        <v>0</v>
      </c>
    </row>
    <row r="132" spans="1:24" ht="15" hidden="1" customHeight="1">
      <c r="A132" s="1002" t="s">
        <v>2129</v>
      </c>
      <c r="B132" s="1145">
        <v>2293</v>
      </c>
      <c r="C132" s="1004">
        <v>-5000</v>
      </c>
      <c r="D132" s="1004">
        <v>59.61</v>
      </c>
      <c r="E132" s="1004">
        <v>-4940.3900000000003</v>
      </c>
      <c r="F132" s="1002" t="s">
        <v>282</v>
      </c>
      <c r="G132" s="1002" t="s">
        <v>2131</v>
      </c>
      <c r="H132" s="938"/>
      <c r="I132" s="937"/>
      <c r="J132" s="937"/>
      <c r="K132" s="937"/>
      <c r="L132" s="153">
        <f t="shared" si="0"/>
        <v>2293</v>
      </c>
      <c r="M132" s="154" t="str">
        <f t="shared" si="1"/>
        <v>PROVISIONS GARANTIES USAGEES</v>
      </c>
      <c r="N132" s="155">
        <f>+IF(OR($Q132=Parametres!$G$2,$Q132=Parametres!$G$3),I132,C132)</f>
        <v>-5000</v>
      </c>
      <c r="O132" s="155">
        <f>+IF(OR($Q132=Parametres!$G$2,$Q132=Parametres!$G$3),J132,D132)</f>
        <v>59.61</v>
      </c>
      <c r="P132" s="155">
        <f>+IF(OR($Q132=Parametres!$G$2,$Q132=Parametres!$G$3),K132,E132)</f>
        <v>-4940.3900000000003</v>
      </c>
      <c r="Q132" s="154" t="str">
        <f t="shared" si="10"/>
        <v>3-Passifs</v>
      </c>
      <c r="R132" s="153" t="str">
        <f t="shared" si="10"/>
        <v>2283</v>
      </c>
      <c r="S132" s="154">
        <f t="shared" si="10"/>
        <v>0</v>
      </c>
      <c r="T132" s="156">
        <f>+VLOOKUP($L132,Data_Validation!$A:$D,1,0)</f>
        <v>2293</v>
      </c>
      <c r="U132" s="156" t="str">
        <f>+VLOOKUP($L132,Data_Validation!$A:$D,3,0)</f>
        <v>Bilan</v>
      </c>
      <c r="V132" s="156" t="str">
        <f>+VLOOKUP($L132,Data_Validation!$A:$D,4,0)</f>
        <v>Autres Courus</v>
      </c>
      <c r="W132" s="156" t="str">
        <f>+VLOOKUP($L132,Data_Validation!$A:$E,5,0)</f>
        <v>$</v>
      </c>
      <c r="X132" s="156">
        <f>+VLOOKUP($L132,Data_Validation!$A:$F,6,0)</f>
        <v>0</v>
      </c>
    </row>
    <row r="133" spans="1:24" ht="15" hidden="1" customHeight="1">
      <c r="A133" s="1002" t="s">
        <v>2414</v>
      </c>
      <c r="B133" s="1145">
        <v>2295</v>
      </c>
      <c r="C133" s="1004">
        <v>0</v>
      </c>
      <c r="D133" s="1004">
        <v>-60</v>
      </c>
      <c r="E133" s="1004">
        <v>-60</v>
      </c>
      <c r="F133" s="1002" t="s">
        <v>282</v>
      </c>
      <c r="G133" s="1002" t="s">
        <v>2130</v>
      </c>
      <c r="H133" s="938"/>
      <c r="I133" s="937"/>
      <c r="J133" s="937"/>
      <c r="K133" s="937"/>
      <c r="L133" s="153">
        <f t="shared" si="0"/>
        <v>2295</v>
      </c>
      <c r="M133" s="154" t="str">
        <f t="shared" si="1"/>
        <v>RESERVE ESSENCE</v>
      </c>
      <c r="N133" s="155">
        <f>+IF(OR($Q133=Parametres!$G$2,$Q133=Parametres!$G$3),I133,C133)</f>
        <v>0</v>
      </c>
      <c r="O133" s="155">
        <f>+IF(OR($Q133=Parametres!$G$2,$Q133=Parametres!$G$3),J133,D133)</f>
        <v>-60</v>
      </c>
      <c r="P133" s="155">
        <f>+IF(OR($Q133=Parametres!$G$2,$Q133=Parametres!$G$3),K133,E133)</f>
        <v>-60</v>
      </c>
      <c r="Q133" s="154" t="str">
        <f t="shared" si="10"/>
        <v>3-Passifs</v>
      </c>
      <c r="R133" s="153" t="str">
        <f t="shared" si="10"/>
        <v>2293</v>
      </c>
      <c r="S133" s="154">
        <f t="shared" si="10"/>
        <v>0</v>
      </c>
      <c r="T133" s="156">
        <f>+VLOOKUP($L133,Data_Validation!$A:$D,1,0)</f>
        <v>2295</v>
      </c>
      <c r="U133" s="156" t="str">
        <f>+VLOOKUP($L133,Data_Validation!$A:$D,3,0)</f>
        <v>Bilan</v>
      </c>
      <c r="V133" s="156" t="str">
        <f>+VLOOKUP($L133,Data_Validation!$A:$D,4,0)</f>
        <v>Autres Courus</v>
      </c>
      <c r="W133" s="156" t="str">
        <f>+VLOOKUP($L133,Data_Validation!$A:$E,5,0)</f>
        <v>$</v>
      </c>
      <c r="X133" s="156">
        <f>+VLOOKUP($L133,Data_Validation!$A:$F,6,0)</f>
        <v>0</v>
      </c>
    </row>
    <row r="134" spans="1:24" ht="15" hidden="1" customHeight="1">
      <c r="A134" s="1002" t="s">
        <v>2143</v>
      </c>
      <c r="B134" s="1145">
        <v>2297</v>
      </c>
      <c r="C134" s="1004">
        <v>0</v>
      </c>
      <c r="D134" s="1004">
        <v>-1250</v>
      </c>
      <c r="E134" s="1004">
        <v>-1250</v>
      </c>
      <c r="F134" s="1002" t="s">
        <v>282</v>
      </c>
      <c r="G134" s="1002" t="s">
        <v>2131</v>
      </c>
      <c r="H134" s="938"/>
      <c r="I134" s="937"/>
      <c r="J134" s="937"/>
      <c r="K134" s="937"/>
      <c r="L134" s="153">
        <f t="shared" si="0"/>
        <v>2297</v>
      </c>
      <c r="M134" s="154" t="str">
        <f t="shared" si="1"/>
        <v>RESERVE RENOUVELLEMENT</v>
      </c>
      <c r="N134" s="155">
        <f>+IF(OR($Q134=Parametres!$G$2,$Q134=Parametres!$G$3),I134,C134)</f>
        <v>0</v>
      </c>
      <c r="O134" s="155">
        <f>+IF(OR($Q134=Parametres!$G$2,$Q134=Parametres!$G$3),J134,D134)</f>
        <v>-1250</v>
      </c>
      <c r="P134" s="155">
        <f>+IF(OR($Q134=Parametres!$G$2,$Q134=Parametres!$G$3),K134,E134)</f>
        <v>-1250</v>
      </c>
      <c r="Q134" s="154" t="str">
        <f t="shared" si="10"/>
        <v>3-Passifs</v>
      </c>
      <c r="R134" s="153" t="str">
        <f t="shared" si="10"/>
        <v>2283</v>
      </c>
      <c r="S134" s="154">
        <f t="shared" si="10"/>
        <v>0</v>
      </c>
      <c r="T134" s="156">
        <f>+VLOOKUP($L134,Data_Validation!$A:$D,1,0)</f>
        <v>2297</v>
      </c>
      <c r="U134" s="156" t="str">
        <f>+VLOOKUP($L134,Data_Validation!$A:$D,3,0)</f>
        <v>Bilan</v>
      </c>
      <c r="V134" s="156" t="str">
        <f>+VLOOKUP($L134,Data_Validation!$A:$D,4,0)</f>
        <v>Autres Courus</v>
      </c>
      <c r="W134" s="156" t="str">
        <f>+VLOOKUP($L134,Data_Validation!$A:$E,5,0)</f>
        <v>$</v>
      </c>
      <c r="X134" s="156">
        <f>+VLOOKUP($L134,Data_Validation!$A:$F,6,0)</f>
        <v>0</v>
      </c>
    </row>
    <row r="135" spans="1:24" ht="15.75" hidden="1" customHeight="1">
      <c r="A135" s="1002" t="s">
        <v>2705</v>
      </c>
      <c r="B135" s="1145">
        <v>2315</v>
      </c>
      <c r="C135" s="1004">
        <v>0</v>
      </c>
      <c r="D135" s="1004">
        <v>2937.44</v>
      </c>
      <c r="E135" s="1004">
        <v>2937.44</v>
      </c>
      <c r="F135" s="1002" t="s">
        <v>282</v>
      </c>
      <c r="G135" s="1002" t="s">
        <v>2159</v>
      </c>
      <c r="H135" s="938"/>
      <c r="I135" s="937"/>
      <c r="J135" s="937"/>
      <c r="K135" s="937"/>
      <c r="L135" s="153">
        <f t="shared" si="0"/>
        <v>2315</v>
      </c>
      <c r="M135" s="154" t="str">
        <f t="shared" si="1"/>
        <v>PRIME ASSURANCE GROUPE</v>
      </c>
      <c r="N135" s="155">
        <f>+IF(OR($Q135=Parametres!$G$2,$Q135=Parametres!$G$3),I135,C135)</f>
        <v>0</v>
      </c>
      <c r="O135" s="155">
        <f>+IF(OR($Q135=Parametres!$G$2,$Q135=Parametres!$G$3),J135,D135)</f>
        <v>2937.44</v>
      </c>
      <c r="P135" s="155">
        <f>+IF(OR($Q135=Parametres!$G$2,$Q135=Parametres!$G$3),K135,E135)</f>
        <v>2937.44</v>
      </c>
      <c r="Q135" s="154" t="str">
        <f t="shared" si="10"/>
        <v>3-Passifs</v>
      </c>
      <c r="R135" s="153" t="str">
        <f t="shared" si="10"/>
        <v>2315</v>
      </c>
      <c r="S135" s="154">
        <f t="shared" si="10"/>
        <v>0</v>
      </c>
      <c r="T135" s="156">
        <f>+VLOOKUP($L135,Data_Validation!$A:$D,1,0)</f>
        <v>2315</v>
      </c>
      <c r="U135" s="156" t="str">
        <f>+VLOOKUP($L135,Data_Validation!$A:$D,3,0)</f>
        <v>Bilan</v>
      </c>
      <c r="V135" s="156" t="str">
        <f>+VLOOKUP($L135,Data_Validation!$A:$D,4,0)</f>
        <v>DAS à Payer</v>
      </c>
      <c r="W135" s="156" t="str">
        <f>+VLOOKUP($L135,Data_Validation!$A:$E,5,0)</f>
        <v>$</v>
      </c>
      <c r="X135" s="156">
        <f>+VLOOKUP($L135,Data_Validation!$A:$F,6,0)</f>
        <v>0</v>
      </c>
    </row>
    <row r="136" spans="1:24" ht="15" hidden="1" customHeight="1">
      <c r="A136" s="1002" t="s">
        <v>2157</v>
      </c>
      <c r="B136" s="1145">
        <v>2335</v>
      </c>
      <c r="C136" s="1004">
        <v>0</v>
      </c>
      <c r="D136" s="1004">
        <v>-20</v>
      </c>
      <c r="E136" s="1004">
        <v>-20</v>
      </c>
      <c r="F136" s="1002" t="s">
        <v>282</v>
      </c>
      <c r="G136" s="1002" t="s">
        <v>2159</v>
      </c>
      <c r="H136" s="938"/>
      <c r="I136" s="937"/>
      <c r="J136" s="937"/>
      <c r="K136" s="937"/>
      <c r="L136" s="153">
        <f t="shared" si="0"/>
        <v>2335</v>
      </c>
      <c r="M136" s="154" t="str">
        <f t="shared" si="1"/>
        <v>COMITE SOCIAL</v>
      </c>
      <c r="N136" s="155">
        <f>+IF(OR($Q136=Parametres!$G$2,$Q136=Parametres!$G$3),I136,C136)</f>
        <v>0</v>
      </c>
      <c r="O136" s="155">
        <f>+IF(OR($Q136=Parametres!$G$2,$Q136=Parametres!$G$3),J136,D136)</f>
        <v>-20</v>
      </c>
      <c r="P136" s="155">
        <f>+IF(OR($Q136=Parametres!$G$2,$Q136=Parametres!$G$3),K136,E136)</f>
        <v>-20</v>
      </c>
      <c r="Q136" s="154" t="str">
        <f t="shared" si="10"/>
        <v>3-Passifs</v>
      </c>
      <c r="R136" s="153" t="str">
        <f t="shared" si="10"/>
        <v>2315</v>
      </c>
      <c r="S136" s="154">
        <f t="shared" si="10"/>
        <v>0</v>
      </c>
      <c r="T136" s="156">
        <f>+VLOOKUP($L136,Data_Validation!$A:$D,1,0)</f>
        <v>2335</v>
      </c>
      <c r="U136" s="156" t="str">
        <f>+VLOOKUP($L136,Data_Validation!$A:$D,3,0)</f>
        <v>Bilan</v>
      </c>
      <c r="V136" s="156" t="str">
        <f>+VLOOKUP($L136,Data_Validation!$A:$D,4,0)</f>
        <v>DAS à Payer</v>
      </c>
      <c r="W136" s="156" t="str">
        <f>+VLOOKUP($L136,Data_Validation!$A:$E,5,0)</f>
        <v>$</v>
      </c>
      <c r="X136" s="156">
        <f>+VLOOKUP($L136,Data_Validation!$A:$F,6,0)</f>
        <v>0</v>
      </c>
    </row>
    <row r="137" spans="1:24" ht="15" hidden="1" customHeight="1">
      <c r="A137" s="1002" t="s">
        <v>2744</v>
      </c>
      <c r="B137" s="1145">
        <v>2342</v>
      </c>
      <c r="C137" s="1004">
        <v>-34605.72</v>
      </c>
      <c r="D137" s="1004">
        <v>11849.01</v>
      </c>
      <c r="E137" s="1004">
        <v>-22756.71</v>
      </c>
      <c r="F137" s="1002" t="s">
        <v>282</v>
      </c>
      <c r="G137" s="1002" t="s">
        <v>2159</v>
      </c>
      <c r="H137" s="938"/>
      <c r="I137" s="937"/>
      <c r="J137" s="937"/>
      <c r="K137" s="937"/>
      <c r="L137" s="153">
        <f t="shared" si="0"/>
        <v>2342</v>
      </c>
      <c r="M137" s="154" t="str">
        <f t="shared" si="1"/>
        <v>REER STANDARD LIFE</v>
      </c>
      <c r="N137" s="155">
        <f>+IF(OR($Q137=Parametres!$G$2,$Q137=Parametres!$G$3),I137,C137)</f>
        <v>-34605.72</v>
      </c>
      <c r="O137" s="155">
        <f>+IF(OR($Q137=Parametres!$G$2,$Q137=Parametres!$G$3),J137,D137)</f>
        <v>11849.01</v>
      </c>
      <c r="P137" s="155">
        <f>+IF(OR($Q137=Parametres!$G$2,$Q137=Parametres!$G$3),K137,E137)</f>
        <v>-22756.71</v>
      </c>
      <c r="Q137" s="154" t="str">
        <f t="shared" si="10"/>
        <v>3-Passifs</v>
      </c>
      <c r="R137" s="153" t="str">
        <f t="shared" si="10"/>
        <v>2315</v>
      </c>
      <c r="S137" s="154">
        <f t="shared" si="10"/>
        <v>0</v>
      </c>
      <c r="T137" s="156">
        <f>+VLOOKUP($L137,Data_Validation!$A:$D,1,0)</f>
        <v>2342</v>
      </c>
      <c r="U137" s="156" t="str">
        <f>+VLOOKUP($L137,Data_Validation!$A:$D,3,0)</f>
        <v>Bilan</v>
      </c>
      <c r="V137" s="156" t="str">
        <f>+VLOOKUP($L137,Data_Validation!$A:$D,4,0)</f>
        <v>DAS à Payer</v>
      </c>
      <c r="W137" s="156" t="str">
        <f>+VLOOKUP($L137,Data_Validation!$A:$E,5,0)</f>
        <v>$</v>
      </c>
      <c r="X137" s="156">
        <f>+VLOOKUP($L137,Data_Validation!$A:$F,6,0)</f>
        <v>0</v>
      </c>
    </row>
    <row r="138" spans="1:24" ht="15" hidden="1" customHeight="1">
      <c r="A138" s="1002" t="s">
        <v>2577</v>
      </c>
      <c r="B138" s="1145">
        <v>2343</v>
      </c>
      <c r="C138" s="1004">
        <v>-661.16</v>
      </c>
      <c r="D138" s="1004">
        <v>176.8</v>
      </c>
      <c r="E138" s="1004">
        <v>-484.36</v>
      </c>
      <c r="F138" s="1002" t="s">
        <v>282</v>
      </c>
      <c r="G138" s="1002" t="s">
        <v>2159</v>
      </c>
      <c r="H138" s="938"/>
      <c r="I138" s="937"/>
      <c r="J138" s="937"/>
      <c r="K138" s="937"/>
      <c r="L138" s="153">
        <f t="shared" si="0"/>
        <v>2343</v>
      </c>
      <c r="M138" s="154" t="str">
        <f t="shared" si="1"/>
        <v>COMITE PARITAIRE</v>
      </c>
      <c r="N138" s="155">
        <f>+IF(OR($Q138=Parametres!$G$2,$Q138=Parametres!$G$3),I138,C138)</f>
        <v>-661.16</v>
      </c>
      <c r="O138" s="155">
        <f>+IF(OR($Q138=Parametres!$G$2,$Q138=Parametres!$G$3),J138,D138)</f>
        <v>176.8</v>
      </c>
      <c r="P138" s="155">
        <f>+IF(OR($Q138=Parametres!$G$2,$Q138=Parametres!$G$3),K138,E138)</f>
        <v>-484.36</v>
      </c>
      <c r="Q138" s="154" t="str">
        <f t="shared" si="10"/>
        <v>3-Passifs</v>
      </c>
      <c r="R138" s="153" t="str">
        <f t="shared" si="10"/>
        <v>2315</v>
      </c>
      <c r="S138" s="154">
        <f t="shared" si="10"/>
        <v>0</v>
      </c>
      <c r="T138" s="156">
        <f>+VLOOKUP($L138,Data_Validation!$A:$D,1,0)</f>
        <v>2343</v>
      </c>
      <c r="U138" s="156" t="str">
        <f>+VLOOKUP($L138,Data_Validation!$A:$D,3,0)</f>
        <v>Bilan</v>
      </c>
      <c r="V138" s="156" t="str">
        <f>+VLOOKUP($L138,Data_Validation!$A:$D,4,0)</f>
        <v>DAS à Payer</v>
      </c>
      <c r="W138" s="156" t="str">
        <f>+VLOOKUP($L138,Data_Validation!$A:$E,5,0)</f>
        <v>$</v>
      </c>
      <c r="X138" s="156">
        <f>+VLOOKUP($L138,Data_Validation!$A:$F,6,0)</f>
        <v>0</v>
      </c>
    </row>
    <row r="139" spans="1:24" ht="15.75" hidden="1" customHeight="1">
      <c r="A139" s="1002" t="s">
        <v>536</v>
      </c>
      <c r="B139" s="1145">
        <v>2344</v>
      </c>
      <c r="C139" s="1004">
        <v>-1460</v>
      </c>
      <c r="D139" s="1004">
        <v>1196.5</v>
      </c>
      <c r="E139" s="1004">
        <v>-263.5</v>
      </c>
      <c r="F139" s="1002" t="s">
        <v>282</v>
      </c>
      <c r="G139" s="1002" t="s">
        <v>2159</v>
      </c>
      <c r="H139" s="938"/>
      <c r="I139" s="937"/>
      <c r="J139" s="937"/>
      <c r="K139" s="937"/>
      <c r="L139" s="153">
        <f t="shared" si="0"/>
        <v>2344</v>
      </c>
      <c r="M139" s="154" t="str">
        <f t="shared" si="1"/>
        <v>CENTRAIDE</v>
      </c>
      <c r="N139" s="155">
        <f>+IF(OR($Q139=Parametres!$G$2,$Q139=Parametres!$G$3),I139,C139)</f>
        <v>-1460</v>
      </c>
      <c r="O139" s="155">
        <f>+IF(OR($Q139=Parametres!$G$2,$Q139=Parametres!$G$3),J139,D139)</f>
        <v>1196.5</v>
      </c>
      <c r="P139" s="155">
        <f>+IF(OR($Q139=Parametres!$G$2,$Q139=Parametres!$G$3),K139,E139)</f>
        <v>-263.5</v>
      </c>
      <c r="Q139" s="154" t="str">
        <f t="shared" si="10"/>
        <v>3-Passifs</v>
      </c>
      <c r="R139" s="153" t="str">
        <f t="shared" si="10"/>
        <v>2315</v>
      </c>
      <c r="S139" s="154">
        <f t="shared" si="10"/>
        <v>0</v>
      </c>
      <c r="T139" s="156">
        <f>+VLOOKUP($L139,Data_Validation!$A:$D,1,0)</f>
        <v>2344</v>
      </c>
      <c r="U139" s="156" t="str">
        <f>+VLOOKUP($L139,Data_Validation!$A:$D,3,0)</f>
        <v>Bilan</v>
      </c>
      <c r="V139" s="156" t="str">
        <f>+VLOOKUP($L139,Data_Validation!$A:$D,4,0)</f>
        <v>DAS à Payer</v>
      </c>
      <c r="W139" s="156" t="str">
        <f>+VLOOKUP($L139,Data_Validation!$A:$E,5,0)</f>
        <v>$</v>
      </c>
      <c r="X139" s="156">
        <f>+VLOOKUP($L139,Data_Validation!$A:$F,6,0)</f>
        <v>0</v>
      </c>
    </row>
    <row r="140" spans="1:24" ht="15" hidden="1" customHeight="1">
      <c r="A140" s="1002" t="s">
        <v>2190</v>
      </c>
      <c r="B140" s="1145">
        <v>2401</v>
      </c>
      <c r="C140" s="1004">
        <v>-4100</v>
      </c>
      <c r="D140" s="1004">
        <v>250</v>
      </c>
      <c r="E140" s="1004">
        <v>-3850</v>
      </c>
      <c r="F140" s="1002" t="s">
        <v>282</v>
      </c>
      <c r="G140" s="1002" t="s">
        <v>2191</v>
      </c>
      <c r="H140" s="938"/>
      <c r="I140" s="937"/>
      <c r="J140" s="937"/>
      <c r="K140" s="937"/>
      <c r="L140" s="153">
        <f t="shared" si="0"/>
        <v>2401</v>
      </c>
      <c r="M140" s="154" t="str">
        <f t="shared" si="1"/>
        <v>DEPOTS FIDUCIE-VENTE CLIENTS</v>
      </c>
      <c r="N140" s="155">
        <f>+IF(OR($Q140=Parametres!$G$2,$Q140=Parametres!$G$3),I140,C140)</f>
        <v>-4100</v>
      </c>
      <c r="O140" s="155">
        <f>+IF(OR($Q140=Parametres!$G$2,$Q140=Parametres!$G$3),J140,D140)</f>
        <v>250</v>
      </c>
      <c r="P140" s="155">
        <f>+IF(OR($Q140=Parametres!$G$2,$Q140=Parametres!$G$3),K140,E140)</f>
        <v>-3850</v>
      </c>
      <c r="Q140" s="154" t="str">
        <f t="shared" si="10"/>
        <v>3-Passifs</v>
      </c>
      <c r="R140" s="153" t="str">
        <f t="shared" si="10"/>
        <v>2401</v>
      </c>
      <c r="S140" s="154">
        <f t="shared" si="10"/>
        <v>0</v>
      </c>
      <c r="T140" s="156">
        <f>+VLOOKUP($L140,Data_Validation!$A:$D,1,0)</f>
        <v>2401</v>
      </c>
      <c r="U140" s="156" t="str">
        <f>+VLOOKUP($L140,Data_Validation!$A:$D,3,0)</f>
        <v>Bilan</v>
      </c>
      <c r="V140" s="156" t="str">
        <f>+VLOOKUP($L140,Data_Validation!$A:$D,4,0)</f>
        <v>Dépôts de Client</v>
      </c>
      <c r="W140" s="156" t="str">
        <f>+VLOOKUP($L140,Data_Validation!$A:$E,5,0)</f>
        <v>$</v>
      </c>
      <c r="X140" s="156">
        <f>+VLOOKUP($L140,Data_Validation!$A:$F,6,0)</f>
        <v>0</v>
      </c>
    </row>
    <row r="141" spans="1:24" ht="15" hidden="1" customHeight="1">
      <c r="A141" s="1002" t="s">
        <v>2595</v>
      </c>
      <c r="B141" s="1145">
        <v>2501</v>
      </c>
      <c r="C141" s="1004">
        <v>-3565.64</v>
      </c>
      <c r="D141" s="1004">
        <v>-4785.67</v>
      </c>
      <c r="E141" s="1004">
        <v>-8351.31</v>
      </c>
      <c r="F141" s="1002" t="s">
        <v>282</v>
      </c>
      <c r="G141" s="1002" t="s">
        <v>2596</v>
      </c>
      <c r="H141" s="938"/>
      <c r="I141" s="937"/>
      <c r="J141" s="937"/>
      <c r="K141" s="937"/>
      <c r="L141" s="153">
        <f t="shared" si="0"/>
        <v>2501</v>
      </c>
      <c r="M141" s="154" t="str">
        <f t="shared" si="1"/>
        <v>COMMISSION A PAYER</v>
      </c>
      <c r="N141" s="155">
        <f>+IF(OR($Q141=Parametres!$G$2,$Q141=Parametres!$G$3),I141,C141)</f>
        <v>-3565.64</v>
      </c>
      <c r="O141" s="155">
        <f>+IF(OR($Q141=Parametres!$G$2,$Q141=Parametres!$G$3),J141,D141)</f>
        <v>-4785.67</v>
      </c>
      <c r="P141" s="155">
        <f>+IF(OR($Q141=Parametres!$G$2,$Q141=Parametres!$G$3),K141,E141)</f>
        <v>-8351.31</v>
      </c>
      <c r="Q141" s="154" t="str">
        <f t="shared" si="10"/>
        <v>3-Passifs</v>
      </c>
      <c r="R141" s="153" t="str">
        <f t="shared" si="10"/>
        <v>2501</v>
      </c>
      <c r="S141" s="154">
        <f t="shared" si="10"/>
        <v>0</v>
      </c>
      <c r="T141" s="156">
        <f>+VLOOKUP($L141,Data_Validation!$A:$D,1,0)</f>
        <v>2501</v>
      </c>
      <c r="U141" s="156" t="str">
        <f>+VLOOKUP($L141,Data_Validation!$A:$D,3,0)</f>
        <v>Bilan</v>
      </c>
      <c r="V141" s="156" t="str">
        <f>+VLOOKUP($L141,Data_Validation!$A:$D,4,0)</f>
        <v>Salaires à Payer</v>
      </c>
      <c r="W141" s="156" t="str">
        <f>+VLOOKUP($L141,Data_Validation!$A:$E,5,0)</f>
        <v>$</v>
      </c>
      <c r="X141" s="156">
        <f>+VLOOKUP($L141,Data_Validation!$A:$F,6,0)</f>
        <v>0</v>
      </c>
    </row>
    <row r="142" spans="1:24" ht="15" hidden="1" customHeight="1">
      <c r="A142" s="1002" t="s">
        <v>2055</v>
      </c>
      <c r="B142" s="1145">
        <v>2503</v>
      </c>
      <c r="C142" s="1004">
        <v>-190459.78</v>
      </c>
      <c r="D142" s="1004">
        <v>28724.63</v>
      </c>
      <c r="E142" s="1004">
        <v>-161735.15</v>
      </c>
      <c r="F142" s="1002" t="s">
        <v>282</v>
      </c>
      <c r="G142" s="1002" t="s">
        <v>2056</v>
      </c>
      <c r="H142" s="938"/>
      <c r="I142" s="937"/>
      <c r="J142" s="937"/>
      <c r="K142" s="937"/>
      <c r="L142" s="153">
        <f t="shared" si="0"/>
        <v>2503</v>
      </c>
      <c r="M142" s="154" t="str">
        <f t="shared" si="1"/>
        <v>SALAIRES DES EMPLOYES</v>
      </c>
      <c r="N142" s="155">
        <f>+IF(OR($Q142=Parametres!$G$2,$Q142=Parametres!$G$3),I142,C142)</f>
        <v>-190459.78</v>
      </c>
      <c r="O142" s="155">
        <f>+IF(OR($Q142=Parametres!$G$2,$Q142=Parametres!$G$3),J142,D142)</f>
        <v>28724.63</v>
      </c>
      <c r="P142" s="155">
        <f>+IF(OR($Q142=Parametres!$G$2,$Q142=Parametres!$G$3),K142,E142)</f>
        <v>-161735.15</v>
      </c>
      <c r="Q142" s="154" t="str">
        <f t="shared" si="10"/>
        <v>3-Passifs</v>
      </c>
      <c r="R142" s="153" t="str">
        <f t="shared" si="10"/>
        <v>2503</v>
      </c>
      <c r="S142" s="154">
        <f t="shared" si="10"/>
        <v>0</v>
      </c>
      <c r="T142" s="156">
        <f>+VLOOKUP($L142,Data_Validation!$A:$D,1,0)</f>
        <v>2503</v>
      </c>
      <c r="U142" s="156" t="str">
        <f>+VLOOKUP($L142,Data_Validation!$A:$D,3,0)</f>
        <v>Bilan</v>
      </c>
      <c r="V142" s="156" t="str">
        <f>+VLOOKUP($L142,Data_Validation!$A:$D,4,0)</f>
        <v>Salaires à Payer</v>
      </c>
      <c r="W142" s="156" t="str">
        <f>+VLOOKUP($L142,Data_Validation!$A:$E,5,0)</f>
        <v>$</v>
      </c>
      <c r="X142" s="156">
        <f>+VLOOKUP($L142,Data_Validation!$A:$F,6,0)</f>
        <v>0</v>
      </c>
    </row>
    <row r="143" spans="1:24" ht="15.75" hidden="1" customHeight="1">
      <c r="A143" s="1002" t="s">
        <v>2095</v>
      </c>
      <c r="B143" s="1145">
        <v>2505</v>
      </c>
      <c r="C143" s="1004">
        <v>-12749.49</v>
      </c>
      <c r="D143" s="1004">
        <v>-4223.8500000000004</v>
      </c>
      <c r="E143" s="1004">
        <v>-16973.34</v>
      </c>
      <c r="F143" s="1002" t="s">
        <v>282</v>
      </c>
      <c r="G143" s="1002" t="s">
        <v>2056</v>
      </c>
      <c r="H143" s="938"/>
      <c r="I143" s="937"/>
      <c r="J143" s="937"/>
      <c r="K143" s="937"/>
      <c r="L143" s="153">
        <f t="shared" si="0"/>
        <v>2505</v>
      </c>
      <c r="M143" s="154" t="str">
        <f t="shared" si="1"/>
        <v>JOURS FERIES</v>
      </c>
      <c r="N143" s="155">
        <f>+IF(OR($Q143=Parametres!$G$2,$Q143=Parametres!$G$3),I143,C143)</f>
        <v>-12749.49</v>
      </c>
      <c r="O143" s="155">
        <f>+IF(OR($Q143=Parametres!$G$2,$Q143=Parametres!$G$3),J143,D143)</f>
        <v>-4223.8500000000004</v>
      </c>
      <c r="P143" s="155">
        <f>+IF(OR($Q143=Parametres!$G$2,$Q143=Parametres!$G$3),K143,E143)</f>
        <v>-16973.34</v>
      </c>
      <c r="Q143" s="154" t="str">
        <f t="shared" si="10"/>
        <v>3-Passifs</v>
      </c>
      <c r="R143" s="153" t="str">
        <f t="shared" si="10"/>
        <v>2503</v>
      </c>
      <c r="S143" s="154">
        <f t="shared" si="10"/>
        <v>0</v>
      </c>
      <c r="T143" s="156">
        <f>+VLOOKUP($L143,Data_Validation!$A:$D,1,0)</f>
        <v>2505</v>
      </c>
      <c r="U143" s="156" t="str">
        <f>+VLOOKUP($L143,Data_Validation!$A:$D,3,0)</f>
        <v>Bilan</v>
      </c>
      <c r="V143" s="156" t="str">
        <f>+VLOOKUP($L143,Data_Validation!$A:$D,4,0)</f>
        <v>Salaires à Payer</v>
      </c>
      <c r="W143" s="156" t="str">
        <f>+VLOOKUP($L143,Data_Validation!$A:$E,5,0)</f>
        <v>$</v>
      </c>
      <c r="X143" s="156">
        <f>+VLOOKUP($L143,Data_Validation!$A:$F,6,0)</f>
        <v>0</v>
      </c>
    </row>
    <row r="144" spans="1:24" ht="15" hidden="1" customHeight="1">
      <c r="A144" s="1002" t="s">
        <v>2416</v>
      </c>
      <c r="B144" s="1145">
        <v>2507</v>
      </c>
      <c r="C144" s="1004">
        <v>666.67</v>
      </c>
      <c r="D144" s="1004">
        <v>9200</v>
      </c>
      <c r="E144" s="1004">
        <v>9866.67</v>
      </c>
      <c r="F144" s="1002" t="s">
        <v>282</v>
      </c>
      <c r="G144" s="1002" t="s">
        <v>2417</v>
      </c>
      <c r="H144" s="938"/>
      <c r="I144" s="937"/>
      <c r="J144" s="937"/>
      <c r="K144" s="937"/>
      <c r="L144" s="153">
        <f t="shared" si="0"/>
        <v>2507</v>
      </c>
      <c r="M144" s="154" t="str">
        <f t="shared" si="1"/>
        <v>BONIS - EMPLOYES</v>
      </c>
      <c r="N144" s="155">
        <f>+IF(OR($Q144=Parametres!$G$2,$Q144=Parametres!$G$3),I144,C144)</f>
        <v>666.67</v>
      </c>
      <c r="O144" s="155">
        <f>+IF(OR($Q144=Parametres!$G$2,$Q144=Parametres!$G$3),J144,D144)</f>
        <v>9200</v>
      </c>
      <c r="P144" s="155">
        <f>+IF(OR($Q144=Parametres!$G$2,$Q144=Parametres!$G$3),K144,E144)</f>
        <v>9866.67</v>
      </c>
      <c r="Q144" s="154" t="str">
        <f t="shared" si="10"/>
        <v>3-Passifs</v>
      </c>
      <c r="R144" s="153" t="str">
        <f t="shared" si="10"/>
        <v>2507</v>
      </c>
      <c r="S144" s="154">
        <f t="shared" si="10"/>
        <v>0</v>
      </c>
      <c r="T144" s="156">
        <f>+VLOOKUP($L144,Data_Validation!$A:$D,1,0)</f>
        <v>2507</v>
      </c>
      <c r="U144" s="156" t="str">
        <f>+VLOOKUP($L144,Data_Validation!$A:$D,3,0)</f>
        <v>Bilan</v>
      </c>
      <c r="V144" s="156" t="str">
        <f>+VLOOKUP($L144,Data_Validation!$A:$D,4,0)</f>
        <v>Salaires à Payer</v>
      </c>
      <c r="W144" s="156" t="str">
        <f>+VLOOKUP($L144,Data_Validation!$A:$E,5,0)</f>
        <v>$</v>
      </c>
      <c r="X144" s="156">
        <f>+VLOOKUP($L144,Data_Validation!$A:$F,6,0)</f>
        <v>0</v>
      </c>
    </row>
    <row r="145" spans="1:24" ht="15" hidden="1" customHeight="1">
      <c r="A145" s="1002" t="s">
        <v>2091</v>
      </c>
      <c r="B145" s="1145">
        <v>2509</v>
      </c>
      <c r="C145" s="1004">
        <v>-208240.44</v>
      </c>
      <c r="D145" s="1004">
        <v>11863.8</v>
      </c>
      <c r="E145" s="1004">
        <v>-196376.64</v>
      </c>
      <c r="F145" s="1002" t="s">
        <v>282</v>
      </c>
      <c r="G145" s="1002" t="s">
        <v>2056</v>
      </c>
      <c r="H145" s="959"/>
      <c r="I145" s="959"/>
      <c r="J145" s="959"/>
      <c r="K145" s="959"/>
      <c r="L145" s="153">
        <f t="shared" si="0"/>
        <v>2509</v>
      </c>
      <c r="M145" s="154" t="str">
        <f t="shared" si="1"/>
        <v>SALAIRES DE VACANCES</v>
      </c>
      <c r="N145" s="155">
        <f>+IF(OR($Q145=Parametres!$G$2,$Q145=Parametres!$G$3),I145,C145)</f>
        <v>-208240.44</v>
      </c>
      <c r="O145" s="155">
        <f>+IF(OR($Q145=Parametres!$G$2,$Q145=Parametres!$G$3),J145,D145)</f>
        <v>11863.8</v>
      </c>
      <c r="P145" s="155">
        <f>+IF(OR($Q145=Parametres!$G$2,$Q145=Parametres!$G$3),K145,E145)</f>
        <v>-196376.64</v>
      </c>
      <c r="Q145" s="154" t="str">
        <f t="shared" si="10"/>
        <v>3-Passifs</v>
      </c>
      <c r="R145" s="153" t="str">
        <f t="shared" si="10"/>
        <v>2503</v>
      </c>
      <c r="S145" s="154">
        <f t="shared" si="10"/>
        <v>0</v>
      </c>
      <c r="T145" s="156">
        <f>+VLOOKUP($L145,Data_Validation!$A:$D,1,0)</f>
        <v>2509</v>
      </c>
      <c r="U145" s="156" t="str">
        <f>+VLOOKUP($L145,Data_Validation!$A:$D,3,0)</f>
        <v>Bilan</v>
      </c>
      <c r="V145" s="156" t="str">
        <f>+VLOOKUP($L145,Data_Validation!$A:$D,4,0)</f>
        <v>Salaires à Payer</v>
      </c>
      <c r="W145" s="156" t="str">
        <f>+VLOOKUP($L145,Data_Validation!$A:$E,5,0)</f>
        <v>$</v>
      </c>
      <c r="X145" s="156">
        <f>+VLOOKUP($L145,Data_Validation!$A:$F,6,0)</f>
        <v>0</v>
      </c>
    </row>
    <row r="146" spans="1:24" ht="15" hidden="1" customHeight="1">
      <c r="A146" s="1002" t="s">
        <v>2185</v>
      </c>
      <c r="B146" s="1145">
        <v>2511</v>
      </c>
      <c r="C146" s="1004">
        <v>0</v>
      </c>
      <c r="D146" s="1004">
        <v>2070.86</v>
      </c>
      <c r="E146" s="1004">
        <v>2070.86</v>
      </c>
      <c r="F146" s="1002" t="s">
        <v>282</v>
      </c>
      <c r="G146" s="1002" t="s">
        <v>2056</v>
      </c>
      <c r="H146" s="959"/>
      <c r="I146" s="959"/>
      <c r="J146" s="959"/>
      <c r="K146" s="959"/>
      <c r="L146" s="153">
        <f t="shared" si="0"/>
        <v>2511</v>
      </c>
      <c r="M146" s="154" t="str">
        <f t="shared" si="1"/>
        <v>JOURNEE MALADIE</v>
      </c>
      <c r="N146" s="155">
        <f>+IF(OR($Q146=Parametres!$G$2,$Q146=Parametres!$G$3),I146,C146)</f>
        <v>0</v>
      </c>
      <c r="O146" s="155">
        <f>+IF(OR($Q146=Parametres!$G$2,$Q146=Parametres!$G$3),J146,D146)</f>
        <v>2070.86</v>
      </c>
      <c r="P146" s="155">
        <f>+IF(OR($Q146=Parametres!$G$2,$Q146=Parametres!$G$3),K146,E146)</f>
        <v>2070.86</v>
      </c>
      <c r="Q146" s="154" t="str">
        <f t="shared" ref="Q146:S161" si="11">+F146</f>
        <v>3-Passifs</v>
      </c>
      <c r="R146" s="153" t="str">
        <f t="shared" si="11"/>
        <v>2503</v>
      </c>
      <c r="S146" s="154">
        <f t="shared" si="11"/>
        <v>0</v>
      </c>
      <c r="T146" s="156">
        <f>+VLOOKUP($L146,Data_Validation!$A:$D,1,0)</f>
        <v>2511</v>
      </c>
      <c r="U146" s="156" t="str">
        <f>+VLOOKUP($L146,Data_Validation!$A:$D,3,0)</f>
        <v>Bilan</v>
      </c>
      <c r="V146" s="156" t="str">
        <f>+VLOOKUP($L146,Data_Validation!$A:$D,4,0)</f>
        <v>Salaires à Payer</v>
      </c>
      <c r="W146" s="156" t="str">
        <f>+VLOOKUP($L146,Data_Validation!$A:$E,5,0)</f>
        <v>$</v>
      </c>
      <c r="X146" s="156">
        <f>+VLOOKUP($L146,Data_Validation!$A:$F,6,0)</f>
        <v>0</v>
      </c>
    </row>
    <row r="147" spans="1:24" ht="15" hidden="1" customHeight="1">
      <c r="A147" s="1002" t="s">
        <v>2684</v>
      </c>
      <c r="B147" s="1145">
        <v>2801</v>
      </c>
      <c r="C147" s="1004">
        <v>-28694.25</v>
      </c>
      <c r="D147" s="1004">
        <v>1585.25</v>
      </c>
      <c r="E147" s="1004">
        <v>-27109</v>
      </c>
      <c r="F147" s="1002" t="s">
        <v>282</v>
      </c>
      <c r="G147" s="1002" t="s">
        <v>2685</v>
      </c>
      <c r="H147" s="959"/>
      <c r="I147" s="959"/>
      <c r="J147" s="959"/>
      <c r="K147" s="959"/>
      <c r="L147" s="153">
        <f t="shared" si="0"/>
        <v>2801</v>
      </c>
      <c r="M147" s="154" t="str">
        <f t="shared" si="1"/>
        <v>PRET CIBC</v>
      </c>
      <c r="N147" s="155">
        <f>+IF(OR($Q147=Parametres!$G$2,$Q147=Parametres!$G$3),I147,C147)</f>
        <v>-28694.25</v>
      </c>
      <c r="O147" s="155">
        <f>+IF(OR($Q147=Parametres!$G$2,$Q147=Parametres!$G$3),J147,D147)</f>
        <v>1585.25</v>
      </c>
      <c r="P147" s="155">
        <f>+IF(OR($Q147=Parametres!$G$2,$Q147=Parametres!$G$3),K147,E147)</f>
        <v>-27109</v>
      </c>
      <c r="Q147" s="154" t="str">
        <f t="shared" si="11"/>
        <v>3-Passifs</v>
      </c>
      <c r="R147" s="153" t="str">
        <f t="shared" si="11"/>
        <v>2801</v>
      </c>
      <c r="S147" s="154">
        <f t="shared" si="11"/>
        <v>0</v>
      </c>
      <c r="T147" s="156">
        <f>+VLOOKUP($L147,Data_Validation!$A:$D,1,0)</f>
        <v>2801</v>
      </c>
      <c r="U147" s="156" t="str">
        <f>+VLOOKUP($L147,Data_Validation!$A:$D,3,0)</f>
        <v>Bilan</v>
      </c>
      <c r="V147" s="156" t="str">
        <f>+VLOOKUP($L147,Data_Validation!$A:$D,4,0)</f>
        <v>Dette à Long Terme</v>
      </c>
      <c r="W147" s="156" t="str">
        <f>+VLOOKUP($L147,Data_Validation!$A:$E,5,0)</f>
        <v>$</v>
      </c>
      <c r="X147" s="156">
        <f>+VLOOKUP($L147,Data_Validation!$A:$F,6,0)</f>
        <v>0</v>
      </c>
    </row>
    <row r="148" spans="1:24" ht="15" hidden="1" customHeight="1">
      <c r="A148" s="1002" t="s">
        <v>827</v>
      </c>
      <c r="B148" s="1145">
        <v>2901</v>
      </c>
      <c r="C148" s="1004">
        <v>-23392.41</v>
      </c>
      <c r="D148" s="1004">
        <v>0</v>
      </c>
      <c r="E148" s="1004">
        <v>-23392.41</v>
      </c>
      <c r="F148" s="1002" t="s">
        <v>282</v>
      </c>
      <c r="G148" s="1002" t="s">
        <v>2187</v>
      </c>
      <c r="H148" s="959"/>
      <c r="I148" s="959"/>
      <c r="J148" s="959"/>
      <c r="K148" s="959"/>
      <c r="L148" s="153">
        <f t="shared" si="0"/>
        <v>2901</v>
      </c>
      <c r="M148" s="154" t="str">
        <f t="shared" si="1"/>
        <v>RESERVE CARTES PRIVILEGE</v>
      </c>
      <c r="N148" s="155">
        <f>+IF(OR($Q148=Parametres!$G$2,$Q148=Parametres!$G$3),I148,C148)</f>
        <v>-23392.41</v>
      </c>
      <c r="O148" s="155">
        <f>+IF(OR($Q148=Parametres!$G$2,$Q148=Parametres!$G$3),J148,D148)</f>
        <v>0</v>
      </c>
      <c r="P148" s="155">
        <f>+IF(OR($Q148=Parametres!$G$2,$Q148=Parametres!$G$3),K148,E148)</f>
        <v>-23392.41</v>
      </c>
      <c r="Q148" s="154" t="str">
        <f t="shared" si="11"/>
        <v>3-Passifs</v>
      </c>
      <c r="R148" s="153" t="str">
        <f t="shared" si="11"/>
        <v>2901</v>
      </c>
      <c r="S148" s="154">
        <f t="shared" si="11"/>
        <v>0</v>
      </c>
      <c r="T148" s="156">
        <f>+VLOOKUP($L148,Data_Validation!$A:$D,1,0)</f>
        <v>2901</v>
      </c>
      <c r="U148" s="156" t="str">
        <f>+VLOOKUP($L148,Data_Validation!$A:$D,3,0)</f>
        <v>Bilan</v>
      </c>
      <c r="V148" s="156" t="str">
        <f>+VLOOKUP($L148,Data_Validation!$A:$D,4,0)</f>
        <v>Autres Courus</v>
      </c>
      <c r="W148" s="156" t="str">
        <f>+VLOOKUP($L148,Data_Validation!$A:$E,5,0)</f>
        <v>$</v>
      </c>
      <c r="X148" s="156">
        <f>+VLOOKUP($L148,Data_Validation!$A:$F,6,0)</f>
        <v>0</v>
      </c>
    </row>
    <row r="149" spans="1:24" ht="15" hidden="1" customHeight="1">
      <c r="A149" s="1002" t="s">
        <v>2418</v>
      </c>
      <c r="B149" s="1145">
        <v>3001</v>
      </c>
      <c r="C149" s="1004">
        <v>-2350000</v>
      </c>
      <c r="D149" s="1004">
        <v>0</v>
      </c>
      <c r="E149" s="1004">
        <v>-2350000</v>
      </c>
      <c r="F149" s="1002" t="s">
        <v>831</v>
      </c>
      <c r="G149" s="1002" t="s">
        <v>2419</v>
      </c>
      <c r="H149" s="959"/>
      <c r="I149" s="959"/>
      <c r="J149" s="959"/>
      <c r="K149" s="959"/>
      <c r="L149" s="153">
        <f t="shared" si="0"/>
        <v>3001</v>
      </c>
      <c r="M149" s="154" t="str">
        <f t="shared" si="1"/>
        <v>ACTIONS CATEGORIE 1</v>
      </c>
      <c r="N149" s="155">
        <f>+IF(OR($Q149=Parametres!$G$2,$Q149=Parametres!$G$3),I149,C149)</f>
        <v>-2350000</v>
      </c>
      <c r="O149" s="155">
        <f>+IF(OR($Q149=Parametres!$G$2,$Q149=Parametres!$G$3),J149,D149)</f>
        <v>0</v>
      </c>
      <c r="P149" s="155">
        <f>+IF(OR($Q149=Parametres!$G$2,$Q149=Parametres!$G$3),K149,E149)</f>
        <v>-2350000</v>
      </c>
      <c r="Q149" s="154" t="str">
        <f t="shared" si="11"/>
        <v>4-Valeur nette</v>
      </c>
      <c r="R149" s="153" t="str">
        <f t="shared" si="11"/>
        <v>3001</v>
      </c>
      <c r="S149" s="154">
        <f t="shared" si="11"/>
        <v>0</v>
      </c>
      <c r="T149" s="156">
        <f>+VLOOKUP($L149,Data_Validation!$A:$D,1,0)</f>
        <v>3001</v>
      </c>
      <c r="U149" s="156" t="str">
        <f>+VLOOKUP($L149,Data_Validation!$A:$D,3,0)</f>
        <v>Bilan</v>
      </c>
      <c r="V149" s="156" t="str">
        <f>+VLOOKUP($L149,Data_Validation!$A:$D,4,0)</f>
        <v>Capital Actions</v>
      </c>
      <c r="W149" s="156" t="str">
        <f>+VLOOKUP($L149,Data_Validation!$A:$E,5,0)</f>
        <v>$</v>
      </c>
      <c r="X149" s="156">
        <f>+VLOOKUP($L149,Data_Validation!$A:$F,6,0)</f>
        <v>0</v>
      </c>
    </row>
    <row r="150" spans="1:24" ht="15" hidden="1" customHeight="1">
      <c r="A150" s="1002" t="s">
        <v>2420</v>
      </c>
      <c r="B150" s="1145">
        <v>3003</v>
      </c>
      <c r="C150" s="1004">
        <v>-1723617</v>
      </c>
      <c r="D150" s="1004">
        <v>0</v>
      </c>
      <c r="E150" s="1004">
        <v>-1723617</v>
      </c>
      <c r="F150" s="1002" t="s">
        <v>831</v>
      </c>
      <c r="G150" s="1002" t="s">
        <v>2419</v>
      </c>
      <c r="H150" s="959"/>
      <c r="I150" s="959"/>
      <c r="J150" s="959"/>
      <c r="K150" s="959"/>
      <c r="L150" s="153">
        <f t="shared" si="0"/>
        <v>3003</v>
      </c>
      <c r="M150" s="154" t="str">
        <f t="shared" si="1"/>
        <v>APPORT / RETRAIT</v>
      </c>
      <c r="N150" s="155">
        <f>+IF(OR($Q150=Parametres!$G$2,$Q150=Parametres!$G$3),I150,C150)</f>
        <v>-1723617</v>
      </c>
      <c r="O150" s="155">
        <f>+IF(OR($Q150=Parametres!$G$2,$Q150=Parametres!$G$3),J150,D150)</f>
        <v>0</v>
      </c>
      <c r="P150" s="155">
        <f>+IF(OR($Q150=Parametres!$G$2,$Q150=Parametres!$G$3),K150,E150)</f>
        <v>-1723617</v>
      </c>
      <c r="Q150" s="154" t="str">
        <f t="shared" si="11"/>
        <v>4-Valeur nette</v>
      </c>
      <c r="R150" s="153" t="str">
        <f t="shared" si="11"/>
        <v>3001</v>
      </c>
      <c r="S150" s="154">
        <f t="shared" si="11"/>
        <v>0</v>
      </c>
      <c r="T150" s="156">
        <f>+VLOOKUP($L150,Data_Validation!$A:$D,1,0)</f>
        <v>3003</v>
      </c>
      <c r="U150" s="156" t="str">
        <f>+VLOOKUP($L150,Data_Validation!$A:$D,3,0)</f>
        <v>Bilan</v>
      </c>
      <c r="V150" s="156" t="str">
        <f>+VLOOKUP($L150,Data_Validation!$A:$D,4,0)</f>
        <v>Apport</v>
      </c>
      <c r="W150" s="156" t="str">
        <f>+VLOOKUP($L150,Data_Validation!$A:$E,5,0)</f>
        <v>$</v>
      </c>
      <c r="X150" s="156">
        <f>+VLOOKUP($L150,Data_Validation!$A:$F,6,0)</f>
        <v>0</v>
      </c>
    </row>
    <row r="151" spans="1:24" ht="15.75" hidden="1" customHeight="1">
      <c r="A151" s="1002" t="s">
        <v>2422</v>
      </c>
      <c r="B151" s="1145">
        <v>3007</v>
      </c>
      <c r="C151" s="1004">
        <v>-347547.5</v>
      </c>
      <c r="D151" s="1004">
        <v>0</v>
      </c>
      <c r="E151" s="1004">
        <v>-347547.5</v>
      </c>
      <c r="F151" s="1002" t="s">
        <v>831</v>
      </c>
      <c r="G151" s="1002" t="s">
        <v>2419</v>
      </c>
      <c r="H151" s="959"/>
      <c r="I151" s="959"/>
      <c r="J151" s="959"/>
      <c r="K151" s="959"/>
      <c r="L151" s="153">
        <f t="shared" si="0"/>
        <v>3007</v>
      </c>
      <c r="M151" s="154" t="str">
        <f t="shared" si="1"/>
        <v>ACTIONS PARTICIPANTES</v>
      </c>
      <c r="N151" s="155">
        <f>+IF(OR($Q151=Parametres!$G$2,$Q151=Parametres!$G$3),I151,C151)</f>
        <v>-347547.5</v>
      </c>
      <c r="O151" s="155">
        <f>+IF(OR($Q151=Parametres!$G$2,$Q151=Parametres!$G$3),J151,D151)</f>
        <v>0</v>
      </c>
      <c r="P151" s="155">
        <f>+IF(OR($Q151=Parametres!$G$2,$Q151=Parametres!$G$3),K151,E151)</f>
        <v>-347547.5</v>
      </c>
      <c r="Q151" s="154" t="str">
        <f t="shared" si="11"/>
        <v>4-Valeur nette</v>
      </c>
      <c r="R151" s="153" t="str">
        <f t="shared" si="11"/>
        <v>3001</v>
      </c>
      <c r="S151" s="154">
        <f t="shared" si="11"/>
        <v>0</v>
      </c>
      <c r="T151" s="156">
        <f>+VLOOKUP($L151,Data_Validation!$A:$D,1,0)</f>
        <v>3007</v>
      </c>
      <c r="U151" s="156" t="str">
        <f>+VLOOKUP($L151,Data_Validation!$A:$D,3,0)</f>
        <v>Bilan</v>
      </c>
      <c r="V151" s="156" t="str">
        <f>+VLOOKUP($L151,Data_Validation!$A:$D,4,0)</f>
        <v>Capital Actions</v>
      </c>
      <c r="W151" s="156">
        <f>+VLOOKUP($L151,Data_Validation!$A:$E,5,0)</f>
        <v>0</v>
      </c>
      <c r="X151" s="156">
        <f>+VLOOKUP($L151,Data_Validation!$A:$F,6,0)</f>
        <v>0</v>
      </c>
    </row>
    <row r="152" spans="1:24" ht="15" hidden="1" customHeight="1">
      <c r="A152" s="1002" t="s">
        <v>2424</v>
      </c>
      <c r="B152" s="1145">
        <v>3201</v>
      </c>
      <c r="C152" s="1004">
        <v>-973229.33</v>
      </c>
      <c r="D152" s="1004">
        <v>0</v>
      </c>
      <c r="E152" s="1004">
        <v>-973229.33</v>
      </c>
      <c r="F152" s="1002" t="s">
        <v>831</v>
      </c>
      <c r="G152" s="1002" t="s">
        <v>2419</v>
      </c>
      <c r="H152" s="959"/>
      <c r="I152" s="959"/>
      <c r="J152" s="959"/>
      <c r="K152" s="959"/>
      <c r="L152" s="153">
        <f t="shared" si="0"/>
        <v>3201</v>
      </c>
      <c r="M152" s="154" t="str">
        <f t="shared" si="1"/>
        <v>BENEFICES NON-REPARTIS</v>
      </c>
      <c r="N152" s="155">
        <f>+IF(OR($Q152=Parametres!$G$2,$Q152=Parametres!$G$3),I152,C152)</f>
        <v>-973229.33</v>
      </c>
      <c r="O152" s="155">
        <f>+IF(OR($Q152=Parametres!$G$2,$Q152=Parametres!$G$3),J152,D152)</f>
        <v>0</v>
      </c>
      <c r="P152" s="155">
        <f>+IF(OR($Q152=Parametres!$G$2,$Q152=Parametres!$G$3),K152,E152)</f>
        <v>-973229.33</v>
      </c>
      <c r="Q152" s="154" t="str">
        <f t="shared" si="11"/>
        <v>4-Valeur nette</v>
      </c>
      <c r="R152" s="153" t="str">
        <f t="shared" si="11"/>
        <v>3001</v>
      </c>
      <c r="S152" s="154">
        <f t="shared" si="11"/>
        <v>0</v>
      </c>
      <c r="T152" s="156">
        <f>+VLOOKUP($L152,Data_Validation!$A:$D,1,0)</f>
        <v>3201</v>
      </c>
      <c r="U152" s="156" t="str">
        <f>+VLOOKUP($L152,Data_Validation!$A:$D,3,0)</f>
        <v>Bilan</v>
      </c>
      <c r="V152" s="156" t="str">
        <f>+VLOOKUP($L152,Data_Validation!$A:$D,4,0)</f>
        <v>Bénéfices non répartis</v>
      </c>
      <c r="W152" s="156" t="str">
        <f>+VLOOKUP($L152,Data_Validation!$A:$E,5,0)</f>
        <v>$</v>
      </c>
      <c r="X152" s="156">
        <f>+VLOOKUP($L152,Data_Validation!$A:$F,6,0)</f>
        <v>0</v>
      </c>
    </row>
    <row r="153" spans="1:24" ht="15" hidden="1" customHeight="1">
      <c r="A153" s="1002" t="s">
        <v>2022</v>
      </c>
      <c r="B153" s="1145">
        <v>4100</v>
      </c>
      <c r="C153" s="1004">
        <v>0</v>
      </c>
      <c r="D153" s="1004">
        <v>-86061.69</v>
      </c>
      <c r="E153" s="1004">
        <v>-86061.69</v>
      </c>
      <c r="F153" s="1002" t="s">
        <v>285</v>
      </c>
      <c r="G153" s="1002" t="s">
        <v>2023</v>
      </c>
      <c r="H153" s="959"/>
      <c r="I153" s="959"/>
      <c r="J153" s="959"/>
      <c r="K153" s="959"/>
      <c r="L153" s="153">
        <f t="shared" si="0"/>
        <v>4100</v>
      </c>
      <c r="M153" s="154" t="str">
        <f t="shared" si="1"/>
        <v>VTE - RACHAT BAIL VW</v>
      </c>
      <c r="N153" s="155">
        <f>+IF(OR($Q153=Parametres!$G$2,$Q153=Parametres!$G$3),I153,C153)</f>
        <v>0</v>
      </c>
      <c r="O153" s="155">
        <f>+IF(OR($Q153=Parametres!$G$2,$Q153=Parametres!$G$3),J153,D153)</f>
        <v>-86061.69</v>
      </c>
      <c r="P153" s="155">
        <f>+IF(OR($Q153=Parametres!$G$2,$Q153=Parametres!$G$3),K153,E153)</f>
        <v>-86061.69</v>
      </c>
      <c r="Q153" s="154" t="str">
        <f t="shared" si="11"/>
        <v>5-Ventes</v>
      </c>
      <c r="R153" s="153" t="str">
        <f t="shared" si="11"/>
        <v>4100</v>
      </c>
      <c r="S153" s="154">
        <f t="shared" si="11"/>
        <v>0</v>
      </c>
      <c r="T153" s="156">
        <f>+VLOOKUP($L153,Data_Validation!$A:$D,1,0)</f>
        <v>4100</v>
      </c>
      <c r="U153" s="156" t="str">
        <f>+VLOOKUP($L153,Data_Validation!$A:$D,3,0)</f>
        <v>Véhicules neufs</v>
      </c>
      <c r="V153" s="156" t="str">
        <f>+VLOOKUP($L153,Data_Validation!$A:$D,4,0)</f>
        <v>Rachat bail</v>
      </c>
      <c r="W153" s="156" t="str">
        <f>+VLOOKUP($L153,Data_Validation!$A:$E,5,0)</f>
        <v>$</v>
      </c>
      <c r="X153" s="156" t="str">
        <f>+VLOOKUP($L153,Data_Validation!$A:$F,6,0)</f>
        <v>Oui</v>
      </c>
    </row>
    <row r="154" spans="1:24" ht="15" hidden="1" customHeight="1">
      <c r="A154" s="1002" t="s">
        <v>2477</v>
      </c>
      <c r="B154" s="1145" t="s">
        <v>2478</v>
      </c>
      <c r="C154" s="1004"/>
      <c r="D154" s="1004"/>
      <c r="E154" s="1004"/>
      <c r="F154" s="1002" t="s">
        <v>4</v>
      </c>
      <c r="G154" s="1002" t="s">
        <v>2023</v>
      </c>
      <c r="H154" s="959"/>
      <c r="I154" s="959">
        <v>0</v>
      </c>
      <c r="J154" s="959">
        <v>-6</v>
      </c>
      <c r="K154" s="959">
        <v>-6</v>
      </c>
      <c r="L154" s="153" t="str">
        <f t="shared" si="0"/>
        <v>4100@</v>
      </c>
      <c r="M154" s="154" t="str">
        <f t="shared" si="1"/>
        <v>RESERVE</v>
      </c>
      <c r="N154" s="155">
        <f>+IF(OR($Q154=Parametres!$G$2,$Q154=Parametres!$G$3),I154,C154)</f>
        <v>0</v>
      </c>
      <c r="O154" s="155">
        <f>+IF(OR($Q154=Parametres!$G$2,$Q154=Parametres!$G$3),J154,D154)</f>
        <v>-6</v>
      </c>
      <c r="P154" s="155">
        <f>+IF(OR($Q154=Parametres!$G$2,$Q154=Parametres!$G$3),K154,E154)</f>
        <v>-6</v>
      </c>
      <c r="Q154" s="154" t="str">
        <f t="shared" si="11"/>
        <v>10-Compte compteur</v>
      </c>
      <c r="R154" s="153" t="str">
        <f t="shared" si="11"/>
        <v>4100</v>
      </c>
      <c r="S154" s="154">
        <f t="shared" si="11"/>
        <v>0</v>
      </c>
      <c r="T154" s="156" t="str">
        <f>+VLOOKUP($L154,Data_Validation!$A:$D,1,0)</f>
        <v>4100@</v>
      </c>
      <c r="U154" s="156" t="str">
        <f>+VLOOKUP($L154,Data_Validation!$A:$D,3,0)</f>
        <v>Véhicules neufs</v>
      </c>
      <c r="V154" s="156" t="str">
        <f>+VLOOKUP($L154,Data_Validation!$A:$D,4,0)</f>
        <v>Rachat bail</v>
      </c>
      <c r="W154" s="156" t="str">
        <f>+VLOOKUP($L154,Data_Validation!$A:$E,5,0)</f>
        <v>NB</v>
      </c>
      <c r="X154" s="156">
        <f>+VLOOKUP($L154,Data_Validation!$A:$F,6,0)</f>
        <v>0</v>
      </c>
    </row>
    <row r="155" spans="1:24" ht="15.75" hidden="1" customHeight="1">
      <c r="A155" s="1002" t="s">
        <v>2015</v>
      </c>
      <c r="B155" s="1145">
        <v>4107</v>
      </c>
      <c r="C155" s="1004">
        <v>0</v>
      </c>
      <c r="D155" s="1004">
        <v>-24044</v>
      </c>
      <c r="E155" s="1004">
        <v>-24044</v>
      </c>
      <c r="F155" s="1002" t="s">
        <v>285</v>
      </c>
      <c r="G155" s="1002" t="s">
        <v>2016</v>
      </c>
      <c r="H155" s="959"/>
      <c r="I155" s="959"/>
      <c r="J155" s="959"/>
      <c r="K155" s="959"/>
      <c r="L155" s="153">
        <f t="shared" si="0"/>
        <v>4107</v>
      </c>
      <c r="M155" s="154" t="str">
        <f t="shared" si="1"/>
        <v>VTE - GOLF A6</v>
      </c>
      <c r="N155" s="155">
        <f>+IF(OR($Q155=Parametres!$G$2,$Q155=Parametres!$G$3),I155,C155)</f>
        <v>0</v>
      </c>
      <c r="O155" s="155">
        <f>+IF(OR($Q155=Parametres!$G$2,$Q155=Parametres!$G$3),J155,D155)</f>
        <v>-24044</v>
      </c>
      <c r="P155" s="155">
        <f>+IF(OR($Q155=Parametres!$G$2,$Q155=Parametres!$G$3),K155,E155)</f>
        <v>-24044</v>
      </c>
      <c r="Q155" s="154" t="str">
        <f t="shared" si="11"/>
        <v>5-Ventes</v>
      </c>
      <c r="R155" s="153" t="str">
        <f t="shared" si="11"/>
        <v>4107</v>
      </c>
      <c r="S155" s="154">
        <f t="shared" si="11"/>
        <v>0</v>
      </c>
      <c r="T155" s="156">
        <f>+VLOOKUP($L155,Data_Validation!$A:$D,1,0)</f>
        <v>4107</v>
      </c>
      <c r="U155" s="156" t="str">
        <f>+VLOOKUP($L155,Data_Validation!$A:$D,3,0)</f>
        <v>Véhicules neufs</v>
      </c>
      <c r="V155" s="156" t="str">
        <f>+VLOOKUP($L155,Data_Validation!$A:$D,4,0)</f>
        <v>Autos détail</v>
      </c>
      <c r="W155" s="156" t="str">
        <f>+VLOOKUP($L155,Data_Validation!$A:$E,5,0)</f>
        <v>$</v>
      </c>
      <c r="X155" s="156" t="str">
        <f>+VLOOKUP($L155,Data_Validation!$A:$F,6,0)</f>
        <v>Oui</v>
      </c>
    </row>
    <row r="156" spans="1:24" ht="15" hidden="1" customHeight="1">
      <c r="A156" s="1002" t="s">
        <v>2483</v>
      </c>
      <c r="B156" s="1145" t="s">
        <v>2484</v>
      </c>
      <c r="C156" s="1004"/>
      <c r="D156" s="1004"/>
      <c r="E156" s="1004"/>
      <c r="F156" s="1002" t="s">
        <v>4</v>
      </c>
      <c r="G156" s="1002" t="s">
        <v>2016</v>
      </c>
      <c r="H156" s="959"/>
      <c r="I156" s="959">
        <v>0</v>
      </c>
      <c r="J156" s="959">
        <v>-1</v>
      </c>
      <c r="K156" s="959">
        <v>-1</v>
      </c>
      <c r="L156" s="153" t="str">
        <f t="shared" si="0"/>
        <v>4107@</v>
      </c>
      <c r="M156" s="154" t="str">
        <f t="shared" si="1"/>
        <v>UNITES VENDUES GOLF</v>
      </c>
      <c r="N156" s="155">
        <f>+IF(OR($Q156=Parametres!$G$2,$Q156=Parametres!$G$3),I156,C156)</f>
        <v>0</v>
      </c>
      <c r="O156" s="155">
        <f>+IF(OR($Q156=Parametres!$G$2,$Q156=Parametres!$G$3),J156,D156)</f>
        <v>-1</v>
      </c>
      <c r="P156" s="155">
        <f>+IF(OR($Q156=Parametres!$G$2,$Q156=Parametres!$G$3),K156,E156)</f>
        <v>-1</v>
      </c>
      <c r="Q156" s="154" t="str">
        <f t="shared" si="11"/>
        <v>10-Compte compteur</v>
      </c>
      <c r="R156" s="153" t="str">
        <f t="shared" si="11"/>
        <v>4107</v>
      </c>
      <c r="S156" s="154">
        <f t="shared" si="11"/>
        <v>0</v>
      </c>
      <c r="T156" s="156" t="str">
        <f>+VLOOKUP($L156,Data_Validation!$A:$D,1,0)</f>
        <v>4107@</v>
      </c>
      <c r="U156" s="156" t="str">
        <f>+VLOOKUP($L156,Data_Validation!$A:$D,3,0)</f>
        <v>Véhicules neufs</v>
      </c>
      <c r="V156" s="156" t="str">
        <f>+VLOOKUP($L156,Data_Validation!$A:$D,4,0)</f>
        <v>Autos détail</v>
      </c>
      <c r="W156" s="156" t="str">
        <f>+VLOOKUP($L156,Data_Validation!$A:$E,5,0)</f>
        <v>NB</v>
      </c>
      <c r="X156" s="156">
        <f>+VLOOKUP($L156,Data_Validation!$A:$F,6,0)</f>
        <v>0</v>
      </c>
    </row>
    <row r="157" spans="1:24" ht="15" hidden="1" customHeight="1">
      <c r="A157" s="1002" t="s">
        <v>2010</v>
      </c>
      <c r="B157" s="1145">
        <v>4111</v>
      </c>
      <c r="C157" s="1004">
        <v>0</v>
      </c>
      <c r="D157" s="1004">
        <v>-140497.76</v>
      </c>
      <c r="E157" s="1004">
        <v>-140497.76</v>
      </c>
      <c r="F157" s="1002" t="s">
        <v>285</v>
      </c>
      <c r="G157" s="1002" t="s">
        <v>2011</v>
      </c>
      <c r="H157" s="959"/>
      <c r="I157" s="959"/>
      <c r="J157" s="959"/>
      <c r="K157" s="959"/>
      <c r="L157" s="153">
        <f t="shared" si="0"/>
        <v>4111</v>
      </c>
      <c r="M157" s="154" t="str">
        <f t="shared" si="1"/>
        <v>VTE - JETTA</v>
      </c>
      <c r="N157" s="155">
        <f>+IF(OR($Q157=Parametres!$G$2,$Q157=Parametres!$G$3),I157,C157)</f>
        <v>0</v>
      </c>
      <c r="O157" s="155">
        <f>+IF(OR($Q157=Parametres!$G$2,$Q157=Parametres!$G$3),J157,D157)</f>
        <v>-140497.76</v>
      </c>
      <c r="P157" s="155">
        <f>+IF(OR($Q157=Parametres!$G$2,$Q157=Parametres!$G$3),K157,E157)</f>
        <v>-140497.76</v>
      </c>
      <c r="Q157" s="154" t="str">
        <f t="shared" si="11"/>
        <v>5-Ventes</v>
      </c>
      <c r="R157" s="153" t="str">
        <f t="shared" si="11"/>
        <v>4111</v>
      </c>
      <c r="S157" s="154">
        <f t="shared" si="11"/>
        <v>0</v>
      </c>
      <c r="T157" s="156">
        <f>+VLOOKUP($L157,Data_Validation!$A:$D,1,0)</f>
        <v>4111</v>
      </c>
      <c r="U157" s="156" t="str">
        <f>+VLOOKUP($L157,Data_Validation!$A:$D,3,0)</f>
        <v>Véhicules neufs</v>
      </c>
      <c r="V157" s="156" t="str">
        <f>+VLOOKUP($L157,Data_Validation!$A:$D,4,0)</f>
        <v>Autos détail</v>
      </c>
      <c r="W157" s="156" t="str">
        <f>+VLOOKUP($L157,Data_Validation!$A:$E,5,0)</f>
        <v>$</v>
      </c>
      <c r="X157" s="156" t="str">
        <f>+VLOOKUP($L157,Data_Validation!$A:$F,6,0)</f>
        <v>Oui</v>
      </c>
    </row>
    <row r="158" spans="1:24" ht="15" hidden="1" customHeight="1">
      <c r="A158" s="1002" t="s">
        <v>2487</v>
      </c>
      <c r="B158" s="1145" t="s">
        <v>2488</v>
      </c>
      <c r="C158" s="1004"/>
      <c r="D158" s="1004"/>
      <c r="E158" s="1004"/>
      <c r="F158" s="1002" t="s">
        <v>4</v>
      </c>
      <c r="G158" s="1002" t="s">
        <v>2011</v>
      </c>
      <c r="H158" s="959"/>
      <c r="I158" s="959">
        <v>0</v>
      </c>
      <c r="J158" s="959">
        <v>-5</v>
      </c>
      <c r="K158" s="959">
        <v>-5</v>
      </c>
      <c r="L158" s="153" t="str">
        <f t="shared" si="0"/>
        <v>4111@</v>
      </c>
      <c r="M158" s="154" t="str">
        <f t="shared" si="1"/>
        <v>UNITES VENDUES - JETTA</v>
      </c>
      <c r="N158" s="155">
        <f>+IF(OR($Q158=Parametres!$G$2,$Q158=Parametres!$G$3),I158,C158)</f>
        <v>0</v>
      </c>
      <c r="O158" s="155">
        <f>+IF(OR($Q158=Parametres!$G$2,$Q158=Parametres!$G$3),J158,D158)</f>
        <v>-5</v>
      </c>
      <c r="P158" s="155">
        <f>+IF(OR($Q158=Parametres!$G$2,$Q158=Parametres!$G$3),K158,E158)</f>
        <v>-5</v>
      </c>
      <c r="Q158" s="154" t="str">
        <f t="shared" si="11"/>
        <v>10-Compte compteur</v>
      </c>
      <c r="R158" s="153" t="str">
        <f t="shared" si="11"/>
        <v>4111</v>
      </c>
      <c r="S158" s="154">
        <f t="shared" si="11"/>
        <v>0</v>
      </c>
      <c r="T158" s="156" t="str">
        <f>+VLOOKUP($L158,Data_Validation!$A:$D,1,0)</f>
        <v>4111@</v>
      </c>
      <c r="U158" s="156" t="str">
        <f>+VLOOKUP($L158,Data_Validation!$A:$D,3,0)</f>
        <v>Véhicules neufs</v>
      </c>
      <c r="V158" s="156" t="str">
        <f>+VLOOKUP($L158,Data_Validation!$A:$D,4,0)</f>
        <v>Autos détail</v>
      </c>
      <c r="W158" s="156" t="str">
        <f>+VLOOKUP($L158,Data_Validation!$A:$E,5,0)</f>
        <v>NB</v>
      </c>
      <c r="X158" s="156">
        <f>+VLOOKUP($L158,Data_Validation!$A:$F,6,0)</f>
        <v>0</v>
      </c>
    </row>
    <row r="159" spans="1:24" ht="15.75" hidden="1" customHeight="1">
      <c r="A159" s="1002" t="s">
        <v>1999</v>
      </c>
      <c r="B159" s="1145">
        <v>4119</v>
      </c>
      <c r="C159" s="1004">
        <v>0</v>
      </c>
      <c r="D159" s="1004">
        <v>-111267.88</v>
      </c>
      <c r="E159" s="1004">
        <v>-111267.88</v>
      </c>
      <c r="F159" s="1002" t="s">
        <v>285</v>
      </c>
      <c r="G159" s="1002" t="s">
        <v>2000</v>
      </c>
      <c r="H159" s="959"/>
      <c r="I159" s="959"/>
      <c r="J159" s="959"/>
      <c r="K159" s="959"/>
      <c r="L159" s="153">
        <f t="shared" si="0"/>
        <v>4119</v>
      </c>
      <c r="M159" s="154" t="str">
        <f t="shared" si="1"/>
        <v>VTE - ATLAS</v>
      </c>
      <c r="N159" s="155">
        <f>+IF(OR($Q159=Parametres!$G$2,$Q159=Parametres!$G$3),I159,C159)</f>
        <v>0</v>
      </c>
      <c r="O159" s="155">
        <f>+IF(OR($Q159=Parametres!$G$2,$Q159=Parametres!$G$3),J159,D159)</f>
        <v>-111267.88</v>
      </c>
      <c r="P159" s="155">
        <f>+IF(OR($Q159=Parametres!$G$2,$Q159=Parametres!$G$3),K159,E159)</f>
        <v>-111267.88</v>
      </c>
      <c r="Q159" s="154" t="str">
        <f t="shared" si="11"/>
        <v>5-Ventes</v>
      </c>
      <c r="R159" s="153" t="str">
        <f t="shared" si="11"/>
        <v>4119</v>
      </c>
      <c r="S159" s="154">
        <f t="shared" si="11"/>
        <v>0</v>
      </c>
      <c r="T159" s="156">
        <f>+VLOOKUP($L159,Data_Validation!$A:$D,1,0)</f>
        <v>4119</v>
      </c>
      <c r="U159" s="156" t="str">
        <f>+VLOOKUP($L159,Data_Validation!$A:$D,3,0)</f>
        <v>Véhicules neufs</v>
      </c>
      <c r="V159" s="156" t="str">
        <f>+VLOOKUP($L159,Data_Validation!$A:$D,4,0)</f>
        <v>Camions détail</v>
      </c>
      <c r="W159" s="156" t="str">
        <f>+VLOOKUP($L159,Data_Validation!$A:$E,5,0)</f>
        <v>$</v>
      </c>
      <c r="X159" s="156" t="str">
        <f>+VLOOKUP($L159,Data_Validation!$A:$F,6,0)</f>
        <v>Oui</v>
      </c>
    </row>
    <row r="160" spans="1:24" ht="15" hidden="1" customHeight="1">
      <c r="A160" s="1002" t="s">
        <v>2493</v>
      </c>
      <c r="B160" s="1145" t="s">
        <v>2494</v>
      </c>
      <c r="C160" s="1004"/>
      <c r="D160" s="1004"/>
      <c r="E160" s="1004"/>
      <c r="F160" s="1002" t="s">
        <v>4</v>
      </c>
      <c r="G160" s="1002" t="s">
        <v>2000</v>
      </c>
      <c r="H160" s="959"/>
      <c r="I160" s="960">
        <v>0</v>
      </c>
      <c r="J160" s="960">
        <v>-2</v>
      </c>
      <c r="K160" s="960">
        <v>-2</v>
      </c>
      <c r="L160" s="153" t="str">
        <f t="shared" si="0"/>
        <v>4119@</v>
      </c>
      <c r="M160" s="154" t="str">
        <f t="shared" si="1"/>
        <v># DE VTE - ATLAS</v>
      </c>
      <c r="N160" s="155">
        <f>+IF(OR($Q160=Parametres!$G$2,$Q160=Parametres!$G$3),I160,C160)</f>
        <v>0</v>
      </c>
      <c r="O160" s="155">
        <f>+IF(OR($Q160=Parametres!$G$2,$Q160=Parametres!$G$3),J160,D160)</f>
        <v>-2</v>
      </c>
      <c r="P160" s="155">
        <f>+IF(OR($Q160=Parametres!$G$2,$Q160=Parametres!$G$3),K160,E160)</f>
        <v>-2</v>
      </c>
      <c r="Q160" s="154" t="str">
        <f t="shared" si="11"/>
        <v>10-Compte compteur</v>
      </c>
      <c r="R160" s="153" t="str">
        <f t="shared" si="11"/>
        <v>4119</v>
      </c>
      <c r="S160" s="154">
        <f t="shared" si="11"/>
        <v>0</v>
      </c>
      <c r="T160" s="156" t="str">
        <f>+VLOOKUP($L160,Data_Validation!$A:$D,1,0)</f>
        <v>4119@</v>
      </c>
      <c r="U160" s="156" t="str">
        <f>+VLOOKUP($L160,Data_Validation!$A:$D,3,0)</f>
        <v>Véhicules neufs</v>
      </c>
      <c r="V160" s="156" t="str">
        <f>+VLOOKUP($L160,Data_Validation!$A:$D,4,0)</f>
        <v>Camions détail</v>
      </c>
      <c r="W160" s="156" t="str">
        <f>+VLOOKUP($L160,Data_Validation!$A:$E,5,0)</f>
        <v>NB</v>
      </c>
      <c r="X160" s="156">
        <f>+VLOOKUP($L160,Data_Validation!$A:$F,6,0)</f>
        <v>0</v>
      </c>
    </row>
    <row r="161" spans="1:24" ht="15" hidden="1" customHeight="1">
      <c r="A161" s="1002" t="s">
        <v>1995</v>
      </c>
      <c r="B161" s="1145">
        <v>4131</v>
      </c>
      <c r="C161" s="1004">
        <v>0</v>
      </c>
      <c r="D161" s="1004">
        <v>-430950.46</v>
      </c>
      <c r="E161" s="1004">
        <v>-430950.46</v>
      </c>
      <c r="F161" s="1002" t="s">
        <v>285</v>
      </c>
      <c r="G161" s="1002" t="s">
        <v>1996</v>
      </c>
      <c r="H161" s="1003"/>
      <c r="I161" s="1003"/>
      <c r="J161" s="1003"/>
      <c r="K161" s="1003"/>
      <c r="L161" s="153">
        <f t="shared" si="0"/>
        <v>4131</v>
      </c>
      <c r="M161" s="154" t="str">
        <f t="shared" si="1"/>
        <v>VTE - TIGUAN LWB</v>
      </c>
      <c r="N161" s="155">
        <f>+IF(OR($Q161=Parametres!$G$2,$Q161=Parametres!$G$3),I161,C161)</f>
        <v>0</v>
      </c>
      <c r="O161" s="155">
        <f>+IF(OR($Q161=Parametres!$G$2,$Q161=Parametres!$G$3),J161,D161)</f>
        <v>-430950.46</v>
      </c>
      <c r="P161" s="155">
        <f>+IF(OR($Q161=Parametres!$G$2,$Q161=Parametres!$G$3),K161,E161)</f>
        <v>-430950.46</v>
      </c>
      <c r="Q161" s="154" t="str">
        <f t="shared" si="11"/>
        <v>5-Ventes</v>
      </c>
      <c r="R161" s="153" t="str">
        <f t="shared" si="11"/>
        <v>4131</v>
      </c>
      <c r="S161" s="154">
        <f t="shared" si="11"/>
        <v>0</v>
      </c>
      <c r="T161" s="156">
        <f>+VLOOKUP($L161,Data_Validation!$A:$D,1,0)</f>
        <v>4131</v>
      </c>
      <c r="U161" s="156" t="str">
        <f>+VLOOKUP($L161,Data_Validation!$A:$D,3,0)</f>
        <v>Véhicules neufs</v>
      </c>
      <c r="V161" s="156" t="str">
        <f>+VLOOKUP($L161,Data_Validation!$A:$D,4,0)</f>
        <v>Camions détail</v>
      </c>
      <c r="W161" s="156" t="str">
        <f>+VLOOKUP($L161,Data_Validation!$A:$E,5,0)</f>
        <v>$</v>
      </c>
      <c r="X161" s="156" t="str">
        <f>+VLOOKUP($L161,Data_Validation!$A:$F,6,0)</f>
        <v>Oui</v>
      </c>
    </row>
    <row r="162" spans="1:24" ht="15" hidden="1" customHeight="1">
      <c r="A162" s="1002" t="s">
        <v>2497</v>
      </c>
      <c r="B162" s="1145" t="s">
        <v>2498</v>
      </c>
      <c r="C162" s="1004"/>
      <c r="D162" s="1004"/>
      <c r="E162" s="1004"/>
      <c r="F162" s="1002" t="s">
        <v>4</v>
      </c>
      <c r="G162" s="1002" t="s">
        <v>1996</v>
      </c>
      <c r="H162" s="1003"/>
      <c r="I162" s="1003">
        <v>0</v>
      </c>
      <c r="J162" s="1003">
        <v>-11</v>
      </c>
      <c r="K162" s="1003">
        <v>-11</v>
      </c>
      <c r="L162" s="153" t="str">
        <f t="shared" si="0"/>
        <v>4131@</v>
      </c>
      <c r="M162" s="154" t="str">
        <f t="shared" si="1"/>
        <v># DE VTE - TIGUAN LWB</v>
      </c>
      <c r="N162" s="155">
        <f>+IF(OR($Q162=Parametres!$G$2,$Q162=Parametres!$G$3),I162,C162)</f>
        <v>0</v>
      </c>
      <c r="O162" s="155">
        <f>+IF(OR($Q162=Parametres!$G$2,$Q162=Parametres!$G$3),J162,D162)</f>
        <v>-11</v>
      </c>
      <c r="P162" s="155">
        <f>+IF(OR($Q162=Parametres!$G$2,$Q162=Parametres!$G$3),K162,E162)</f>
        <v>-11</v>
      </c>
      <c r="Q162" s="154" t="str">
        <f t="shared" ref="Q162:S177" si="12">+F162</f>
        <v>10-Compte compteur</v>
      </c>
      <c r="R162" s="153" t="str">
        <f t="shared" si="12"/>
        <v>4131</v>
      </c>
      <c r="S162" s="154">
        <f t="shared" si="12"/>
        <v>0</v>
      </c>
      <c r="T162" s="156" t="str">
        <f>+VLOOKUP($L162,Data_Validation!$A:$D,1,0)</f>
        <v>4131@</v>
      </c>
      <c r="U162" s="156" t="str">
        <f>+VLOOKUP($L162,Data_Validation!$A:$D,3,0)</f>
        <v>Véhicules neufs</v>
      </c>
      <c r="V162" s="156" t="str">
        <f>+VLOOKUP($L162,Data_Validation!$A:$D,4,0)</f>
        <v>Camions détail</v>
      </c>
      <c r="W162" s="156" t="str">
        <f>+VLOOKUP($L162,Data_Validation!$A:$E,5,0)</f>
        <v>NB</v>
      </c>
      <c r="X162" s="156">
        <f>+VLOOKUP($L162,Data_Validation!$A:$F,6,0)</f>
        <v>0</v>
      </c>
    </row>
    <row r="163" spans="1:24" ht="15.75" hidden="1" customHeight="1">
      <c r="A163" s="1002" t="s">
        <v>2025</v>
      </c>
      <c r="B163" s="1145">
        <v>4135</v>
      </c>
      <c r="C163" s="1004">
        <v>0</v>
      </c>
      <c r="D163" s="1004">
        <v>-32615.99</v>
      </c>
      <c r="E163" s="1004">
        <v>-32615.99</v>
      </c>
      <c r="F163" s="1002" t="s">
        <v>285</v>
      </c>
      <c r="G163" s="1002" t="s">
        <v>2026</v>
      </c>
      <c r="H163" s="1003"/>
      <c r="I163" s="1003"/>
      <c r="J163" s="1003"/>
      <c r="K163" s="1003"/>
      <c r="L163" s="153">
        <f t="shared" si="0"/>
        <v>4135</v>
      </c>
      <c r="M163" s="154" t="str">
        <f t="shared" si="1"/>
        <v>VTE - EGOLF</v>
      </c>
      <c r="N163" s="155">
        <f>+IF(OR($Q163=Parametres!$G$2,$Q163=Parametres!$G$3),I163,C163)</f>
        <v>0</v>
      </c>
      <c r="O163" s="155">
        <f>+IF(OR($Q163=Parametres!$G$2,$Q163=Parametres!$G$3),J163,D163)</f>
        <v>-32615.99</v>
      </c>
      <c r="P163" s="155">
        <f>+IF(OR($Q163=Parametres!$G$2,$Q163=Parametres!$G$3),K163,E163)</f>
        <v>-32615.99</v>
      </c>
      <c r="Q163" s="154" t="str">
        <f t="shared" si="12"/>
        <v>5-Ventes</v>
      </c>
      <c r="R163" s="153" t="str">
        <f t="shared" si="12"/>
        <v>4135</v>
      </c>
      <c r="S163" s="154">
        <f t="shared" si="12"/>
        <v>0</v>
      </c>
      <c r="T163" s="156">
        <f>+VLOOKUP($L163,Data_Validation!$A:$D,1,0)</f>
        <v>4135</v>
      </c>
      <c r="U163" s="156" t="str">
        <f>+VLOOKUP($L163,Data_Validation!$A:$D,3,0)</f>
        <v>Véhicules neufs</v>
      </c>
      <c r="V163" s="156" t="str">
        <f>+VLOOKUP($L163,Data_Validation!$A:$D,4,0)</f>
        <v>Autos détail</v>
      </c>
      <c r="W163" s="156" t="str">
        <f>+VLOOKUP($L163,Data_Validation!$A:$E,5,0)</f>
        <v>$</v>
      </c>
      <c r="X163" s="156" t="str">
        <f>+VLOOKUP($L163,Data_Validation!$A:$F,6,0)</f>
        <v>Oui</v>
      </c>
    </row>
    <row r="164" spans="1:24" ht="15" hidden="1" customHeight="1">
      <c r="A164" s="1002" t="s">
        <v>2499</v>
      </c>
      <c r="B164" s="1145" t="s">
        <v>2500</v>
      </c>
      <c r="C164" s="1004"/>
      <c r="D164" s="1004"/>
      <c r="E164" s="1004"/>
      <c r="F164" s="1002" t="s">
        <v>4</v>
      </c>
      <c r="G164" s="1002" t="s">
        <v>2501</v>
      </c>
      <c r="H164" s="1003"/>
      <c r="I164" s="1003">
        <v>0</v>
      </c>
      <c r="J164" s="1003">
        <v>-1</v>
      </c>
      <c r="K164" s="1003">
        <v>-1</v>
      </c>
      <c r="L164" s="153" t="str">
        <f t="shared" si="0"/>
        <v>4135@</v>
      </c>
      <c r="M164" s="154" t="str">
        <f t="shared" si="1"/>
        <v>UNITES VENDUES - EGOLF</v>
      </c>
      <c r="N164" s="155">
        <f>+IF(OR($Q164=Parametres!$G$2,$Q164=Parametres!$G$3),I164,C164)</f>
        <v>0</v>
      </c>
      <c r="O164" s="155">
        <f>+IF(OR($Q164=Parametres!$G$2,$Q164=Parametres!$G$3),J164,D164)</f>
        <v>-1</v>
      </c>
      <c r="P164" s="155">
        <f>+IF(OR($Q164=Parametres!$G$2,$Q164=Parametres!$G$3),K164,E164)</f>
        <v>-1</v>
      </c>
      <c r="Q164" s="154" t="str">
        <f t="shared" si="12"/>
        <v>10-Compte compteur</v>
      </c>
      <c r="R164" s="153" t="str">
        <f t="shared" si="12"/>
        <v>84135</v>
      </c>
      <c r="S164" s="154">
        <f t="shared" si="12"/>
        <v>0</v>
      </c>
      <c r="T164" s="156" t="str">
        <f>+VLOOKUP($L164,Data_Validation!$A:$D,1,0)</f>
        <v>4135@</v>
      </c>
      <c r="U164" s="156" t="str">
        <f>+VLOOKUP($L164,Data_Validation!$A:$D,3,0)</f>
        <v>Véhicules neufs</v>
      </c>
      <c r="V164" s="156" t="str">
        <f>+VLOOKUP($L164,Data_Validation!$A:$D,4,0)</f>
        <v>Autos détail</v>
      </c>
      <c r="W164" s="156" t="str">
        <f>+VLOOKUP($L164,Data_Validation!$A:$E,5,0)</f>
        <v>NB</v>
      </c>
      <c r="X164" s="156">
        <f>+VLOOKUP($L164,Data_Validation!$A:$F,6,0)</f>
        <v>0</v>
      </c>
    </row>
    <row r="165" spans="1:24" ht="15" hidden="1" customHeight="1">
      <c r="A165" s="1002" t="s">
        <v>2436</v>
      </c>
      <c r="B165" s="1145">
        <v>4137</v>
      </c>
      <c r="C165" s="1023">
        <v>0</v>
      </c>
      <c r="D165" s="1023">
        <v>-69248</v>
      </c>
      <c r="E165" s="1023">
        <v>-69248</v>
      </c>
      <c r="F165" s="1002" t="s">
        <v>285</v>
      </c>
      <c r="G165" s="1002" t="s">
        <v>2437</v>
      </c>
      <c r="H165" s="1003"/>
      <c r="I165" s="1004"/>
      <c r="J165" s="1004"/>
      <c r="K165" s="1004"/>
      <c r="L165" s="153">
        <f t="shared" si="0"/>
        <v>4137</v>
      </c>
      <c r="M165" s="154" t="str">
        <f t="shared" si="1"/>
        <v>VTE - VW-FLOTTE/VENTES ENTR/EMPLOYE/VEH DEMON</v>
      </c>
      <c r="N165" s="155">
        <f>+IF(OR($Q165=Parametres!$G$2,$Q165=Parametres!$G$3),I165,C165)</f>
        <v>0</v>
      </c>
      <c r="O165" s="155">
        <f>+IF(OR($Q165=Parametres!$G$2,$Q165=Parametres!$G$3),J165,D165)</f>
        <v>-69248</v>
      </c>
      <c r="P165" s="155">
        <f>+IF(OR($Q165=Parametres!$G$2,$Q165=Parametres!$G$3),K165,E165)</f>
        <v>-69248</v>
      </c>
      <c r="Q165" s="154" t="str">
        <f t="shared" si="12"/>
        <v>5-Ventes</v>
      </c>
      <c r="R165" s="153" t="str">
        <f t="shared" si="12"/>
        <v>4137</v>
      </c>
      <c r="S165" s="154">
        <f t="shared" si="12"/>
        <v>0</v>
      </c>
      <c r="T165" s="156">
        <f>+VLOOKUP($L165,Data_Validation!$A:$D,1,0)</f>
        <v>4137</v>
      </c>
      <c r="U165" s="156" t="str">
        <f>+VLOOKUP($L165,Data_Validation!$A:$D,3,0)</f>
        <v>Véhicules neufs</v>
      </c>
      <c r="V165" s="156" t="str">
        <f>+VLOOKUP($L165,Data_Validation!$A:$D,4,0)</f>
        <v>Flottes</v>
      </c>
      <c r="W165" s="156" t="str">
        <f>+VLOOKUP($L165,Data_Validation!$A:$E,5,0)</f>
        <v>$</v>
      </c>
      <c r="X165" s="156" t="str">
        <f>+VLOOKUP($L165,Data_Validation!$A:$F,6,0)</f>
        <v>Oui</v>
      </c>
    </row>
    <row r="166" spans="1:24" ht="15" hidden="1" customHeight="1">
      <c r="A166" s="1002" t="s">
        <v>2502</v>
      </c>
      <c r="B166" s="1145" t="s">
        <v>2503</v>
      </c>
      <c r="C166" s="1004"/>
      <c r="D166" s="1004"/>
      <c r="E166" s="1004"/>
      <c r="F166" s="1002" t="s">
        <v>4</v>
      </c>
      <c r="G166" s="1002" t="s">
        <v>2437</v>
      </c>
      <c r="H166" s="1003"/>
      <c r="I166" s="1003">
        <v>0</v>
      </c>
      <c r="J166" s="1003">
        <v>-2</v>
      </c>
      <c r="K166" s="1003">
        <v>-2</v>
      </c>
      <c r="L166" s="153" t="str">
        <f t="shared" si="0"/>
        <v>4137@</v>
      </c>
      <c r="M166" s="154" t="str">
        <f t="shared" si="1"/>
        <v>VW FLOTTE/VENTE ENTR/EMPLOYE/VEH DEMONST</v>
      </c>
      <c r="N166" s="155">
        <f>+IF(OR($Q166=Parametres!$G$2,$Q166=Parametres!$G$3),I166,C166)</f>
        <v>0</v>
      </c>
      <c r="O166" s="155">
        <f>+IF(OR($Q166=Parametres!$G$2,$Q166=Parametres!$G$3),J166,D166)</f>
        <v>-2</v>
      </c>
      <c r="P166" s="155">
        <f>+IF(OR($Q166=Parametres!$G$2,$Q166=Parametres!$G$3),K166,E166)</f>
        <v>-2</v>
      </c>
      <c r="Q166" s="154" t="str">
        <f t="shared" si="12"/>
        <v>10-Compte compteur</v>
      </c>
      <c r="R166" s="153" t="str">
        <f t="shared" si="12"/>
        <v>4137</v>
      </c>
      <c r="S166" s="154">
        <f t="shared" si="12"/>
        <v>0</v>
      </c>
      <c r="T166" s="156" t="str">
        <f>+VLOOKUP($L166,Data_Validation!$A:$D,1,0)</f>
        <v>4137@</v>
      </c>
      <c r="U166" s="156" t="str">
        <f>+VLOOKUP($L166,Data_Validation!$A:$D,3,0)</f>
        <v>Véhicules neufs</v>
      </c>
      <c r="V166" s="156" t="str">
        <f>+VLOOKUP($L166,Data_Validation!$A:$D,4,0)</f>
        <v>Flottes</v>
      </c>
      <c r="W166" s="156" t="str">
        <f>+VLOOKUP($L166,Data_Validation!$A:$E,5,0)</f>
        <v>NB</v>
      </c>
      <c r="X166" s="156">
        <f>+VLOOKUP($L166,Data_Validation!$A:$F,6,0)</f>
        <v>0</v>
      </c>
    </row>
    <row r="167" spans="1:24" ht="15" hidden="1" customHeight="1">
      <c r="A167" s="1002" t="s">
        <v>2001</v>
      </c>
      <c r="B167" s="1145">
        <v>4139</v>
      </c>
      <c r="C167" s="1023">
        <v>0</v>
      </c>
      <c r="D167" s="1023">
        <v>-89531.76</v>
      </c>
      <c r="E167" s="1023">
        <v>-89531.76</v>
      </c>
      <c r="F167" s="1002" t="s">
        <v>285</v>
      </c>
      <c r="G167" s="1002" t="s">
        <v>2002</v>
      </c>
      <c r="H167" s="1003"/>
      <c r="I167" s="1004"/>
      <c r="J167" s="1004"/>
      <c r="K167" s="1004"/>
      <c r="L167" s="153">
        <f t="shared" si="0"/>
        <v>4139</v>
      </c>
      <c r="M167" s="154" t="str">
        <f t="shared" si="1"/>
        <v>VTE - VW FLOTTE/VENTE ENTR/EMPLOYE/VEH DEMONS</v>
      </c>
      <c r="N167" s="155">
        <f>+IF(OR($Q167=Parametres!$G$2,$Q167=Parametres!$G$3),I167,C167)</f>
        <v>0</v>
      </c>
      <c r="O167" s="155">
        <f>+IF(OR($Q167=Parametres!$G$2,$Q167=Parametres!$G$3),J167,D167)</f>
        <v>-89531.76</v>
      </c>
      <c r="P167" s="155">
        <f>+IF(OR($Q167=Parametres!$G$2,$Q167=Parametres!$G$3),K167,E167)</f>
        <v>-89531.76</v>
      </c>
      <c r="Q167" s="154" t="str">
        <f t="shared" si="12"/>
        <v>5-Ventes</v>
      </c>
      <c r="R167" s="153" t="str">
        <f t="shared" si="12"/>
        <v>4139</v>
      </c>
      <c r="S167" s="154">
        <f t="shared" si="12"/>
        <v>0</v>
      </c>
      <c r="T167" s="156">
        <f>+VLOOKUP($L167,Data_Validation!$A:$D,1,0)</f>
        <v>4139</v>
      </c>
      <c r="U167" s="156" t="str">
        <f>+VLOOKUP($L167,Data_Validation!$A:$D,3,0)</f>
        <v>Véhicules neufs</v>
      </c>
      <c r="V167" s="156" t="str">
        <f>+VLOOKUP($L167,Data_Validation!$A:$D,4,0)</f>
        <v>Ex-Démos et courtoisies</v>
      </c>
      <c r="W167" s="156" t="str">
        <f>+VLOOKUP($L167,Data_Validation!$A:$E,5,0)</f>
        <v>$</v>
      </c>
      <c r="X167" s="156" t="str">
        <f>+VLOOKUP($L167,Data_Validation!$A:$F,6,0)</f>
        <v>Oui</v>
      </c>
    </row>
    <row r="168" spans="1:24" ht="15.75" hidden="1" customHeight="1">
      <c r="A168" s="1002" t="s">
        <v>2504</v>
      </c>
      <c r="B168" s="1145" t="s">
        <v>2505</v>
      </c>
      <c r="C168" s="1004"/>
      <c r="D168" s="1004"/>
      <c r="E168" s="1004"/>
      <c r="F168" s="1002" t="s">
        <v>4</v>
      </c>
      <c r="G168" s="1002" t="s">
        <v>2002</v>
      </c>
      <c r="H168" s="1003"/>
      <c r="I168" s="1003">
        <v>0</v>
      </c>
      <c r="J168" s="1003">
        <v>-2</v>
      </c>
      <c r="K168" s="1003">
        <v>-2</v>
      </c>
      <c r="L168" s="153" t="str">
        <f t="shared" si="0"/>
        <v>4139@</v>
      </c>
      <c r="M168" s="154" t="str">
        <f t="shared" si="1"/>
        <v>VENTES A PARK AVENUE LOCATION</v>
      </c>
      <c r="N168" s="155">
        <f>+IF(OR($Q168=Parametres!$G$2,$Q168=Parametres!$G$3),I168,C168)</f>
        <v>0</v>
      </c>
      <c r="O168" s="155">
        <f>+IF(OR($Q168=Parametres!$G$2,$Q168=Parametres!$G$3),J168,D168)</f>
        <v>-2</v>
      </c>
      <c r="P168" s="155">
        <f>+IF(OR($Q168=Parametres!$G$2,$Q168=Parametres!$G$3),K168,E168)</f>
        <v>-2</v>
      </c>
      <c r="Q168" s="154" t="str">
        <f t="shared" si="12"/>
        <v>10-Compte compteur</v>
      </c>
      <c r="R168" s="153" t="str">
        <f t="shared" si="12"/>
        <v>4139</v>
      </c>
      <c r="S168" s="154">
        <f t="shared" si="12"/>
        <v>0</v>
      </c>
      <c r="T168" s="156" t="str">
        <f>+VLOOKUP($L168,Data_Validation!$A:$D,1,0)</f>
        <v>4139@</v>
      </c>
      <c r="U168" s="156" t="str">
        <f>+VLOOKUP($L168,Data_Validation!$A:$D,3,0)</f>
        <v>Véhicules neufs</v>
      </c>
      <c r="V168" s="156" t="str">
        <f>+VLOOKUP($L168,Data_Validation!$A:$D,4,0)</f>
        <v>Ex-Démos et courtoisies</v>
      </c>
      <c r="W168" s="156" t="str">
        <f>+VLOOKUP($L168,Data_Validation!$A:$E,5,0)</f>
        <v>NB</v>
      </c>
      <c r="X168" s="156">
        <f>+VLOOKUP($L168,Data_Validation!$A:$F,6,0)</f>
        <v>0</v>
      </c>
    </row>
    <row r="169" spans="1:24" ht="15" hidden="1" customHeight="1">
      <c r="A169" s="1002" t="s">
        <v>1997</v>
      </c>
      <c r="B169" s="1145">
        <v>4201</v>
      </c>
      <c r="C169" s="1023">
        <v>0</v>
      </c>
      <c r="D169" s="1023">
        <v>-305714</v>
      </c>
      <c r="E169" s="1023">
        <v>-305714</v>
      </c>
      <c r="F169" s="1002" t="s">
        <v>285</v>
      </c>
      <c r="G169" s="1002" t="s">
        <v>1998</v>
      </c>
      <c r="H169" s="1003"/>
      <c r="I169" s="1004"/>
      <c r="J169" s="1004"/>
      <c r="K169" s="1004"/>
      <c r="L169" s="153">
        <f t="shared" si="0"/>
        <v>4201</v>
      </c>
      <c r="M169" s="154" t="str">
        <f t="shared" si="1"/>
        <v>VTE - VEH.USAGE VW DETAIL CERTIFIE</v>
      </c>
      <c r="N169" s="155">
        <f>+IF(OR($Q169=Parametres!$G$2,$Q169=Parametres!$G$3),I169,C169)</f>
        <v>0</v>
      </c>
      <c r="O169" s="155">
        <f>+IF(OR($Q169=Parametres!$G$2,$Q169=Parametres!$G$3),J169,D169)</f>
        <v>-305714</v>
      </c>
      <c r="P169" s="155">
        <f>+IF(OR($Q169=Parametres!$G$2,$Q169=Parametres!$G$3),K169,E169)</f>
        <v>-305714</v>
      </c>
      <c r="Q169" s="154" t="str">
        <f t="shared" si="12"/>
        <v>5-Ventes</v>
      </c>
      <c r="R169" s="153" t="str">
        <f t="shared" si="12"/>
        <v>4201</v>
      </c>
      <c r="S169" s="154">
        <f t="shared" si="12"/>
        <v>0</v>
      </c>
      <c r="T169" s="156">
        <f>+VLOOKUP($L169,Data_Validation!$A:$D,1,0)</f>
        <v>4201</v>
      </c>
      <c r="U169" s="156" t="str">
        <f>+VLOOKUP($L169,Data_Validation!$A:$D,3,0)</f>
        <v>Véhicules usagés</v>
      </c>
      <c r="V169" s="156" t="str">
        <f>+VLOOKUP($L169,Data_Validation!$A:$D,4,0)</f>
        <v>Certifié</v>
      </c>
      <c r="W169" s="156" t="str">
        <f>+VLOOKUP($L169,Data_Validation!$A:$E,5,0)</f>
        <v>$</v>
      </c>
      <c r="X169" s="156" t="str">
        <f>+VLOOKUP($L169,Data_Validation!$A:$F,6,0)</f>
        <v>Oui</v>
      </c>
    </row>
    <row r="170" spans="1:24" ht="15" hidden="1" customHeight="1">
      <c r="A170" s="1002" t="s">
        <v>2506</v>
      </c>
      <c r="B170" s="1145" t="s">
        <v>2507</v>
      </c>
      <c r="C170" s="1004"/>
      <c r="D170" s="1004"/>
      <c r="E170" s="1004"/>
      <c r="F170" s="1002" t="s">
        <v>4</v>
      </c>
      <c r="G170" s="1002" t="s">
        <v>1998</v>
      </c>
      <c r="H170" s="1003"/>
      <c r="I170" s="1003">
        <v>0</v>
      </c>
      <c r="J170" s="1003">
        <v>-14</v>
      </c>
      <c r="K170" s="1003">
        <v>-14</v>
      </c>
      <c r="L170" s="153" t="str">
        <f t="shared" si="0"/>
        <v>4201@</v>
      </c>
      <c r="M170" s="154" t="str">
        <f t="shared" si="1"/>
        <v># DE VTE - VEH.USAGE VW DET.CERT.</v>
      </c>
      <c r="N170" s="155">
        <f>+IF(OR($Q170=Parametres!$G$2,$Q170=Parametres!$G$3),I170,C170)</f>
        <v>0</v>
      </c>
      <c r="O170" s="155">
        <f>+IF(OR($Q170=Parametres!$G$2,$Q170=Parametres!$G$3),J170,D170)</f>
        <v>-14</v>
      </c>
      <c r="P170" s="155">
        <f>+IF(OR($Q170=Parametres!$G$2,$Q170=Parametres!$G$3),K170,E170)</f>
        <v>-14</v>
      </c>
      <c r="Q170" s="154" t="str">
        <f t="shared" si="12"/>
        <v>10-Compte compteur</v>
      </c>
      <c r="R170" s="153" t="str">
        <f t="shared" si="12"/>
        <v>4201</v>
      </c>
      <c r="S170" s="154">
        <f t="shared" si="12"/>
        <v>0</v>
      </c>
      <c r="T170" s="156" t="str">
        <f>+VLOOKUP($L170,Data_Validation!$A:$D,1,0)</f>
        <v>4201@</v>
      </c>
      <c r="U170" s="156" t="str">
        <f>+VLOOKUP($L170,Data_Validation!$A:$D,3,0)</f>
        <v>Véhicules usagés</v>
      </c>
      <c r="V170" s="156" t="str">
        <f>+VLOOKUP($L170,Data_Validation!$A:$D,4,0)</f>
        <v>Certifié</v>
      </c>
      <c r="W170" s="156" t="str">
        <f>+VLOOKUP($L170,Data_Validation!$A:$E,5,0)</f>
        <v>NB</v>
      </c>
      <c r="X170" s="156">
        <f>+VLOOKUP($L170,Data_Validation!$A:$F,6,0)</f>
        <v>0</v>
      </c>
    </row>
    <row r="171" spans="1:24" ht="15" hidden="1" customHeight="1">
      <c r="A171" s="1002" t="s">
        <v>2035</v>
      </c>
      <c r="B171" s="1145">
        <v>4285</v>
      </c>
      <c r="C171" s="1023">
        <v>0</v>
      </c>
      <c r="D171" s="1023">
        <v>-28930</v>
      </c>
      <c r="E171" s="1023">
        <v>-28930</v>
      </c>
      <c r="F171" s="1002" t="s">
        <v>285</v>
      </c>
      <c r="G171" s="1002" t="s">
        <v>2037</v>
      </c>
      <c r="H171" s="1003"/>
      <c r="I171" s="1004"/>
      <c r="J171" s="1004"/>
      <c r="K171" s="1004"/>
      <c r="L171" s="153">
        <f t="shared" si="0"/>
        <v>4285</v>
      </c>
      <c r="M171" s="154" t="str">
        <f t="shared" si="1"/>
        <v>VEH. D'OCC. AUTRE DETAIL</v>
      </c>
      <c r="N171" s="155">
        <f>+IF(OR($Q171=Parametres!$G$2,$Q171=Parametres!$G$3),I171,C171)</f>
        <v>0</v>
      </c>
      <c r="O171" s="155">
        <f>+IF(OR($Q171=Parametres!$G$2,$Q171=Parametres!$G$3),J171,D171)</f>
        <v>-28930</v>
      </c>
      <c r="P171" s="155">
        <f>+IF(OR($Q171=Parametres!$G$2,$Q171=Parametres!$G$3),K171,E171)</f>
        <v>-28930</v>
      </c>
      <c r="Q171" s="154" t="str">
        <f t="shared" si="12"/>
        <v>5-Ventes</v>
      </c>
      <c r="R171" s="153" t="str">
        <f t="shared" si="12"/>
        <v>4261</v>
      </c>
      <c r="S171" s="154">
        <f t="shared" si="12"/>
        <v>0</v>
      </c>
      <c r="T171" s="156">
        <f>+VLOOKUP($L171,Data_Validation!$A:$D,1,0)</f>
        <v>4285</v>
      </c>
      <c r="U171" s="156" t="str">
        <f>+VLOOKUP($L171,Data_Validation!$A:$D,3,0)</f>
        <v>Véhicules usagés</v>
      </c>
      <c r="V171" s="156" t="str">
        <f>+VLOOKUP($L171,Data_Validation!$A:$D,4,0)</f>
        <v>Non Certifié</v>
      </c>
      <c r="W171" s="156" t="str">
        <f>+VLOOKUP($L171,Data_Validation!$A:$E,5,0)</f>
        <v>$</v>
      </c>
      <c r="X171" s="156" t="str">
        <f>+VLOOKUP($L171,Data_Validation!$A:$F,6,0)</f>
        <v>Oui</v>
      </c>
    </row>
    <row r="172" spans="1:24" ht="15.75" hidden="1" customHeight="1">
      <c r="A172" s="1002" t="s">
        <v>2510</v>
      </c>
      <c r="B172" s="1145" t="s">
        <v>2511</v>
      </c>
      <c r="C172" s="1004"/>
      <c r="D172" s="1004"/>
      <c r="E172" s="1004"/>
      <c r="F172" s="1002" t="s">
        <v>4</v>
      </c>
      <c r="G172" s="1002" t="s">
        <v>2037</v>
      </c>
      <c r="H172" s="1003"/>
      <c r="I172" s="1003">
        <v>0</v>
      </c>
      <c r="J172" s="1003">
        <v>-1</v>
      </c>
      <c r="K172" s="1003">
        <v>-1</v>
      </c>
      <c r="L172" s="153" t="str">
        <f t="shared" si="0"/>
        <v>4285@</v>
      </c>
      <c r="M172" s="154" t="str">
        <f t="shared" si="1"/>
        <v>AUTRE MARQUES DETAIL - USAGE</v>
      </c>
      <c r="N172" s="155">
        <f>+IF(OR($Q172=Parametres!$G$2,$Q172=Parametres!$G$3),I172,C172)</f>
        <v>0</v>
      </c>
      <c r="O172" s="155">
        <f>+IF(OR($Q172=Parametres!$G$2,$Q172=Parametres!$G$3),J172,D172)</f>
        <v>-1</v>
      </c>
      <c r="P172" s="155">
        <f>+IF(OR($Q172=Parametres!$G$2,$Q172=Parametres!$G$3),K172,E172)</f>
        <v>-1</v>
      </c>
      <c r="Q172" s="154" t="str">
        <f t="shared" si="12"/>
        <v>10-Compte compteur</v>
      </c>
      <c r="R172" s="153" t="str">
        <f t="shared" si="12"/>
        <v>4261</v>
      </c>
      <c r="S172" s="154">
        <f t="shared" si="12"/>
        <v>0</v>
      </c>
      <c r="T172" s="156" t="str">
        <f>+VLOOKUP($L172,Data_Validation!$A:$D,1,0)</f>
        <v>4285@</v>
      </c>
      <c r="U172" s="156" t="str">
        <f>+VLOOKUP($L172,Data_Validation!$A:$D,3,0)</f>
        <v>Véhicules usagés</v>
      </c>
      <c r="V172" s="156" t="str">
        <f>+VLOOKUP($L172,Data_Validation!$A:$D,4,0)</f>
        <v>Non Certifié</v>
      </c>
      <c r="W172" s="156" t="str">
        <f>+VLOOKUP($L172,Data_Validation!$A:$E,5,0)</f>
        <v>NB</v>
      </c>
      <c r="X172" s="156">
        <f>+VLOOKUP($L172,Data_Validation!$A:$F,6,0)</f>
        <v>0</v>
      </c>
    </row>
    <row r="173" spans="1:24" ht="15" hidden="1" customHeight="1">
      <c r="A173" s="1002" t="s">
        <v>2003</v>
      </c>
      <c r="B173" s="1145">
        <v>4291</v>
      </c>
      <c r="C173" s="1023">
        <v>0</v>
      </c>
      <c r="D173" s="1023">
        <v>-156150</v>
      </c>
      <c r="E173" s="1023">
        <v>-156150</v>
      </c>
      <c r="F173" s="1002" t="s">
        <v>285</v>
      </c>
      <c r="G173" s="1002" t="s">
        <v>2005</v>
      </c>
      <c r="H173" s="1003"/>
      <c r="I173" s="1004"/>
      <c r="J173" s="1004"/>
      <c r="K173" s="1004"/>
      <c r="L173" s="153">
        <f t="shared" si="0"/>
        <v>4291</v>
      </c>
      <c r="M173" s="154" t="str">
        <f t="shared" si="1"/>
        <v>VEH. D'OCC. AU GROS</v>
      </c>
      <c r="N173" s="155">
        <f>+IF(OR($Q173=Parametres!$G$2,$Q173=Parametres!$G$3),I173,C173)</f>
        <v>0</v>
      </c>
      <c r="O173" s="155">
        <f>+IF(OR($Q173=Parametres!$G$2,$Q173=Parametres!$G$3),J173,D173)</f>
        <v>-156150</v>
      </c>
      <c r="P173" s="155">
        <f>+IF(OR($Q173=Parametres!$G$2,$Q173=Parametres!$G$3),K173,E173)</f>
        <v>-156150</v>
      </c>
      <c r="Q173" s="154" t="str">
        <f t="shared" si="12"/>
        <v>5-Ventes</v>
      </c>
      <c r="R173" s="153" t="str">
        <f t="shared" si="12"/>
        <v>4281</v>
      </c>
      <c r="S173" s="154">
        <f t="shared" si="12"/>
        <v>0</v>
      </c>
      <c r="T173" s="156">
        <f>+VLOOKUP($L173,Data_Validation!$A:$D,1,0)</f>
        <v>4291</v>
      </c>
      <c r="U173" s="156" t="str">
        <f>+VLOOKUP($L173,Data_Validation!$A:$D,3,0)</f>
        <v>Véhicules usagés</v>
      </c>
      <c r="V173" s="156" t="str">
        <f>+VLOOKUP($L173,Data_Validation!$A:$D,4,0)</f>
        <v>Ventes au Gros</v>
      </c>
      <c r="W173" s="156" t="str">
        <f>+VLOOKUP($L173,Data_Validation!$A:$E,5,0)</f>
        <v>$</v>
      </c>
      <c r="X173" s="156" t="str">
        <f>+VLOOKUP($L173,Data_Validation!$A:$F,6,0)</f>
        <v>Oui</v>
      </c>
    </row>
    <row r="174" spans="1:24" ht="15" hidden="1" customHeight="1">
      <c r="A174" s="1002" t="s">
        <v>2512</v>
      </c>
      <c r="B174" s="1145" t="s">
        <v>2513</v>
      </c>
      <c r="C174" s="1004"/>
      <c r="D174" s="1004"/>
      <c r="E174" s="1004"/>
      <c r="F174" s="1002" t="s">
        <v>4</v>
      </c>
      <c r="G174" s="1002" t="s">
        <v>2005</v>
      </c>
      <c r="H174" s="1003"/>
      <c r="I174" s="1003">
        <v>0</v>
      </c>
      <c r="J174" s="1003">
        <v>-20</v>
      </c>
      <c r="K174" s="1003">
        <v>-20</v>
      </c>
      <c r="L174" s="153" t="str">
        <f t="shared" si="0"/>
        <v>4291@</v>
      </c>
      <c r="M174" s="154" t="str">
        <f t="shared" si="1"/>
        <v>VENTE AU GROS - USAGES</v>
      </c>
      <c r="N174" s="155">
        <f>+IF(OR($Q174=Parametres!$G$2,$Q174=Parametres!$G$3),I174,C174)</f>
        <v>0</v>
      </c>
      <c r="O174" s="155">
        <f>+IF(OR($Q174=Parametres!$G$2,$Q174=Parametres!$G$3),J174,D174)</f>
        <v>-20</v>
      </c>
      <c r="P174" s="155">
        <f>+IF(OR($Q174=Parametres!$G$2,$Q174=Parametres!$G$3),K174,E174)</f>
        <v>-20</v>
      </c>
      <c r="Q174" s="154" t="str">
        <f t="shared" si="12"/>
        <v>10-Compte compteur</v>
      </c>
      <c r="R174" s="153" t="str">
        <f t="shared" si="12"/>
        <v>4281</v>
      </c>
      <c r="S174" s="154">
        <f t="shared" si="12"/>
        <v>0</v>
      </c>
      <c r="T174" s="156" t="str">
        <f>+VLOOKUP($L174,Data_Validation!$A:$D,1,0)</f>
        <v>4291@</v>
      </c>
      <c r="U174" s="156" t="str">
        <f>+VLOOKUP($L174,Data_Validation!$A:$D,3,0)</f>
        <v>Véhicules usagés</v>
      </c>
      <c r="V174" s="156" t="str">
        <f>+VLOOKUP($L174,Data_Validation!$A:$D,4,0)</f>
        <v>Ventes au Gros</v>
      </c>
      <c r="W174" s="156" t="str">
        <f>+VLOOKUP($L174,Data_Validation!$A:$E,5,0)</f>
        <v>NB</v>
      </c>
      <c r="X174" s="156">
        <f>+VLOOKUP($L174,Data_Validation!$A:$F,6,0)</f>
        <v>0</v>
      </c>
    </row>
    <row r="175" spans="1:24" ht="15" hidden="1" customHeight="1">
      <c r="A175" s="1002" t="s">
        <v>2008</v>
      </c>
      <c r="B175" s="1145">
        <v>4401</v>
      </c>
      <c r="C175" s="1023">
        <v>0</v>
      </c>
      <c r="D175" s="1023">
        <v>-51106.96</v>
      </c>
      <c r="E175" s="1023">
        <v>-51106.96</v>
      </c>
      <c r="F175" s="1002" t="s">
        <v>285</v>
      </c>
      <c r="G175" s="1002" t="s">
        <v>2009</v>
      </c>
      <c r="H175" s="1003"/>
      <c r="I175" s="1004"/>
      <c r="J175" s="1004"/>
      <c r="K175" s="1004"/>
      <c r="L175" s="153">
        <f t="shared" si="0"/>
        <v>4401</v>
      </c>
      <c r="M175" s="154" t="str">
        <f t="shared" si="1"/>
        <v>M.O. MECANIQUE-VENTE CLIENTS</v>
      </c>
      <c r="N175" s="155">
        <f>+IF(OR($Q175=Parametres!$G$2,$Q175=Parametres!$G$3),I175,C175)</f>
        <v>0</v>
      </c>
      <c r="O175" s="155">
        <f>+IF(OR($Q175=Parametres!$G$2,$Q175=Parametres!$G$3),J175,D175)</f>
        <v>-51106.96</v>
      </c>
      <c r="P175" s="155">
        <f>+IF(OR($Q175=Parametres!$G$2,$Q175=Parametres!$G$3),K175,E175)</f>
        <v>-51106.96</v>
      </c>
      <c r="Q175" s="154" t="str">
        <f t="shared" si="12"/>
        <v>5-Ventes</v>
      </c>
      <c r="R175" s="153" t="str">
        <f t="shared" si="12"/>
        <v>4401</v>
      </c>
      <c r="S175" s="154">
        <f t="shared" si="12"/>
        <v>0</v>
      </c>
      <c r="T175" s="156">
        <f>+VLOOKUP($L175,Data_Validation!$A:$D,1,0)</f>
        <v>4401</v>
      </c>
      <c r="U175" s="156" t="str">
        <f>+VLOOKUP($L175,Data_Validation!$A:$D,3,0)</f>
        <v>Service</v>
      </c>
      <c r="V175" s="156" t="str">
        <f>+VLOOKUP($L175,Data_Validation!$A:$D,4,0)</f>
        <v>M/O Client</v>
      </c>
      <c r="W175" s="156" t="str">
        <f>+VLOOKUP($L175,Data_Validation!$A:$E,5,0)</f>
        <v>$</v>
      </c>
      <c r="X175" s="156" t="str">
        <f>+VLOOKUP($L175,Data_Validation!$A:$F,6,0)</f>
        <v>Oui</v>
      </c>
    </row>
    <row r="176" spans="1:24" ht="15.75" hidden="1" customHeight="1">
      <c r="A176" s="1002" t="s">
        <v>2008</v>
      </c>
      <c r="B176" s="1145" t="s">
        <v>2514</v>
      </c>
      <c r="C176" s="1004"/>
      <c r="D176" s="1004"/>
      <c r="E176" s="1004"/>
      <c r="F176" s="1002" t="s">
        <v>4</v>
      </c>
      <c r="G176" s="1002" t="s">
        <v>2009</v>
      </c>
      <c r="H176" s="1003"/>
      <c r="I176" s="1003">
        <v>0</v>
      </c>
      <c r="J176" s="1003">
        <v>-214</v>
      </c>
      <c r="K176" s="1003">
        <v>-214</v>
      </c>
      <c r="L176" s="153" t="str">
        <f t="shared" si="0"/>
        <v>4401@</v>
      </c>
      <c r="M176" s="154" t="str">
        <f t="shared" si="1"/>
        <v>M.O. MECANIQUE-VENTE CLIENTS</v>
      </c>
      <c r="N176" s="155">
        <f>+IF(OR($Q176=Parametres!$G$2,$Q176=Parametres!$G$3),I176,C176)</f>
        <v>0</v>
      </c>
      <c r="O176" s="155">
        <f>+IF(OR($Q176=Parametres!$G$2,$Q176=Parametres!$G$3),J176,D176)</f>
        <v>-214</v>
      </c>
      <c r="P176" s="155">
        <f>+IF(OR($Q176=Parametres!$G$2,$Q176=Parametres!$G$3),K176,E176)</f>
        <v>-214</v>
      </c>
      <c r="Q176" s="154" t="str">
        <f t="shared" si="12"/>
        <v>10-Compte compteur</v>
      </c>
      <c r="R176" s="153" t="str">
        <f t="shared" si="12"/>
        <v>4401</v>
      </c>
      <c r="S176" s="154">
        <f t="shared" si="12"/>
        <v>0</v>
      </c>
      <c r="T176" s="156" t="str">
        <f>+VLOOKUP($L176,Data_Validation!$A:$D,1,0)</f>
        <v>4401@</v>
      </c>
      <c r="U176" s="156" t="str">
        <f>+VLOOKUP($L176,Data_Validation!$A:$D,3,0)</f>
        <v>Service</v>
      </c>
      <c r="V176" s="156" t="str">
        <f>+VLOOKUP($L176,Data_Validation!$A:$D,4,0)</f>
        <v>M/O Client</v>
      </c>
      <c r="W176" s="156" t="str">
        <f>+VLOOKUP($L176,Data_Validation!$A:$E,5,0)</f>
        <v>NB</v>
      </c>
      <c r="X176" s="156">
        <f>+VLOOKUP($L176,Data_Validation!$A:$F,6,0)</f>
        <v>0</v>
      </c>
    </row>
    <row r="177" spans="1:24" ht="15" hidden="1" customHeight="1">
      <c r="A177" s="1002" t="s">
        <v>2038</v>
      </c>
      <c r="B177" s="1145">
        <v>4403</v>
      </c>
      <c r="C177" s="1023">
        <v>0</v>
      </c>
      <c r="D177" s="1023">
        <v>-68701.34</v>
      </c>
      <c r="E177" s="1023">
        <v>-68701.34</v>
      </c>
      <c r="F177" s="1002" t="s">
        <v>285</v>
      </c>
      <c r="G177" s="1002" t="s">
        <v>2039</v>
      </c>
      <c r="H177" s="1003"/>
      <c r="I177" s="1004"/>
      <c r="J177" s="1004"/>
      <c r="K177" s="1004"/>
      <c r="L177" s="153">
        <f t="shared" si="0"/>
        <v>4403</v>
      </c>
      <c r="M177" s="154" t="str">
        <f t="shared" si="1"/>
        <v>M.O. MECANIQUE-VENTE GAR. MANU</v>
      </c>
      <c r="N177" s="155">
        <f>+IF(OR($Q177=Parametres!$G$2,$Q177=Parametres!$G$3),I177,C177)</f>
        <v>0</v>
      </c>
      <c r="O177" s="155">
        <f>+IF(OR($Q177=Parametres!$G$2,$Q177=Parametres!$G$3),J177,D177)</f>
        <v>-68701.34</v>
      </c>
      <c r="P177" s="155">
        <f>+IF(OR($Q177=Parametres!$G$2,$Q177=Parametres!$G$3),K177,E177)</f>
        <v>-68701.34</v>
      </c>
      <c r="Q177" s="154" t="str">
        <f t="shared" si="12"/>
        <v>5-Ventes</v>
      </c>
      <c r="R177" s="153" t="str">
        <f t="shared" si="12"/>
        <v>4403</v>
      </c>
      <c r="S177" s="154">
        <f t="shared" si="12"/>
        <v>0</v>
      </c>
      <c r="T177" s="156">
        <f>+VLOOKUP($L177,Data_Validation!$A:$D,1,0)</f>
        <v>4403</v>
      </c>
      <c r="U177" s="156" t="str">
        <f>+VLOOKUP($L177,Data_Validation!$A:$D,3,0)</f>
        <v>Service</v>
      </c>
      <c r="V177" s="156" t="str">
        <f>+VLOOKUP($L177,Data_Validation!$A:$D,4,0)</f>
        <v>M/O Garantie</v>
      </c>
      <c r="W177" s="156" t="str">
        <f>+VLOOKUP($L177,Data_Validation!$A:$E,5,0)</f>
        <v>$</v>
      </c>
      <c r="X177" s="156" t="str">
        <f>+VLOOKUP($L177,Data_Validation!$A:$F,6,0)</f>
        <v>Oui</v>
      </c>
    </row>
    <row r="178" spans="1:24" ht="15" hidden="1" customHeight="1">
      <c r="A178" s="1002" t="s">
        <v>2038</v>
      </c>
      <c r="B178" s="1145" t="s">
        <v>2517</v>
      </c>
      <c r="C178" s="1004"/>
      <c r="D178" s="1004"/>
      <c r="E178" s="1004"/>
      <c r="F178" s="1002" t="s">
        <v>4</v>
      </c>
      <c r="G178" s="1002" t="s">
        <v>2039</v>
      </c>
      <c r="H178" s="1003"/>
      <c r="I178" s="1003">
        <v>0</v>
      </c>
      <c r="J178" s="1003">
        <v>-294</v>
      </c>
      <c r="K178" s="1003">
        <v>-294</v>
      </c>
      <c r="L178" s="153" t="str">
        <f t="shared" si="0"/>
        <v>4403@</v>
      </c>
      <c r="M178" s="154" t="str">
        <f t="shared" si="1"/>
        <v>M.O. MECANIQUE-VENTE GAR. MANU</v>
      </c>
      <c r="N178" s="155">
        <f>+IF(OR($Q178=Parametres!$G$2,$Q178=Parametres!$G$3),I178,C178)</f>
        <v>0</v>
      </c>
      <c r="O178" s="155">
        <f>+IF(OR($Q178=Parametres!$G$2,$Q178=Parametres!$G$3),J178,D178)</f>
        <v>-294</v>
      </c>
      <c r="P178" s="155">
        <f>+IF(OR($Q178=Parametres!$G$2,$Q178=Parametres!$G$3),K178,E178)</f>
        <v>-294</v>
      </c>
      <c r="Q178" s="154" t="str">
        <f t="shared" ref="Q178:S193" si="13">+F178</f>
        <v>10-Compte compteur</v>
      </c>
      <c r="R178" s="153" t="str">
        <f t="shared" si="13"/>
        <v>4403</v>
      </c>
      <c r="S178" s="154">
        <f t="shared" si="13"/>
        <v>0</v>
      </c>
      <c r="T178" s="156" t="str">
        <f>+VLOOKUP($L178,Data_Validation!$A:$D,1,0)</f>
        <v>4403@</v>
      </c>
      <c r="U178" s="156" t="str">
        <f>+VLOOKUP($L178,Data_Validation!$A:$D,3,0)</f>
        <v>Service</v>
      </c>
      <c r="V178" s="156" t="str">
        <f>+VLOOKUP($L178,Data_Validation!$A:$D,4,0)</f>
        <v>M/O Garantie</v>
      </c>
      <c r="W178" s="156" t="str">
        <f>+VLOOKUP($L178,Data_Validation!$A:$E,5,0)</f>
        <v>NB</v>
      </c>
      <c r="X178" s="156">
        <f>+VLOOKUP($L178,Data_Validation!$A:$F,6,0)</f>
        <v>0</v>
      </c>
    </row>
    <row r="179" spans="1:24" ht="15" hidden="1" customHeight="1">
      <c r="A179" s="1002" t="s">
        <v>2048</v>
      </c>
      <c r="B179" s="1145">
        <v>4405</v>
      </c>
      <c r="C179" s="1023">
        <v>0</v>
      </c>
      <c r="D179" s="1023">
        <v>-30514.99</v>
      </c>
      <c r="E179" s="1023">
        <v>-30514.99</v>
      </c>
      <c r="F179" s="1002" t="s">
        <v>285</v>
      </c>
      <c r="G179" s="1002" t="s">
        <v>2049</v>
      </c>
      <c r="H179" s="1003"/>
      <c r="I179" s="1004"/>
      <c r="J179" s="1004"/>
      <c r="K179" s="1004"/>
      <c r="L179" s="153">
        <f t="shared" si="0"/>
        <v>4405</v>
      </c>
      <c r="M179" s="154" t="str">
        <f t="shared" si="1"/>
        <v>M.O. MECANIQUE-VENTE INTERNE</v>
      </c>
      <c r="N179" s="155">
        <f>+IF(OR($Q179=Parametres!$G$2,$Q179=Parametres!$G$3),I179,C179)</f>
        <v>0</v>
      </c>
      <c r="O179" s="155">
        <f>+IF(OR($Q179=Parametres!$G$2,$Q179=Parametres!$G$3),J179,D179)</f>
        <v>-30514.99</v>
      </c>
      <c r="P179" s="155">
        <f>+IF(OR($Q179=Parametres!$G$2,$Q179=Parametres!$G$3),K179,E179)</f>
        <v>-30514.99</v>
      </c>
      <c r="Q179" s="154" t="str">
        <f t="shared" si="13"/>
        <v>5-Ventes</v>
      </c>
      <c r="R179" s="153" t="str">
        <f t="shared" si="13"/>
        <v>4405</v>
      </c>
      <c r="S179" s="154">
        <f t="shared" si="13"/>
        <v>0</v>
      </c>
      <c r="T179" s="156">
        <f>+VLOOKUP($L179,Data_Validation!$A:$D,1,0)</f>
        <v>4405</v>
      </c>
      <c r="U179" s="156" t="str">
        <f>+VLOOKUP($L179,Data_Validation!$A:$D,3,0)</f>
        <v>Service</v>
      </c>
      <c r="V179" s="156" t="str">
        <f>+VLOOKUP($L179,Data_Validation!$A:$D,4,0)</f>
        <v>M/O Interne</v>
      </c>
      <c r="W179" s="156" t="str">
        <f>+VLOOKUP($L179,Data_Validation!$A:$E,5,0)</f>
        <v>$</v>
      </c>
      <c r="X179" s="156" t="str">
        <f>+VLOOKUP($L179,Data_Validation!$A:$F,6,0)</f>
        <v>Oui</v>
      </c>
    </row>
    <row r="180" spans="1:24" ht="15" hidden="1" customHeight="1">
      <c r="A180" s="1002" t="s">
        <v>2048</v>
      </c>
      <c r="B180" s="1145" t="s">
        <v>2518</v>
      </c>
      <c r="C180" s="1004"/>
      <c r="D180" s="1004"/>
      <c r="E180" s="1004"/>
      <c r="F180" s="1002" t="s">
        <v>4</v>
      </c>
      <c r="G180" s="1002" t="s">
        <v>2049</v>
      </c>
      <c r="H180" s="1003"/>
      <c r="I180" s="1003">
        <v>0</v>
      </c>
      <c r="J180" s="1003">
        <v>-166</v>
      </c>
      <c r="K180" s="1003">
        <v>-166</v>
      </c>
      <c r="L180" s="153" t="str">
        <f t="shared" si="0"/>
        <v>4405@</v>
      </c>
      <c r="M180" s="154" t="str">
        <f t="shared" si="1"/>
        <v>M.O. MECANIQUE-VENTE INTERNE</v>
      </c>
      <c r="N180" s="155">
        <f>+IF(OR($Q180=Parametres!$G$2,$Q180=Parametres!$G$3),I180,C180)</f>
        <v>0</v>
      </c>
      <c r="O180" s="155">
        <f>+IF(OR($Q180=Parametres!$G$2,$Q180=Parametres!$G$3),J180,D180)</f>
        <v>-166</v>
      </c>
      <c r="P180" s="155">
        <f>+IF(OR($Q180=Parametres!$G$2,$Q180=Parametres!$G$3),K180,E180)</f>
        <v>-166</v>
      </c>
      <c r="Q180" s="154" t="str">
        <f t="shared" si="13"/>
        <v>10-Compte compteur</v>
      </c>
      <c r="R180" s="153" t="str">
        <f t="shared" si="13"/>
        <v>4405</v>
      </c>
      <c r="S180" s="154">
        <f t="shared" si="13"/>
        <v>0</v>
      </c>
      <c r="T180" s="156" t="str">
        <f>+VLOOKUP($L180,Data_Validation!$A:$D,1,0)</f>
        <v>4405@</v>
      </c>
      <c r="U180" s="156" t="str">
        <f>+VLOOKUP($L180,Data_Validation!$A:$D,3,0)</f>
        <v>Service</v>
      </c>
      <c r="V180" s="156" t="str">
        <f>+VLOOKUP($L180,Data_Validation!$A:$D,4,0)</f>
        <v>M/O Interne</v>
      </c>
      <c r="W180" s="156" t="str">
        <f>+VLOOKUP($L180,Data_Validation!$A:$E,5,0)</f>
        <v>NB</v>
      </c>
      <c r="X180" s="156">
        <f>+VLOOKUP($L180,Data_Validation!$A:$F,6,0)</f>
        <v>0</v>
      </c>
    </row>
    <row r="181" spans="1:24" ht="15.75" hidden="1" customHeight="1">
      <c r="A181" s="1002" t="s">
        <v>2068</v>
      </c>
      <c r="B181" s="1145">
        <v>4451</v>
      </c>
      <c r="C181" s="1023">
        <v>0</v>
      </c>
      <c r="D181" s="1023">
        <v>-11296.55</v>
      </c>
      <c r="E181" s="1023">
        <v>-11296.55</v>
      </c>
      <c r="F181" s="1002" t="s">
        <v>285</v>
      </c>
      <c r="G181" s="1002" t="s">
        <v>2070</v>
      </c>
      <c r="H181" s="1003"/>
      <c r="I181" s="1004"/>
      <c r="J181" s="1004"/>
      <c r="K181" s="1004"/>
      <c r="L181" s="153">
        <f t="shared" si="0"/>
        <v>4451</v>
      </c>
      <c r="M181" s="154" t="str">
        <f t="shared" si="1"/>
        <v>CARBURANT/HUILE/GRAISSE</v>
      </c>
      <c r="N181" s="155">
        <f>+IF(OR($Q181=Parametres!$G$2,$Q181=Parametres!$G$3),I181,C181)</f>
        <v>0</v>
      </c>
      <c r="O181" s="155">
        <f>+IF(OR($Q181=Parametres!$G$2,$Q181=Parametres!$G$3),J181,D181)</f>
        <v>-11296.55</v>
      </c>
      <c r="P181" s="155">
        <f>+IF(OR($Q181=Parametres!$G$2,$Q181=Parametres!$G$3),K181,E181)</f>
        <v>-11296.55</v>
      </c>
      <c r="Q181" s="154" t="str">
        <f t="shared" si="13"/>
        <v>5-Ventes</v>
      </c>
      <c r="R181" s="153" t="str">
        <f t="shared" si="13"/>
        <v>4782</v>
      </c>
      <c r="S181" s="154">
        <f t="shared" si="13"/>
        <v>0</v>
      </c>
      <c r="T181" s="156">
        <f>+VLOOKUP($L181,Data_Validation!$A:$D,1,0)</f>
        <v>4451</v>
      </c>
      <c r="U181" s="156" t="str">
        <f>+VLOOKUP($L181,Data_Validation!$A:$D,3,0)</f>
        <v>Pièces</v>
      </c>
      <c r="V181" s="156" t="str">
        <f>+VLOOKUP($L181,Data_Validation!$A:$D,4,0)</f>
        <v>Huiles et Graisse</v>
      </c>
      <c r="W181" s="156" t="str">
        <f>+VLOOKUP($L181,Data_Validation!$A:$E,5,0)</f>
        <v>$</v>
      </c>
      <c r="X181" s="156" t="str">
        <f>+VLOOKUP($L181,Data_Validation!$A:$F,6,0)</f>
        <v>Oui</v>
      </c>
    </row>
    <row r="182" spans="1:24" ht="15.75" hidden="1" customHeight="1">
      <c r="A182" s="1002" t="s">
        <v>2068</v>
      </c>
      <c r="B182" s="1145" t="s">
        <v>2521</v>
      </c>
      <c r="C182" s="1004"/>
      <c r="D182" s="1004"/>
      <c r="E182" s="1004"/>
      <c r="F182" s="1002" t="s">
        <v>4</v>
      </c>
      <c r="G182" s="1002" t="s">
        <v>2070</v>
      </c>
      <c r="H182" s="1003"/>
      <c r="I182" s="1003">
        <v>0</v>
      </c>
      <c r="J182" s="1003">
        <v>-192</v>
      </c>
      <c r="K182" s="1003">
        <v>-192</v>
      </c>
      <c r="L182" s="153" t="str">
        <f t="shared" si="0"/>
        <v>4451@</v>
      </c>
      <c r="M182" s="154" t="str">
        <f t="shared" si="1"/>
        <v>CARBURANT/HUILE/GRAISSE</v>
      </c>
      <c r="N182" s="155">
        <f>+IF(OR($Q182=Parametres!$G$2,$Q182=Parametres!$G$3),I182,C182)</f>
        <v>0</v>
      </c>
      <c r="O182" s="155">
        <f>+IF(OR($Q182=Parametres!$G$2,$Q182=Parametres!$G$3),J182,D182)</f>
        <v>-192</v>
      </c>
      <c r="P182" s="155">
        <f>+IF(OR($Q182=Parametres!$G$2,$Q182=Parametres!$G$3),K182,E182)</f>
        <v>-192</v>
      </c>
      <c r="Q182" s="154" t="str">
        <f t="shared" si="13"/>
        <v>10-Compte compteur</v>
      </c>
      <c r="R182" s="153" t="str">
        <f t="shared" si="13"/>
        <v>4782</v>
      </c>
      <c r="S182" s="154">
        <f t="shared" si="13"/>
        <v>0</v>
      </c>
      <c r="T182" s="156" t="str">
        <f>+VLOOKUP($L182,Data_Validation!$A:$D,1,0)</f>
        <v>4451@</v>
      </c>
      <c r="U182" s="156" t="str">
        <f>+VLOOKUP($L182,Data_Validation!$A:$D,3,0)</f>
        <v>Pièces</v>
      </c>
      <c r="V182" s="156" t="str">
        <f>+VLOOKUP($L182,Data_Validation!$A:$D,4,0)</f>
        <v>Huiles et Graisse</v>
      </c>
      <c r="W182" s="156" t="str">
        <f>+VLOOKUP($L182,Data_Validation!$A:$E,5,0)</f>
        <v>NB</v>
      </c>
      <c r="X182" s="156">
        <f>+VLOOKUP($L182,Data_Validation!$A:$F,6,0)</f>
        <v>0</v>
      </c>
    </row>
    <row r="183" spans="1:24" ht="15.75" hidden="1" customHeight="1">
      <c r="A183" s="1002" t="s">
        <v>2141</v>
      </c>
      <c r="B183" s="1145">
        <v>4491</v>
      </c>
      <c r="C183" s="1023">
        <v>0</v>
      </c>
      <c r="D183" s="1023">
        <v>-543.95000000000005</v>
      </c>
      <c r="E183" s="1023">
        <v>-543.95000000000005</v>
      </c>
      <c r="F183" s="1002" t="s">
        <v>285</v>
      </c>
      <c r="G183" s="1002" t="s">
        <v>2142</v>
      </c>
      <c r="H183" s="1003"/>
      <c r="I183" s="1004"/>
      <c r="J183" s="1004"/>
      <c r="K183" s="1004"/>
      <c r="L183" s="153">
        <f t="shared" si="0"/>
        <v>4491</v>
      </c>
      <c r="M183" s="154" t="str">
        <f t="shared" si="1"/>
        <v>REPARATION SOUS-LOC. - GENERAL</v>
      </c>
      <c r="N183" s="155">
        <f>+IF(OR($Q183=Parametres!$G$2,$Q183=Parametres!$G$3),I183,C183)</f>
        <v>0</v>
      </c>
      <c r="O183" s="155">
        <f>+IF(OR($Q183=Parametres!$G$2,$Q183=Parametres!$G$3),J183,D183)</f>
        <v>-543.95000000000005</v>
      </c>
      <c r="P183" s="155">
        <f>+IF(OR($Q183=Parametres!$G$2,$Q183=Parametres!$G$3),K183,E183)</f>
        <v>-543.95000000000005</v>
      </c>
      <c r="Q183" s="154" t="str">
        <f t="shared" si="13"/>
        <v>5-Ventes</v>
      </c>
      <c r="R183" s="153" t="str">
        <f t="shared" si="13"/>
        <v>4491</v>
      </c>
      <c r="S183" s="154">
        <f t="shared" si="13"/>
        <v>0</v>
      </c>
      <c r="T183" s="156">
        <f>+VLOOKUP($L183,Data_Validation!$A:$D,1,0)</f>
        <v>4491</v>
      </c>
      <c r="U183" s="156" t="str">
        <f>+VLOOKUP($L183,Data_Validation!$A:$D,3,0)</f>
        <v>Service</v>
      </c>
      <c r="V183" s="156" t="str">
        <f>+VLOOKUP($L183,Data_Validation!$A:$D,4,0)</f>
        <v>Sous-traitement</v>
      </c>
      <c r="W183" s="156" t="str">
        <f>+VLOOKUP($L183,Data_Validation!$A:$E,5,0)</f>
        <v>$</v>
      </c>
      <c r="X183" s="156" t="str">
        <f>+VLOOKUP($L183,Data_Validation!$A:$F,6,0)</f>
        <v>Oui</v>
      </c>
    </row>
    <row r="184" spans="1:24" ht="15.75" hidden="1" customHeight="1">
      <c r="A184" s="1002" t="s">
        <v>2141</v>
      </c>
      <c r="B184" s="1145" t="s">
        <v>2522</v>
      </c>
      <c r="C184" s="1004"/>
      <c r="D184" s="1004"/>
      <c r="E184" s="1004"/>
      <c r="F184" s="1002" t="s">
        <v>4</v>
      </c>
      <c r="G184" s="1002" t="s">
        <v>2142</v>
      </c>
      <c r="H184" s="1003"/>
      <c r="I184" s="1003">
        <v>0</v>
      </c>
      <c r="J184" s="1003">
        <v>-2</v>
      </c>
      <c r="K184" s="1003">
        <v>-2</v>
      </c>
      <c r="L184" s="153" t="str">
        <f t="shared" si="0"/>
        <v>4491@</v>
      </c>
      <c r="M184" s="154" t="str">
        <f t="shared" si="1"/>
        <v>REPARATION SOUS-LOC. - GENERAL</v>
      </c>
      <c r="N184" s="155">
        <f>+IF(OR($Q184=Parametres!$G$2,$Q184=Parametres!$G$3),I184,C184)</f>
        <v>0</v>
      </c>
      <c r="O184" s="155">
        <f>+IF(OR($Q184=Parametres!$G$2,$Q184=Parametres!$G$3),J184,D184)</f>
        <v>-2</v>
      </c>
      <c r="P184" s="155">
        <f>+IF(OR($Q184=Parametres!$G$2,$Q184=Parametres!$G$3),K184,E184)</f>
        <v>-2</v>
      </c>
      <c r="Q184" s="154" t="str">
        <f t="shared" si="13"/>
        <v>10-Compte compteur</v>
      </c>
      <c r="R184" s="153" t="str">
        <f t="shared" si="13"/>
        <v>4491</v>
      </c>
      <c r="S184" s="154">
        <f t="shared" si="13"/>
        <v>0</v>
      </c>
      <c r="T184" s="156" t="str">
        <f>+VLOOKUP($L184,Data_Validation!$A:$D,1,0)</f>
        <v>4491@</v>
      </c>
      <c r="U184" s="156" t="str">
        <f>+VLOOKUP($L184,Data_Validation!$A:$D,3,0)</f>
        <v>Service</v>
      </c>
      <c r="V184" s="156" t="str">
        <f>+VLOOKUP($L184,Data_Validation!$A:$D,4,0)</f>
        <v>Sous-traitement</v>
      </c>
      <c r="W184" s="156" t="str">
        <f>+VLOOKUP($L184,Data_Validation!$A:$E,5,0)</f>
        <v>NB</v>
      </c>
      <c r="X184" s="156">
        <f>+VLOOKUP($L184,Data_Validation!$A:$F,6,0)</f>
        <v>0</v>
      </c>
    </row>
    <row r="185" spans="1:24" ht="15.75" hidden="1" customHeight="1">
      <c r="A185" s="1002" t="s">
        <v>2164</v>
      </c>
      <c r="B185" s="1145">
        <v>4493</v>
      </c>
      <c r="C185" s="1023">
        <v>0</v>
      </c>
      <c r="D185" s="1023">
        <v>-855</v>
      </c>
      <c r="E185" s="1023">
        <v>-855</v>
      </c>
      <c r="F185" s="1002" t="s">
        <v>285</v>
      </c>
      <c r="G185" s="1002" t="s">
        <v>2165</v>
      </c>
      <c r="H185" s="1003"/>
      <c r="I185" s="1004"/>
      <c r="J185" s="1004"/>
      <c r="K185" s="1004"/>
      <c r="L185" s="153">
        <f t="shared" si="0"/>
        <v>4493</v>
      </c>
      <c r="M185" s="154" t="str">
        <f t="shared" si="1"/>
        <v>VTE - SOUS-TRAITANCE GARANTIE</v>
      </c>
      <c r="N185" s="155">
        <f>+IF(OR($Q185=Parametres!$G$2,$Q185=Parametres!$G$3),I185,C185)</f>
        <v>0</v>
      </c>
      <c r="O185" s="155">
        <f>+IF(OR($Q185=Parametres!$G$2,$Q185=Parametres!$G$3),J185,D185)</f>
        <v>-855</v>
      </c>
      <c r="P185" s="155">
        <f>+IF(OR($Q185=Parametres!$G$2,$Q185=Parametres!$G$3),K185,E185)</f>
        <v>-855</v>
      </c>
      <c r="Q185" s="154" t="str">
        <f t="shared" si="13"/>
        <v>5-Ventes</v>
      </c>
      <c r="R185" s="153" t="str">
        <f t="shared" si="13"/>
        <v>4493</v>
      </c>
      <c r="S185" s="154">
        <f t="shared" si="13"/>
        <v>0</v>
      </c>
      <c r="T185" s="156">
        <f>+VLOOKUP($L185,Data_Validation!$A:$D,1,0)</f>
        <v>4493</v>
      </c>
      <c r="U185" s="156" t="str">
        <f>+VLOOKUP($L185,Data_Validation!$A:$D,3,0)</f>
        <v>Service</v>
      </c>
      <c r="V185" s="156" t="str">
        <f>+VLOOKUP($L185,Data_Validation!$A:$D,4,0)</f>
        <v>Sous-traitement</v>
      </c>
      <c r="W185" s="156" t="str">
        <f>+VLOOKUP($L185,Data_Validation!$A:$E,5,0)</f>
        <v>$</v>
      </c>
      <c r="X185" s="156" t="str">
        <f>+VLOOKUP($L185,Data_Validation!$A:$F,6,0)</f>
        <v>Oui</v>
      </c>
    </row>
    <row r="186" spans="1:24" ht="15.75" hidden="1" customHeight="1">
      <c r="A186" s="1002" t="s">
        <v>2523</v>
      </c>
      <c r="B186" s="1145" t="s">
        <v>2524</v>
      </c>
      <c r="C186" s="1004"/>
      <c r="D186" s="1004"/>
      <c r="E186" s="1004"/>
      <c r="F186" s="1002" t="s">
        <v>4</v>
      </c>
      <c r="G186" s="1002" t="s">
        <v>2165</v>
      </c>
      <c r="H186" s="1003"/>
      <c r="I186" s="1003">
        <v>0</v>
      </c>
      <c r="J186" s="1003">
        <v>-2</v>
      </c>
      <c r="K186" s="1003">
        <v>-2</v>
      </c>
      <c r="L186" s="153" t="str">
        <f t="shared" si="0"/>
        <v>4493@</v>
      </c>
      <c r="M186" s="154" t="str">
        <f t="shared" si="1"/>
        <v># DE VTE - SOUS-TRAITANCE GARANTIE</v>
      </c>
      <c r="N186" s="155">
        <f>+IF(OR($Q186=Parametres!$G$2,$Q186=Parametres!$G$3),I186,C186)</f>
        <v>0</v>
      </c>
      <c r="O186" s="155">
        <f>+IF(OR($Q186=Parametres!$G$2,$Q186=Parametres!$G$3),J186,D186)</f>
        <v>-2</v>
      </c>
      <c r="P186" s="155">
        <f>+IF(OR($Q186=Parametres!$G$2,$Q186=Parametres!$G$3),K186,E186)</f>
        <v>-2</v>
      </c>
      <c r="Q186" s="154" t="str">
        <f t="shared" si="13"/>
        <v>10-Compte compteur</v>
      </c>
      <c r="R186" s="153" t="str">
        <f t="shared" si="13"/>
        <v>4493</v>
      </c>
      <c r="S186" s="154">
        <f t="shared" si="13"/>
        <v>0</v>
      </c>
      <c r="T186" s="156" t="str">
        <f>+VLOOKUP($L186,Data_Validation!$A:$D,1,0)</f>
        <v>4493@</v>
      </c>
      <c r="U186" s="156" t="str">
        <f>+VLOOKUP($L186,Data_Validation!$A:$D,3,0)</f>
        <v>Service</v>
      </c>
      <c r="V186" s="156" t="str">
        <f>+VLOOKUP($L186,Data_Validation!$A:$D,4,0)</f>
        <v>Sous-traitement</v>
      </c>
      <c r="W186" s="156" t="str">
        <f>+VLOOKUP($L186,Data_Validation!$A:$E,5,0)</f>
        <v>NB</v>
      </c>
      <c r="X186" s="156">
        <f>+VLOOKUP($L186,Data_Validation!$A:$F,6,0)</f>
        <v>0</v>
      </c>
    </row>
    <row r="187" spans="1:24" ht="15" hidden="1" customHeight="1">
      <c r="A187" s="1002" t="s">
        <v>2083</v>
      </c>
      <c r="B187" s="1145">
        <v>4495</v>
      </c>
      <c r="C187" s="1023">
        <v>0</v>
      </c>
      <c r="D187" s="1023">
        <v>-6456.25</v>
      </c>
      <c r="E187" s="1023">
        <v>-6456.25</v>
      </c>
      <c r="F187" s="1002" t="s">
        <v>285</v>
      </c>
      <c r="G187" s="1002" t="s">
        <v>2084</v>
      </c>
      <c r="H187" s="1003"/>
      <c r="I187" s="1004"/>
      <c r="J187" s="1004"/>
      <c r="K187" s="1004"/>
      <c r="L187" s="153">
        <f t="shared" si="0"/>
        <v>4495</v>
      </c>
      <c r="M187" s="154" t="str">
        <f t="shared" si="1"/>
        <v>VTE - S-TRAITANCE MEC.INTERNE VW</v>
      </c>
      <c r="N187" s="155">
        <f>+IF(OR($Q187=Parametres!$G$2,$Q187=Parametres!$G$3),I187,C187)</f>
        <v>0</v>
      </c>
      <c r="O187" s="155">
        <f>+IF(OR($Q187=Parametres!$G$2,$Q187=Parametres!$G$3),J187,D187)</f>
        <v>-6456.25</v>
      </c>
      <c r="P187" s="155">
        <f>+IF(OR($Q187=Parametres!$G$2,$Q187=Parametres!$G$3),K187,E187)</f>
        <v>-6456.25</v>
      </c>
      <c r="Q187" s="154" t="str">
        <f t="shared" si="13"/>
        <v>5-Ventes</v>
      </c>
      <c r="R187" s="153" t="str">
        <f t="shared" si="13"/>
        <v>4495</v>
      </c>
      <c r="S187" s="154">
        <f t="shared" si="13"/>
        <v>0</v>
      </c>
      <c r="T187" s="156">
        <f>+VLOOKUP($L187,Data_Validation!$A:$D,1,0)</f>
        <v>4495</v>
      </c>
      <c r="U187" s="156" t="str">
        <f>+VLOOKUP($L187,Data_Validation!$A:$D,3,0)</f>
        <v>Service</v>
      </c>
      <c r="V187" s="156" t="str">
        <f>+VLOOKUP($L187,Data_Validation!$A:$D,4,0)</f>
        <v>Sous-traitement</v>
      </c>
      <c r="W187" s="156" t="str">
        <f>+VLOOKUP($L187,Data_Validation!$A:$E,5,0)</f>
        <v>$</v>
      </c>
      <c r="X187" s="156" t="str">
        <f>+VLOOKUP($L187,Data_Validation!$A:$F,6,0)</f>
        <v>Oui</v>
      </c>
    </row>
    <row r="188" spans="1:24" ht="15" hidden="1" customHeight="1">
      <c r="A188" s="1002" t="s">
        <v>2525</v>
      </c>
      <c r="B188" s="1145" t="s">
        <v>2526</v>
      </c>
      <c r="C188" s="1004"/>
      <c r="D188" s="1004"/>
      <c r="E188" s="1004"/>
      <c r="F188" s="1002" t="s">
        <v>4</v>
      </c>
      <c r="G188" s="1002" t="s">
        <v>2084</v>
      </c>
      <c r="H188" s="1003"/>
      <c r="I188" s="1003">
        <v>0</v>
      </c>
      <c r="J188" s="1003">
        <v>-24</v>
      </c>
      <c r="K188" s="1003">
        <v>-24</v>
      </c>
      <c r="L188" s="153" t="str">
        <f t="shared" si="0"/>
        <v>4495@</v>
      </c>
      <c r="M188" s="154" t="str">
        <f t="shared" si="1"/>
        <v># DE VTE - S-TRAITANCE MEC.INTERNE VW</v>
      </c>
      <c r="N188" s="155">
        <f>+IF(OR($Q188=Parametres!$G$2,$Q188=Parametres!$G$3),I188,C188)</f>
        <v>0</v>
      </c>
      <c r="O188" s="155">
        <f>+IF(OR($Q188=Parametres!$G$2,$Q188=Parametres!$G$3),J188,D188)</f>
        <v>-24</v>
      </c>
      <c r="P188" s="155">
        <f>+IF(OR($Q188=Parametres!$G$2,$Q188=Parametres!$G$3),K188,E188)</f>
        <v>-24</v>
      </c>
      <c r="Q188" s="154" t="str">
        <f t="shared" si="13"/>
        <v>10-Compte compteur</v>
      </c>
      <c r="R188" s="153" t="str">
        <f t="shared" si="13"/>
        <v>4495</v>
      </c>
      <c r="S188" s="154">
        <f t="shared" si="13"/>
        <v>0</v>
      </c>
      <c r="T188" s="156" t="str">
        <f>+VLOOKUP($L188,Data_Validation!$A:$D,1,0)</f>
        <v>4495@</v>
      </c>
      <c r="U188" s="156" t="str">
        <f>+VLOOKUP($L188,Data_Validation!$A:$D,3,0)</f>
        <v>Service</v>
      </c>
      <c r="V188" s="156" t="str">
        <f>+VLOOKUP($L188,Data_Validation!$A:$D,4,0)</f>
        <v>Sous-traitement</v>
      </c>
      <c r="W188" s="156" t="str">
        <f>+VLOOKUP($L188,Data_Validation!$A:$E,5,0)</f>
        <v>NB</v>
      </c>
      <c r="X188" s="156">
        <f>+VLOOKUP($L188,Data_Validation!$A:$F,6,0)</f>
        <v>0</v>
      </c>
    </row>
    <row r="189" spans="1:24" ht="15" hidden="1" customHeight="1">
      <c r="A189" s="1002" t="s">
        <v>2066</v>
      </c>
      <c r="B189" s="1145">
        <v>4591</v>
      </c>
      <c r="C189" s="1023">
        <v>0</v>
      </c>
      <c r="D189" s="1023">
        <v>-28211.86</v>
      </c>
      <c r="E189" s="1023">
        <v>-28211.86</v>
      </c>
      <c r="F189" s="1002" t="s">
        <v>285</v>
      </c>
      <c r="G189" s="1002" t="s">
        <v>2067</v>
      </c>
      <c r="H189" s="1003"/>
      <c r="I189" s="1004"/>
      <c r="J189" s="1004"/>
      <c r="K189" s="1004"/>
      <c r="L189" s="153">
        <f t="shared" si="0"/>
        <v>4591</v>
      </c>
      <c r="M189" s="154" t="str">
        <f t="shared" si="1"/>
        <v>VTE - S-TRAIT. CARR.</v>
      </c>
      <c r="N189" s="155">
        <f>+IF(OR($Q189=Parametres!$G$2,$Q189=Parametres!$G$3),I189,C189)</f>
        <v>0</v>
      </c>
      <c r="O189" s="155">
        <f>+IF(OR($Q189=Parametres!$G$2,$Q189=Parametres!$G$3),J189,D189)</f>
        <v>-28211.86</v>
      </c>
      <c r="P189" s="155">
        <f>+IF(OR($Q189=Parametres!$G$2,$Q189=Parametres!$G$3),K189,E189)</f>
        <v>-28211.86</v>
      </c>
      <c r="Q189" s="154" t="str">
        <f t="shared" si="13"/>
        <v>5-Ventes</v>
      </c>
      <c r="R189" s="153" t="str">
        <f t="shared" si="13"/>
        <v>4591</v>
      </c>
      <c r="S189" s="154">
        <f t="shared" si="13"/>
        <v>0</v>
      </c>
      <c r="T189" s="156">
        <f>+VLOOKUP($L189,Data_Validation!$A:$D,1,0)</f>
        <v>4591</v>
      </c>
      <c r="U189" s="156" t="str">
        <f>+VLOOKUP($L189,Data_Validation!$A:$D,3,0)</f>
        <v>Carrosserie</v>
      </c>
      <c r="V189" s="156" t="str">
        <f>+VLOOKUP($L189,Data_Validation!$A:$D,4,0)</f>
        <v>M/O Sous-traitement</v>
      </c>
      <c r="W189" s="156" t="str">
        <f>+VLOOKUP($L189,Data_Validation!$A:$E,5,0)</f>
        <v>$</v>
      </c>
      <c r="X189" s="156" t="str">
        <f>+VLOOKUP($L189,Data_Validation!$A:$F,6,0)</f>
        <v>Oui</v>
      </c>
    </row>
    <row r="190" spans="1:24" ht="15" hidden="1" customHeight="1">
      <c r="A190" s="1002" t="s">
        <v>2527</v>
      </c>
      <c r="B190" s="1145" t="s">
        <v>2528</v>
      </c>
      <c r="C190" s="1004"/>
      <c r="D190" s="1004"/>
      <c r="E190" s="1004"/>
      <c r="F190" s="1002" t="s">
        <v>4</v>
      </c>
      <c r="G190" s="1002" t="s">
        <v>2067</v>
      </c>
      <c r="H190" s="1003"/>
      <c r="I190" s="1003">
        <v>0</v>
      </c>
      <c r="J190" s="1003">
        <v>-17</v>
      </c>
      <c r="K190" s="1003">
        <v>-17</v>
      </c>
      <c r="L190" s="153" t="str">
        <f t="shared" si="0"/>
        <v>4591@</v>
      </c>
      <c r="M190" s="154" t="str">
        <f t="shared" si="1"/>
        <v>REPARATION SOUS-LOC.-PEINT/DEB</v>
      </c>
      <c r="N190" s="155">
        <f>+IF(OR($Q190=Parametres!$G$2,$Q190=Parametres!$G$3),I190,C190)</f>
        <v>0</v>
      </c>
      <c r="O190" s="155">
        <f>+IF(OR($Q190=Parametres!$G$2,$Q190=Parametres!$G$3),J190,D190)</f>
        <v>-17</v>
      </c>
      <c r="P190" s="155">
        <f>+IF(OR($Q190=Parametres!$G$2,$Q190=Parametres!$G$3),K190,E190)</f>
        <v>-17</v>
      </c>
      <c r="Q190" s="154" t="str">
        <f t="shared" si="13"/>
        <v>10-Compte compteur</v>
      </c>
      <c r="R190" s="153" t="str">
        <f t="shared" si="13"/>
        <v>4591</v>
      </c>
      <c r="S190" s="154">
        <f t="shared" si="13"/>
        <v>0</v>
      </c>
      <c r="T190" s="156" t="str">
        <f>+VLOOKUP($L190,Data_Validation!$A:$D,1,0)</f>
        <v>4591@</v>
      </c>
      <c r="U190" s="156" t="str">
        <f>+VLOOKUP($L190,Data_Validation!$A:$D,3,0)</f>
        <v>Carrosserie</v>
      </c>
      <c r="V190" s="156" t="str">
        <f>+VLOOKUP($L190,Data_Validation!$A:$D,4,0)</f>
        <v>M/O Sous-traitement</v>
      </c>
      <c r="W190" s="156" t="str">
        <f>+VLOOKUP($L190,Data_Validation!$A:$E,5,0)</f>
        <v>NB</v>
      </c>
      <c r="X190" s="156">
        <f>+VLOOKUP($L190,Data_Validation!$A:$F,6,0)</f>
        <v>0</v>
      </c>
    </row>
    <row r="191" spans="1:24" ht="15" hidden="1" customHeight="1">
      <c r="A191" s="1002" t="s">
        <v>2064</v>
      </c>
      <c r="B191" s="1145">
        <v>4593</v>
      </c>
      <c r="C191" s="1023">
        <v>0</v>
      </c>
      <c r="D191" s="1023">
        <v>-73390.06</v>
      </c>
      <c r="E191" s="1023">
        <v>-73390.06</v>
      </c>
      <c r="F191" s="1002" t="s">
        <v>285</v>
      </c>
      <c r="G191" s="1002" t="s">
        <v>2065</v>
      </c>
      <c r="H191" s="1003"/>
      <c r="I191" s="1004"/>
      <c r="J191" s="1004"/>
      <c r="K191" s="1004"/>
      <c r="L191" s="153">
        <f t="shared" si="0"/>
        <v>4593</v>
      </c>
      <c r="M191" s="154" t="str">
        <f t="shared" si="1"/>
        <v>VTE - SOUS-TRAITANCE GARANTIE CARR.</v>
      </c>
      <c r="N191" s="155">
        <f>+IF(OR($Q191=Parametres!$G$2,$Q191=Parametres!$G$3),I191,C191)</f>
        <v>0</v>
      </c>
      <c r="O191" s="155">
        <f>+IF(OR($Q191=Parametres!$G$2,$Q191=Parametres!$G$3),J191,D191)</f>
        <v>-73390.06</v>
      </c>
      <c r="P191" s="155">
        <f>+IF(OR($Q191=Parametres!$G$2,$Q191=Parametres!$G$3),K191,E191)</f>
        <v>-73390.06</v>
      </c>
      <c r="Q191" s="154" t="str">
        <f t="shared" si="13"/>
        <v>5-Ventes</v>
      </c>
      <c r="R191" s="153" t="str">
        <f t="shared" si="13"/>
        <v>4593</v>
      </c>
      <c r="S191" s="154">
        <f t="shared" si="13"/>
        <v>0</v>
      </c>
      <c r="T191" s="156">
        <f>+VLOOKUP($L191,Data_Validation!$A:$D,1,0)</f>
        <v>4593</v>
      </c>
      <c r="U191" s="156" t="str">
        <f>+VLOOKUP($L191,Data_Validation!$A:$D,3,0)</f>
        <v>Carrosserie</v>
      </c>
      <c r="V191" s="156" t="str">
        <f>+VLOOKUP($L191,Data_Validation!$A:$D,4,0)</f>
        <v>M/O Sous-traitement</v>
      </c>
      <c r="W191" s="156" t="str">
        <f>+VLOOKUP($L191,Data_Validation!$A:$E,5,0)</f>
        <v>$</v>
      </c>
      <c r="X191" s="156" t="str">
        <f>+VLOOKUP($L191,Data_Validation!$A:$F,6,0)</f>
        <v>Oui</v>
      </c>
    </row>
    <row r="192" spans="1:24" ht="15" hidden="1" customHeight="1">
      <c r="A192" s="1002" t="s">
        <v>2529</v>
      </c>
      <c r="B192" s="1145" t="s">
        <v>2530</v>
      </c>
      <c r="C192" s="1004"/>
      <c r="D192" s="1004"/>
      <c r="E192" s="1004"/>
      <c r="F192" s="1002" t="s">
        <v>4</v>
      </c>
      <c r="G192" s="1002" t="s">
        <v>2065</v>
      </c>
      <c r="H192" s="1003"/>
      <c r="I192" s="1003">
        <v>0</v>
      </c>
      <c r="J192" s="1003">
        <v>-34</v>
      </c>
      <c r="K192" s="1003">
        <v>-34</v>
      </c>
      <c r="L192" s="153" t="str">
        <f t="shared" si="0"/>
        <v>4593@</v>
      </c>
      <c r="M192" s="154" t="str">
        <f t="shared" si="1"/>
        <v># DE VTE - S-TRAITANCE GAR.CARR.</v>
      </c>
      <c r="N192" s="155">
        <f>+IF(OR($Q192=Parametres!$G$2,$Q192=Parametres!$G$3),I192,C192)</f>
        <v>0</v>
      </c>
      <c r="O192" s="155">
        <f>+IF(OR($Q192=Parametres!$G$2,$Q192=Parametres!$G$3),J192,D192)</f>
        <v>-34</v>
      </c>
      <c r="P192" s="155">
        <f>+IF(OR($Q192=Parametres!$G$2,$Q192=Parametres!$G$3),K192,E192)</f>
        <v>-34</v>
      </c>
      <c r="Q192" s="154" t="str">
        <f t="shared" si="13"/>
        <v>10-Compte compteur</v>
      </c>
      <c r="R192" s="153" t="str">
        <f t="shared" si="13"/>
        <v>4593</v>
      </c>
      <c r="S192" s="154">
        <f t="shared" si="13"/>
        <v>0</v>
      </c>
      <c r="T192" s="156" t="str">
        <f>+VLOOKUP($L192,Data_Validation!$A:$D,1,0)</f>
        <v>4593@</v>
      </c>
      <c r="U192" s="156" t="str">
        <f>+VLOOKUP($L192,Data_Validation!$A:$D,3,0)</f>
        <v>Carrosserie</v>
      </c>
      <c r="V192" s="156" t="str">
        <f>+VLOOKUP($L192,Data_Validation!$A:$D,4,0)</f>
        <v>M/O Sous-traitement</v>
      </c>
      <c r="W192" s="156" t="str">
        <f>+VLOOKUP($L192,Data_Validation!$A:$E,5,0)</f>
        <v>NB</v>
      </c>
      <c r="X192" s="156">
        <f>+VLOOKUP($L192,Data_Validation!$A:$F,6,0)</f>
        <v>0</v>
      </c>
    </row>
    <row r="193" spans="1:24" ht="15" hidden="1" customHeight="1">
      <c r="A193" s="1002" t="s">
        <v>2097</v>
      </c>
      <c r="B193" s="1145">
        <v>4595</v>
      </c>
      <c r="C193" s="1023">
        <v>0</v>
      </c>
      <c r="D193" s="1023">
        <v>-2045</v>
      </c>
      <c r="E193" s="1023">
        <v>-2045</v>
      </c>
      <c r="F193" s="1002" t="s">
        <v>285</v>
      </c>
      <c r="G193" s="1002" t="s">
        <v>2098</v>
      </c>
      <c r="H193" s="1003"/>
      <c r="I193" s="1004"/>
      <c r="J193" s="1004"/>
      <c r="K193" s="1004"/>
      <c r="L193" s="153">
        <f t="shared" si="0"/>
        <v>4595</v>
      </c>
      <c r="M193" s="154" t="str">
        <f t="shared" si="1"/>
        <v>VTE - SOUS-TRAITANCE INTERNE CARR.</v>
      </c>
      <c r="N193" s="155">
        <f>+IF(OR($Q193=Parametres!$G$2,$Q193=Parametres!$G$3),I193,C193)</f>
        <v>0</v>
      </c>
      <c r="O193" s="155">
        <f>+IF(OR($Q193=Parametres!$G$2,$Q193=Parametres!$G$3),J193,D193)</f>
        <v>-2045</v>
      </c>
      <c r="P193" s="155">
        <f>+IF(OR($Q193=Parametres!$G$2,$Q193=Parametres!$G$3),K193,E193)</f>
        <v>-2045</v>
      </c>
      <c r="Q193" s="154" t="str">
        <f t="shared" si="13"/>
        <v>5-Ventes</v>
      </c>
      <c r="R193" s="153" t="str">
        <f t="shared" si="13"/>
        <v>4595</v>
      </c>
      <c r="S193" s="154">
        <f t="shared" si="13"/>
        <v>0</v>
      </c>
      <c r="T193" s="156">
        <f>+VLOOKUP($L193,Data_Validation!$A:$D,1,0)</f>
        <v>4595</v>
      </c>
      <c r="U193" s="156" t="str">
        <f>+VLOOKUP($L193,Data_Validation!$A:$D,3,0)</f>
        <v>Carrosserie</v>
      </c>
      <c r="V193" s="156" t="str">
        <f>+VLOOKUP($L193,Data_Validation!$A:$D,4,0)</f>
        <v>M/O Sous-traitement</v>
      </c>
      <c r="W193" s="156" t="str">
        <f>+VLOOKUP($L193,Data_Validation!$A:$E,5,0)</f>
        <v>$</v>
      </c>
      <c r="X193" s="156" t="str">
        <f>+VLOOKUP($L193,Data_Validation!$A:$F,6,0)</f>
        <v>Oui</v>
      </c>
    </row>
    <row r="194" spans="1:24" ht="15.75" hidden="1" customHeight="1">
      <c r="A194" s="1002" t="s">
        <v>2531</v>
      </c>
      <c r="B194" s="1145" t="s">
        <v>2532</v>
      </c>
      <c r="C194" s="1004"/>
      <c r="D194" s="1004"/>
      <c r="E194" s="1004"/>
      <c r="F194" s="1002" t="s">
        <v>4</v>
      </c>
      <c r="G194" s="1002" t="s">
        <v>2098</v>
      </c>
      <c r="H194" s="1003"/>
      <c r="I194" s="1003">
        <v>0</v>
      </c>
      <c r="J194" s="1003">
        <v>-8</v>
      </c>
      <c r="K194" s="1003">
        <v>-8</v>
      </c>
      <c r="L194" s="153" t="str">
        <f t="shared" si="0"/>
        <v>4595@</v>
      </c>
      <c r="M194" s="154" t="str">
        <f t="shared" si="1"/>
        <v># DE VTE - S-TRAIT.INTERNE CARR.</v>
      </c>
      <c r="N194" s="155">
        <f>+IF(OR($Q194=Parametres!$G$2,$Q194=Parametres!$G$3),I194,C194)</f>
        <v>0</v>
      </c>
      <c r="O194" s="155">
        <f>+IF(OR($Q194=Parametres!$G$2,$Q194=Parametres!$G$3),J194,D194)</f>
        <v>-8</v>
      </c>
      <c r="P194" s="155">
        <f>+IF(OR($Q194=Parametres!$G$2,$Q194=Parametres!$G$3),K194,E194)</f>
        <v>-8</v>
      </c>
      <c r="Q194" s="154" t="str">
        <f t="shared" ref="Q194:S209" si="14">+F194</f>
        <v>10-Compte compteur</v>
      </c>
      <c r="R194" s="153" t="str">
        <f t="shared" si="14"/>
        <v>4595</v>
      </c>
      <c r="S194" s="154">
        <f t="shared" si="14"/>
        <v>0</v>
      </c>
      <c r="T194" s="156" t="str">
        <f>+VLOOKUP($L194,Data_Validation!$A:$D,1,0)</f>
        <v>4595@</v>
      </c>
      <c r="U194" s="156" t="str">
        <f>+VLOOKUP($L194,Data_Validation!$A:$D,3,0)</f>
        <v>Carrosserie</v>
      </c>
      <c r="V194" s="156" t="str">
        <f>+VLOOKUP($L194,Data_Validation!$A:$D,4,0)</f>
        <v>M/O Sous-traitement</v>
      </c>
      <c r="W194" s="156" t="str">
        <f>+VLOOKUP($L194,Data_Validation!$A:$E,5,0)</f>
        <v>NB</v>
      </c>
      <c r="X194" s="156">
        <f>+VLOOKUP($L194,Data_Validation!$A:$F,6,0)</f>
        <v>0</v>
      </c>
    </row>
    <row r="195" spans="1:24" ht="15" hidden="1" customHeight="1">
      <c r="A195" s="1002" t="s">
        <v>2020</v>
      </c>
      <c r="B195" s="1145">
        <v>4701</v>
      </c>
      <c r="C195" s="1023">
        <v>0</v>
      </c>
      <c r="D195" s="1023">
        <v>-42140.29</v>
      </c>
      <c r="E195" s="1023">
        <v>-42140.29</v>
      </c>
      <c r="F195" s="1002" t="s">
        <v>285</v>
      </c>
      <c r="G195" s="1002" t="s">
        <v>2021</v>
      </c>
      <c r="H195" s="1003"/>
      <c r="I195" s="1004"/>
      <c r="J195" s="1004"/>
      <c r="K195" s="1004"/>
      <c r="L195" s="153">
        <f t="shared" si="0"/>
        <v>4701</v>
      </c>
      <c r="M195" s="154" t="str">
        <f t="shared" si="1"/>
        <v>VTE - PIECE/ACC B.R. CLIENT VW</v>
      </c>
      <c r="N195" s="155">
        <f>+IF(OR($Q195=Parametres!$G$2,$Q195=Parametres!$G$3),I195,C195)</f>
        <v>0</v>
      </c>
      <c r="O195" s="155">
        <f>+IF(OR($Q195=Parametres!$G$2,$Q195=Parametres!$G$3),J195,D195)</f>
        <v>-42140.29</v>
      </c>
      <c r="P195" s="155">
        <f>+IF(OR($Q195=Parametres!$G$2,$Q195=Parametres!$G$3),K195,E195)</f>
        <v>-42140.29</v>
      </c>
      <c r="Q195" s="154" t="str">
        <f t="shared" si="14"/>
        <v>5-Ventes</v>
      </c>
      <c r="R195" s="153" t="str">
        <f t="shared" si="14"/>
        <v>4701</v>
      </c>
      <c r="S195" s="154">
        <f t="shared" si="14"/>
        <v>0</v>
      </c>
      <c r="T195" s="156">
        <f>+VLOOKUP($L195,Data_Validation!$A:$D,1,0)</f>
        <v>4701</v>
      </c>
      <c r="U195" s="156" t="str">
        <f>+VLOOKUP($L195,Data_Validation!$A:$D,3,0)</f>
        <v>Pièces</v>
      </c>
      <c r="V195" s="156" t="str">
        <f>+VLOOKUP($L195,Data_Validation!$A:$D,4,0)</f>
        <v>Pièces Ro Clients</v>
      </c>
      <c r="W195" s="156" t="str">
        <f>+VLOOKUP($L195,Data_Validation!$A:$E,5,0)</f>
        <v>$</v>
      </c>
      <c r="X195" s="156" t="str">
        <f>+VLOOKUP($L195,Data_Validation!$A:$F,6,0)</f>
        <v>Oui</v>
      </c>
    </row>
    <row r="196" spans="1:24" ht="15" hidden="1" customHeight="1">
      <c r="A196" s="1002" t="s">
        <v>2533</v>
      </c>
      <c r="B196" s="1145" t="s">
        <v>2534</v>
      </c>
      <c r="C196" s="1004"/>
      <c r="D196" s="1004"/>
      <c r="E196" s="1004"/>
      <c r="F196" s="1002" t="s">
        <v>4</v>
      </c>
      <c r="G196" s="1002" t="s">
        <v>2021</v>
      </c>
      <c r="H196" s="1003"/>
      <c r="I196" s="1003">
        <v>0</v>
      </c>
      <c r="J196" s="1003">
        <v>-199</v>
      </c>
      <c r="K196" s="1003">
        <v>-199</v>
      </c>
      <c r="L196" s="153" t="str">
        <f t="shared" si="0"/>
        <v>4701@</v>
      </c>
      <c r="M196" s="154" t="str">
        <f t="shared" si="1"/>
        <v>PIECES-BON REPARATION- CLIENTS</v>
      </c>
      <c r="N196" s="155">
        <f>+IF(OR($Q196=Parametres!$G$2,$Q196=Parametres!$G$3),I196,C196)</f>
        <v>0</v>
      </c>
      <c r="O196" s="155">
        <f>+IF(OR($Q196=Parametres!$G$2,$Q196=Parametres!$G$3),J196,D196)</f>
        <v>-199</v>
      </c>
      <c r="P196" s="155">
        <f>+IF(OR($Q196=Parametres!$G$2,$Q196=Parametres!$G$3),K196,E196)</f>
        <v>-199</v>
      </c>
      <c r="Q196" s="154" t="str">
        <f t="shared" si="14"/>
        <v>10-Compte compteur</v>
      </c>
      <c r="R196" s="153" t="str">
        <f t="shared" si="14"/>
        <v>4701</v>
      </c>
      <c r="S196" s="154">
        <f t="shared" si="14"/>
        <v>0</v>
      </c>
      <c r="T196" s="156" t="str">
        <f>+VLOOKUP($L196,Data_Validation!$A:$D,1,0)</f>
        <v>4701@</v>
      </c>
      <c r="U196" s="156" t="str">
        <f>+VLOOKUP($L196,Data_Validation!$A:$D,3,0)</f>
        <v>Pièces</v>
      </c>
      <c r="V196" s="156" t="str">
        <f>+VLOOKUP($L196,Data_Validation!$A:$D,4,0)</f>
        <v>Pièces Ro Clients</v>
      </c>
      <c r="W196" s="156" t="str">
        <f>+VLOOKUP($L196,Data_Validation!$A:$E,5,0)</f>
        <v>NB</v>
      </c>
      <c r="X196" s="156">
        <f>+VLOOKUP($L196,Data_Validation!$A:$F,6,0)</f>
        <v>0</v>
      </c>
    </row>
    <row r="197" spans="1:24" ht="15" hidden="1" customHeight="1">
      <c r="A197" s="1002" t="s">
        <v>2147</v>
      </c>
      <c r="B197" s="1145">
        <v>4702</v>
      </c>
      <c r="C197" s="1023">
        <v>0</v>
      </c>
      <c r="D197" s="1023">
        <v>-241.35</v>
      </c>
      <c r="E197" s="1023">
        <v>-241.35</v>
      </c>
      <c r="F197" s="1002" t="s">
        <v>285</v>
      </c>
      <c r="G197" s="1002" t="s">
        <v>2148</v>
      </c>
      <c r="H197" s="1003"/>
      <c r="I197" s="1004"/>
      <c r="J197" s="1004"/>
      <c r="K197" s="1004"/>
      <c r="L197" s="153">
        <f t="shared" si="0"/>
        <v>4702</v>
      </c>
      <c r="M197" s="154" t="str">
        <f t="shared" si="1"/>
        <v>VTE - SHOP SUPPLY VW</v>
      </c>
      <c r="N197" s="155">
        <f>+IF(OR($Q197=Parametres!$G$2,$Q197=Parametres!$G$3),I197,C197)</f>
        <v>0</v>
      </c>
      <c r="O197" s="155">
        <f>+IF(OR($Q197=Parametres!$G$2,$Q197=Parametres!$G$3),J197,D197)</f>
        <v>-241.35</v>
      </c>
      <c r="P197" s="155">
        <f>+IF(OR($Q197=Parametres!$G$2,$Q197=Parametres!$G$3),K197,E197)</f>
        <v>-241.35</v>
      </c>
      <c r="Q197" s="154" t="str">
        <f t="shared" si="14"/>
        <v>5-Ventes</v>
      </c>
      <c r="R197" s="153" t="str">
        <f t="shared" si="14"/>
        <v>4702</v>
      </c>
      <c r="S197" s="154">
        <f t="shared" si="14"/>
        <v>0</v>
      </c>
      <c r="T197" s="156">
        <f>+VLOOKUP($L197,Data_Validation!$A:$D,1,0)</f>
        <v>4702</v>
      </c>
      <c r="U197" s="156" t="str">
        <f>+VLOOKUP($L197,Data_Validation!$A:$D,3,0)</f>
        <v>Service</v>
      </c>
      <c r="V197" s="156" t="str">
        <f>+VLOOKUP($L197,Data_Validation!$A:$D,4,0)</f>
        <v>M/O Client</v>
      </c>
      <c r="W197" s="156" t="str">
        <f>+VLOOKUP($L197,Data_Validation!$A:$E,5,0)</f>
        <v>$</v>
      </c>
      <c r="X197" s="156" t="str">
        <f>+VLOOKUP($L197,Data_Validation!$A:$F,6,0)</f>
        <v>Oui</v>
      </c>
    </row>
    <row r="198" spans="1:24" ht="15" hidden="1" customHeight="1">
      <c r="A198" s="1002" t="s">
        <v>2040</v>
      </c>
      <c r="B198" s="1145">
        <v>4703</v>
      </c>
      <c r="C198" s="1004">
        <v>0</v>
      </c>
      <c r="D198" s="1004">
        <v>-111661.14</v>
      </c>
      <c r="E198" s="1004">
        <v>-111661.14</v>
      </c>
      <c r="F198" s="1002" t="s">
        <v>285</v>
      </c>
      <c r="G198" s="1002" t="s">
        <v>2041</v>
      </c>
      <c r="H198" s="1003"/>
      <c r="I198" s="1003"/>
      <c r="J198" s="1003"/>
      <c r="K198" s="1003"/>
      <c r="L198" s="153">
        <f t="shared" si="0"/>
        <v>4703</v>
      </c>
      <c r="M198" s="154" t="str">
        <f t="shared" si="1"/>
        <v>VTE - PIECE/ACC B.R. GARANTIE VW</v>
      </c>
      <c r="N198" s="155">
        <f>+IF(OR($Q198=Parametres!$G$2,$Q198=Parametres!$G$3),I198,C198)</f>
        <v>0</v>
      </c>
      <c r="O198" s="155">
        <f>+IF(OR($Q198=Parametres!$G$2,$Q198=Parametres!$G$3),J198,D198)</f>
        <v>-111661.14</v>
      </c>
      <c r="P198" s="155">
        <f>+IF(OR($Q198=Parametres!$G$2,$Q198=Parametres!$G$3),K198,E198)</f>
        <v>-111661.14</v>
      </c>
      <c r="Q198" s="154" t="str">
        <f t="shared" si="14"/>
        <v>5-Ventes</v>
      </c>
      <c r="R198" s="153" t="str">
        <f t="shared" si="14"/>
        <v>4703</v>
      </c>
      <c r="S198" s="154">
        <f t="shared" si="14"/>
        <v>0</v>
      </c>
      <c r="T198" s="156">
        <f>+VLOOKUP($L198,Data_Validation!$A:$D,1,0)</f>
        <v>4703</v>
      </c>
      <c r="U198" s="156" t="str">
        <f>+VLOOKUP($L198,Data_Validation!$A:$D,3,0)</f>
        <v>Pièces</v>
      </c>
      <c r="V198" s="156" t="str">
        <f>+VLOOKUP($L198,Data_Validation!$A:$D,4,0)</f>
        <v>P/A Garantie</v>
      </c>
      <c r="W198" s="156" t="str">
        <f>+VLOOKUP($L198,Data_Validation!$A:$E,5,0)</f>
        <v>$</v>
      </c>
      <c r="X198" s="156" t="str">
        <f>+VLOOKUP($L198,Data_Validation!$A:$F,6,0)</f>
        <v>Oui</v>
      </c>
    </row>
    <row r="199" spans="1:24" ht="15.75" hidden="1" customHeight="1">
      <c r="A199" s="1002" t="s">
        <v>2535</v>
      </c>
      <c r="B199" s="1145" t="s">
        <v>2536</v>
      </c>
      <c r="C199" s="1023"/>
      <c r="D199" s="1023"/>
      <c r="E199" s="1023"/>
      <c r="F199" s="1002" t="s">
        <v>4</v>
      </c>
      <c r="G199" s="1002" t="s">
        <v>2041</v>
      </c>
      <c r="H199" s="1003"/>
      <c r="I199" s="1004">
        <v>0</v>
      </c>
      <c r="J199" s="1004">
        <v>-191</v>
      </c>
      <c r="K199" s="1004">
        <v>-191</v>
      </c>
      <c r="L199" s="153" t="str">
        <f t="shared" si="0"/>
        <v>4703@</v>
      </c>
      <c r="M199" s="154" t="str">
        <f t="shared" si="1"/>
        <v>PIECES-BON REPARATION-GAR. MAN</v>
      </c>
      <c r="N199" s="155">
        <f>+IF(OR($Q199=Parametres!$G$2,$Q199=Parametres!$G$3),I199,C199)</f>
        <v>0</v>
      </c>
      <c r="O199" s="155">
        <f>+IF(OR($Q199=Parametres!$G$2,$Q199=Parametres!$G$3),J199,D199)</f>
        <v>-191</v>
      </c>
      <c r="P199" s="155">
        <f>+IF(OR($Q199=Parametres!$G$2,$Q199=Parametres!$G$3),K199,E199)</f>
        <v>-191</v>
      </c>
      <c r="Q199" s="154" t="str">
        <f t="shared" si="14"/>
        <v>10-Compte compteur</v>
      </c>
      <c r="R199" s="153" t="str">
        <f t="shared" si="14"/>
        <v>4703</v>
      </c>
      <c r="S199" s="154">
        <f t="shared" si="14"/>
        <v>0</v>
      </c>
      <c r="T199" s="156" t="str">
        <f>+VLOOKUP($L199,Data_Validation!$A:$D,1,0)</f>
        <v>4703@</v>
      </c>
      <c r="U199" s="156" t="str">
        <f>+VLOOKUP($L199,Data_Validation!$A:$D,3,0)</f>
        <v>Pièces</v>
      </c>
      <c r="V199" s="156" t="str">
        <f>+VLOOKUP($L199,Data_Validation!$A:$D,4,0)</f>
        <v>P/A Garantie</v>
      </c>
      <c r="W199" s="156" t="str">
        <f>+VLOOKUP($L199,Data_Validation!$A:$E,5,0)</f>
        <v>NB</v>
      </c>
      <c r="X199" s="156">
        <f>+VLOOKUP($L199,Data_Validation!$A:$F,6,0)</f>
        <v>0</v>
      </c>
    </row>
    <row r="200" spans="1:24" ht="15" hidden="1" customHeight="1">
      <c r="A200" s="1002" t="s">
        <v>2044</v>
      </c>
      <c r="B200" s="1145">
        <v>4705</v>
      </c>
      <c r="C200" s="1004">
        <v>0</v>
      </c>
      <c r="D200" s="1004">
        <v>-20282.22</v>
      </c>
      <c r="E200" s="1004">
        <v>-20282.22</v>
      </c>
      <c r="F200" s="1002" t="s">
        <v>285</v>
      </c>
      <c r="G200" s="1002" t="s">
        <v>2045</v>
      </c>
      <c r="H200" s="1003"/>
      <c r="I200" s="1003"/>
      <c r="J200" s="1003"/>
      <c r="K200" s="1003"/>
      <c r="L200" s="153">
        <f t="shared" si="0"/>
        <v>4705</v>
      </c>
      <c r="M200" s="154" t="str">
        <f t="shared" si="1"/>
        <v>VTE - PIECE/ACC B.R. INTERNE VW</v>
      </c>
      <c r="N200" s="155">
        <f>+IF(OR($Q200=Parametres!$G$2,$Q200=Parametres!$G$3),I200,C200)</f>
        <v>0</v>
      </c>
      <c r="O200" s="155">
        <f>+IF(OR($Q200=Parametres!$G$2,$Q200=Parametres!$G$3),J200,D200)</f>
        <v>-20282.22</v>
      </c>
      <c r="P200" s="155">
        <f>+IF(OR($Q200=Parametres!$G$2,$Q200=Parametres!$G$3),K200,E200)</f>
        <v>-20282.22</v>
      </c>
      <c r="Q200" s="154" t="str">
        <f t="shared" si="14"/>
        <v>5-Ventes</v>
      </c>
      <c r="R200" s="153" t="str">
        <f t="shared" si="14"/>
        <v>4705</v>
      </c>
      <c r="S200" s="154">
        <f t="shared" si="14"/>
        <v>0</v>
      </c>
      <c r="T200" s="156">
        <f>+VLOOKUP($L200,Data_Validation!$A:$D,1,0)</f>
        <v>4705</v>
      </c>
      <c r="U200" s="156" t="str">
        <f>+VLOOKUP($L200,Data_Validation!$A:$D,3,0)</f>
        <v>Pièces</v>
      </c>
      <c r="V200" s="156" t="str">
        <f>+VLOOKUP($L200,Data_Validation!$A:$D,4,0)</f>
        <v>Ventes Internes</v>
      </c>
      <c r="W200" s="156" t="str">
        <f>+VLOOKUP($L200,Data_Validation!$A:$E,5,0)</f>
        <v>$</v>
      </c>
      <c r="X200" s="156" t="str">
        <f>+VLOOKUP($L200,Data_Validation!$A:$F,6,0)</f>
        <v>Oui</v>
      </c>
    </row>
    <row r="201" spans="1:24" ht="15" hidden="1" customHeight="1">
      <c r="A201" s="1002" t="s">
        <v>2537</v>
      </c>
      <c r="B201" s="1145" t="s">
        <v>2538</v>
      </c>
      <c r="C201" s="1023"/>
      <c r="D201" s="1023"/>
      <c r="E201" s="1023"/>
      <c r="F201" s="1002" t="s">
        <v>4</v>
      </c>
      <c r="G201" s="1002" t="s">
        <v>2045</v>
      </c>
      <c r="H201" s="1003"/>
      <c r="I201" s="1004">
        <v>0</v>
      </c>
      <c r="J201" s="1004">
        <v>-138</v>
      </c>
      <c r="K201" s="1004">
        <v>-138</v>
      </c>
      <c r="L201" s="153" t="str">
        <f t="shared" si="0"/>
        <v>4705@</v>
      </c>
      <c r="M201" s="154" t="str">
        <f t="shared" si="1"/>
        <v>PIECES-BON REPARATION - INTERN</v>
      </c>
      <c r="N201" s="155">
        <f>+IF(OR($Q201=Parametres!$G$2,$Q201=Parametres!$G$3),I201,C201)</f>
        <v>0</v>
      </c>
      <c r="O201" s="155">
        <f>+IF(OR($Q201=Parametres!$G$2,$Q201=Parametres!$G$3),J201,D201)</f>
        <v>-138</v>
      </c>
      <c r="P201" s="155">
        <f>+IF(OR($Q201=Parametres!$G$2,$Q201=Parametres!$G$3),K201,E201)</f>
        <v>-138</v>
      </c>
      <c r="Q201" s="154" t="str">
        <f t="shared" si="14"/>
        <v>10-Compte compteur</v>
      </c>
      <c r="R201" s="153" t="str">
        <f t="shared" si="14"/>
        <v>4705</v>
      </c>
      <c r="S201" s="154">
        <f t="shared" si="14"/>
        <v>0</v>
      </c>
      <c r="T201" s="156" t="str">
        <f>+VLOOKUP($L201,Data_Validation!$A:$D,1,0)</f>
        <v>4705@</v>
      </c>
      <c r="U201" s="156" t="str">
        <f>+VLOOKUP($L201,Data_Validation!$A:$D,3,0)</f>
        <v>Pièces</v>
      </c>
      <c r="V201" s="156" t="str">
        <f>+VLOOKUP($L201,Data_Validation!$A:$D,4,0)</f>
        <v>Ventes Internes</v>
      </c>
      <c r="W201" s="156" t="str">
        <f>+VLOOKUP($L201,Data_Validation!$A:$E,5,0)</f>
        <v>NB</v>
      </c>
      <c r="X201" s="156">
        <f>+VLOOKUP($L201,Data_Validation!$A:$F,6,0)</f>
        <v>0</v>
      </c>
    </row>
    <row r="202" spans="1:24" ht="15" hidden="1" customHeight="1">
      <c r="A202" s="1002" t="s">
        <v>2147</v>
      </c>
      <c r="B202" s="1145">
        <v>4706</v>
      </c>
      <c r="C202" s="1004">
        <v>0</v>
      </c>
      <c r="D202" s="1004">
        <v>-551.51</v>
      </c>
      <c r="E202" s="1004">
        <v>-551.51</v>
      </c>
      <c r="F202" s="1002" t="s">
        <v>285</v>
      </c>
      <c r="G202" s="1002" t="s">
        <v>2166</v>
      </c>
      <c r="H202" s="1003"/>
      <c r="I202" s="1003"/>
      <c r="J202" s="1003"/>
      <c r="K202" s="1003"/>
      <c r="L202" s="153">
        <f t="shared" si="0"/>
        <v>4706</v>
      </c>
      <c r="M202" s="154" t="str">
        <f t="shared" si="1"/>
        <v>VTE - SHOP SUPPLY VW</v>
      </c>
      <c r="N202" s="155">
        <f>+IF(OR($Q202=Parametres!$G$2,$Q202=Parametres!$G$3),I202,C202)</f>
        <v>0</v>
      </c>
      <c r="O202" s="155">
        <f>+IF(OR($Q202=Parametres!$G$2,$Q202=Parametres!$G$3),J202,D202)</f>
        <v>-551.51</v>
      </c>
      <c r="P202" s="155">
        <f>+IF(OR($Q202=Parametres!$G$2,$Q202=Parametres!$G$3),K202,E202)</f>
        <v>-551.51</v>
      </c>
      <c r="Q202" s="154" t="str">
        <f t="shared" si="14"/>
        <v>5-Ventes</v>
      </c>
      <c r="R202" s="153" t="str">
        <f t="shared" si="14"/>
        <v>4706</v>
      </c>
      <c r="S202" s="154">
        <f t="shared" si="14"/>
        <v>0</v>
      </c>
      <c r="T202" s="156">
        <f>+VLOOKUP($L202,Data_Validation!$A:$D,1,0)</f>
        <v>4706</v>
      </c>
      <c r="U202" s="156" t="str">
        <f>+VLOOKUP($L202,Data_Validation!$A:$D,3,0)</f>
        <v>Service</v>
      </c>
      <c r="V202" s="156" t="str">
        <f>+VLOOKUP($L202,Data_Validation!$A:$D,4,0)</f>
        <v>M/O Interne</v>
      </c>
      <c r="W202" s="156" t="str">
        <f>+VLOOKUP($L202,Data_Validation!$A:$E,5,0)</f>
        <v>$</v>
      </c>
      <c r="X202" s="156" t="str">
        <f>+VLOOKUP($L202,Data_Validation!$A:$F,6,0)</f>
        <v>Oui</v>
      </c>
    </row>
    <row r="203" spans="1:24" ht="15" hidden="1" customHeight="1">
      <c r="A203" s="1002" t="s">
        <v>2111</v>
      </c>
      <c r="B203" s="1145">
        <v>4711</v>
      </c>
      <c r="C203" s="1023">
        <v>0</v>
      </c>
      <c r="D203" s="1023">
        <v>-3324.88</v>
      </c>
      <c r="E203" s="1023">
        <v>-3324.88</v>
      </c>
      <c r="F203" s="1002" t="s">
        <v>285</v>
      </c>
      <c r="G203" s="1002" t="s">
        <v>335</v>
      </c>
      <c r="H203" s="1003"/>
      <c r="I203" s="1004"/>
      <c r="J203" s="1004"/>
      <c r="K203" s="1004"/>
      <c r="L203" s="153">
        <f t="shared" si="0"/>
        <v>4711</v>
      </c>
      <c r="M203" s="154" t="str">
        <f t="shared" si="1"/>
        <v>VTE - AUTRE PIECE/ACC/CARR B.R. CLIENT</v>
      </c>
      <c r="N203" s="155">
        <f>+IF(OR($Q203=Parametres!$G$2,$Q203=Parametres!$G$3),I203,C203)</f>
        <v>0</v>
      </c>
      <c r="O203" s="155">
        <f>+IF(OR($Q203=Parametres!$G$2,$Q203=Parametres!$G$3),J203,D203)</f>
        <v>-3324.88</v>
      </c>
      <c r="P203" s="155">
        <f>+IF(OR($Q203=Parametres!$G$2,$Q203=Parametres!$G$3),K203,E203)</f>
        <v>-3324.88</v>
      </c>
      <c r="Q203" s="154" t="str">
        <f t="shared" si="14"/>
        <v>5-Ventes</v>
      </c>
      <c r="R203" s="153" t="str">
        <f t="shared" si="14"/>
        <v>84711</v>
      </c>
      <c r="S203" s="154">
        <f t="shared" si="14"/>
        <v>0</v>
      </c>
      <c r="T203" s="156">
        <f>+VLOOKUP($L203,Data_Validation!$A:$D,1,0)</f>
        <v>4711</v>
      </c>
      <c r="U203" s="156" t="str">
        <f>+VLOOKUP($L203,Data_Validation!$A:$D,3,0)</f>
        <v>Pièces</v>
      </c>
      <c r="V203" s="156" t="str">
        <f>+VLOOKUP($L203,Data_Validation!$A:$D,4,0)</f>
        <v>Pièces Ro Clients</v>
      </c>
      <c r="W203" s="156" t="str">
        <f>+VLOOKUP($L203,Data_Validation!$A:$E,5,0)</f>
        <v>$</v>
      </c>
      <c r="X203" s="156" t="str">
        <f>+VLOOKUP($L203,Data_Validation!$A:$F,6,0)</f>
        <v>Oui</v>
      </c>
    </row>
    <row r="204" spans="1:24" ht="15" hidden="1" customHeight="1">
      <c r="A204" s="1002" t="s">
        <v>2539</v>
      </c>
      <c r="B204" s="1145" t="s">
        <v>2540</v>
      </c>
      <c r="C204" s="1004"/>
      <c r="D204" s="1004"/>
      <c r="E204" s="1004"/>
      <c r="F204" s="1002" t="s">
        <v>4</v>
      </c>
      <c r="G204" s="1002" t="s">
        <v>335</v>
      </c>
      <c r="H204" s="1003"/>
      <c r="I204" s="1003">
        <v>0</v>
      </c>
      <c r="J204" s="1003">
        <v>-45</v>
      </c>
      <c r="K204" s="1003">
        <v>-45</v>
      </c>
      <c r="L204" s="153" t="str">
        <f t="shared" si="0"/>
        <v>4711@</v>
      </c>
      <c r="M204" s="154" t="str">
        <f t="shared" si="1"/>
        <v># DE VTE - P&amp;A B.T. CLIENT AUDI</v>
      </c>
      <c r="N204" s="155">
        <f>+IF(OR($Q204=Parametres!$G$2,$Q204=Parametres!$G$3),I204,C204)</f>
        <v>0</v>
      </c>
      <c r="O204" s="155">
        <f>+IF(OR($Q204=Parametres!$G$2,$Q204=Parametres!$G$3),J204,D204)</f>
        <v>-45</v>
      </c>
      <c r="P204" s="155">
        <f>+IF(OR($Q204=Parametres!$G$2,$Q204=Parametres!$G$3),K204,E204)</f>
        <v>-45</v>
      </c>
      <c r="Q204" s="154" t="str">
        <f t="shared" si="14"/>
        <v>10-Compte compteur</v>
      </c>
      <c r="R204" s="153" t="str">
        <f t="shared" si="14"/>
        <v>84711</v>
      </c>
      <c r="S204" s="154">
        <f t="shared" si="14"/>
        <v>0</v>
      </c>
      <c r="T204" s="156" t="str">
        <f>+VLOOKUP($L204,Data_Validation!$A:$D,1,0)</f>
        <v>4711@</v>
      </c>
      <c r="U204" s="156" t="str">
        <f>+VLOOKUP($L204,Data_Validation!$A:$D,3,0)</f>
        <v>Pièces</v>
      </c>
      <c r="V204" s="156" t="str">
        <f>+VLOOKUP($L204,Data_Validation!$A:$D,4,0)</f>
        <v>Pièces Ro Clients</v>
      </c>
      <c r="W204" s="156" t="str">
        <f>+VLOOKUP($L204,Data_Validation!$A:$E,5,0)</f>
        <v>NB</v>
      </c>
      <c r="X204" s="156">
        <f>+VLOOKUP($L204,Data_Validation!$A:$F,6,0)</f>
        <v>0</v>
      </c>
    </row>
    <row r="205" spans="1:24" ht="15" hidden="1" customHeight="1">
      <c r="A205" s="1002" t="s">
        <v>2104</v>
      </c>
      <c r="B205" s="1145">
        <v>4731</v>
      </c>
      <c r="C205" s="1023">
        <v>0</v>
      </c>
      <c r="D205" s="1023">
        <v>-5959.54</v>
      </c>
      <c r="E205" s="1023">
        <v>-5959.54</v>
      </c>
      <c r="F205" s="1002" t="s">
        <v>285</v>
      </c>
      <c r="G205" s="1002" t="s">
        <v>2105</v>
      </c>
      <c r="H205" s="1003"/>
      <c r="I205" s="1004"/>
      <c r="J205" s="1004"/>
      <c r="K205" s="1004"/>
      <c r="L205" s="153">
        <f t="shared" si="0"/>
        <v>4731</v>
      </c>
      <c r="M205" s="154" t="str">
        <f t="shared" si="1"/>
        <v>VTE - PIECES-BON REPAR.-PEINT/DEBOS</v>
      </c>
      <c r="N205" s="155">
        <f>+IF(OR($Q205=Parametres!$G$2,$Q205=Parametres!$G$3),I205,C205)</f>
        <v>0</v>
      </c>
      <c r="O205" s="155">
        <f>+IF(OR($Q205=Parametres!$G$2,$Q205=Parametres!$G$3),J205,D205)</f>
        <v>-5959.54</v>
      </c>
      <c r="P205" s="155">
        <f>+IF(OR($Q205=Parametres!$G$2,$Q205=Parametres!$G$3),K205,E205)</f>
        <v>-5959.54</v>
      </c>
      <c r="Q205" s="154" t="str">
        <f t="shared" si="14"/>
        <v>5-Ventes</v>
      </c>
      <c r="R205" s="153" t="str">
        <f t="shared" si="14"/>
        <v>4731</v>
      </c>
      <c r="S205" s="154">
        <f t="shared" si="14"/>
        <v>0</v>
      </c>
      <c r="T205" s="156">
        <f>+VLOOKUP($L205,Data_Validation!$A:$D,1,0)</f>
        <v>4731</v>
      </c>
      <c r="U205" s="156" t="str">
        <f>+VLOOKUP($L205,Data_Validation!$A:$D,3,0)</f>
        <v>Pièces</v>
      </c>
      <c r="V205" s="156" t="str">
        <f>+VLOOKUP($L205,Data_Validation!$A:$D,4,0)</f>
        <v>Pièces Ro Carrosserie</v>
      </c>
      <c r="W205" s="156" t="str">
        <f>+VLOOKUP($L205,Data_Validation!$A:$E,5,0)</f>
        <v>$</v>
      </c>
      <c r="X205" s="156" t="str">
        <f>+VLOOKUP($L205,Data_Validation!$A:$F,6,0)</f>
        <v>Oui</v>
      </c>
    </row>
    <row r="206" spans="1:24" ht="15.75" hidden="1" customHeight="1">
      <c r="A206" s="1002" t="s">
        <v>2543</v>
      </c>
      <c r="B206" s="1145" t="s">
        <v>2544</v>
      </c>
      <c r="C206" s="1004"/>
      <c r="D206" s="1004"/>
      <c r="E206" s="1004"/>
      <c r="F206" s="1002" t="s">
        <v>4</v>
      </c>
      <c r="G206" s="1002" t="s">
        <v>2105</v>
      </c>
      <c r="H206" s="1003"/>
      <c r="I206" s="1003">
        <v>0</v>
      </c>
      <c r="J206" s="1003">
        <v>-8</v>
      </c>
      <c r="K206" s="1003">
        <v>-8</v>
      </c>
      <c r="L206" s="153" t="str">
        <f t="shared" si="0"/>
        <v>4731@</v>
      </c>
      <c r="M206" s="154" t="str">
        <f t="shared" si="1"/>
        <v>PIECES-BON REPAR. PEINT/DEBOS</v>
      </c>
      <c r="N206" s="155">
        <f>+IF(OR($Q206=Parametres!$G$2,$Q206=Parametres!$G$3),I206,C206)</f>
        <v>0</v>
      </c>
      <c r="O206" s="155">
        <f>+IF(OR($Q206=Parametres!$G$2,$Q206=Parametres!$G$3),J206,D206)</f>
        <v>-8</v>
      </c>
      <c r="P206" s="155">
        <f>+IF(OR($Q206=Parametres!$G$2,$Q206=Parametres!$G$3),K206,E206)</f>
        <v>-8</v>
      </c>
      <c r="Q206" s="154" t="str">
        <f t="shared" si="14"/>
        <v>10-Compte compteur</v>
      </c>
      <c r="R206" s="153" t="str">
        <f t="shared" si="14"/>
        <v>4731</v>
      </c>
      <c r="S206" s="154">
        <f t="shared" si="14"/>
        <v>0</v>
      </c>
      <c r="T206" s="156" t="str">
        <f>+VLOOKUP($L206,Data_Validation!$A:$D,1,0)</f>
        <v>4731@</v>
      </c>
      <c r="U206" s="156" t="str">
        <f>+VLOOKUP($L206,Data_Validation!$A:$D,3,0)</f>
        <v>Pièces</v>
      </c>
      <c r="V206" s="156" t="str">
        <f>+VLOOKUP($L206,Data_Validation!$A:$D,4,0)</f>
        <v>Pièces Ro Carrosserie</v>
      </c>
      <c r="W206" s="156" t="str">
        <f>+VLOOKUP($L206,Data_Validation!$A:$E,5,0)</f>
        <v>NB</v>
      </c>
      <c r="X206" s="156">
        <f>+VLOOKUP($L206,Data_Validation!$A:$F,6,0)</f>
        <v>0</v>
      </c>
    </row>
    <row r="207" spans="1:24" ht="15" hidden="1" customHeight="1">
      <c r="A207" s="1002" t="s">
        <v>2087</v>
      </c>
      <c r="B207" s="1145">
        <v>4733</v>
      </c>
      <c r="C207" s="1023">
        <v>0</v>
      </c>
      <c r="D207" s="1023">
        <v>-51934.76</v>
      </c>
      <c r="E207" s="1023">
        <v>-51934.76</v>
      </c>
      <c r="F207" s="1002" t="s">
        <v>285</v>
      </c>
      <c r="G207" s="1002" t="s">
        <v>2088</v>
      </c>
      <c r="H207" s="1003"/>
      <c r="I207" s="1004"/>
      <c r="J207" s="1004"/>
      <c r="K207" s="1004"/>
      <c r="L207" s="153">
        <f t="shared" si="0"/>
        <v>4733</v>
      </c>
      <c r="M207" s="154" t="str">
        <f t="shared" si="1"/>
        <v>VTE - P&amp;A B.T. GARANTIE CAR.</v>
      </c>
      <c r="N207" s="155">
        <f>+IF(OR($Q207=Parametres!$G$2,$Q207=Parametres!$G$3),I207,C207)</f>
        <v>0</v>
      </c>
      <c r="O207" s="155">
        <f>+IF(OR($Q207=Parametres!$G$2,$Q207=Parametres!$G$3),J207,D207)</f>
        <v>-51934.76</v>
      </c>
      <c r="P207" s="155">
        <f>+IF(OR($Q207=Parametres!$G$2,$Q207=Parametres!$G$3),K207,E207)</f>
        <v>-51934.76</v>
      </c>
      <c r="Q207" s="154" t="str">
        <f t="shared" si="14"/>
        <v>5-Ventes</v>
      </c>
      <c r="R207" s="153" t="str">
        <f t="shared" si="14"/>
        <v>4733</v>
      </c>
      <c r="S207" s="154">
        <f t="shared" si="14"/>
        <v>0</v>
      </c>
      <c r="T207" s="156">
        <f>+VLOOKUP($L207,Data_Validation!$A:$D,1,0)</f>
        <v>4733</v>
      </c>
      <c r="U207" s="156" t="str">
        <f>+VLOOKUP($L207,Data_Validation!$A:$D,3,0)</f>
        <v>Pièces</v>
      </c>
      <c r="V207" s="156" t="str">
        <f>+VLOOKUP($L207,Data_Validation!$A:$D,4,0)</f>
        <v>Pièces Ro Carrosserie</v>
      </c>
      <c r="W207" s="156" t="str">
        <f>+VLOOKUP($L207,Data_Validation!$A:$E,5,0)</f>
        <v>$</v>
      </c>
      <c r="X207" s="156" t="str">
        <f>+VLOOKUP($L207,Data_Validation!$A:$F,6,0)</f>
        <v>Oui</v>
      </c>
    </row>
    <row r="208" spans="1:24" ht="15" hidden="1" customHeight="1">
      <c r="A208" s="1002" t="s">
        <v>2545</v>
      </c>
      <c r="B208" s="1145" t="s">
        <v>2546</v>
      </c>
      <c r="C208" s="1004"/>
      <c r="D208" s="1004"/>
      <c r="E208" s="1004"/>
      <c r="F208" s="1002" t="s">
        <v>4</v>
      </c>
      <c r="G208" s="1002" t="s">
        <v>2088</v>
      </c>
      <c r="H208" s="1003"/>
      <c r="I208" s="1003">
        <v>0</v>
      </c>
      <c r="J208" s="1003">
        <v>-30</v>
      </c>
      <c r="K208" s="1023">
        <v>-30</v>
      </c>
      <c r="L208" s="153" t="str">
        <f t="shared" si="0"/>
        <v>4733@</v>
      </c>
      <c r="M208" s="154" t="str">
        <f t="shared" si="1"/>
        <v># DE VTE - P&amp;A B.T. GARANTIE CARR.</v>
      </c>
      <c r="N208" s="155">
        <f>+IF(OR($Q208=Parametres!$G$2,$Q208=Parametres!$G$3),I208,C208)</f>
        <v>0</v>
      </c>
      <c r="O208" s="155">
        <f>+IF(OR($Q208=Parametres!$G$2,$Q208=Parametres!$G$3),J208,D208)</f>
        <v>-30</v>
      </c>
      <c r="P208" s="155">
        <f>+IF(OR($Q208=Parametres!$G$2,$Q208=Parametres!$G$3),K208,E208)</f>
        <v>-30</v>
      </c>
      <c r="Q208" s="154" t="str">
        <f t="shared" si="14"/>
        <v>10-Compte compteur</v>
      </c>
      <c r="R208" s="153" t="str">
        <f t="shared" si="14"/>
        <v>4733</v>
      </c>
      <c r="S208" s="154">
        <f t="shared" si="14"/>
        <v>0</v>
      </c>
      <c r="T208" s="156" t="str">
        <f>+VLOOKUP($L208,Data_Validation!$A:$D,1,0)</f>
        <v>4733@</v>
      </c>
      <c r="U208" s="156" t="str">
        <f>+VLOOKUP($L208,Data_Validation!$A:$D,3,0)</f>
        <v>Pièces</v>
      </c>
      <c r="V208" s="156" t="str">
        <f>+VLOOKUP($L208,Data_Validation!$A:$D,4,0)</f>
        <v>Pièces Ro Carrosserie</v>
      </c>
      <c r="W208" s="156" t="str">
        <f>+VLOOKUP($L208,Data_Validation!$A:$E,5,0)</f>
        <v>NB</v>
      </c>
      <c r="X208" s="156">
        <f>+VLOOKUP($L208,Data_Validation!$A:$F,6,0)</f>
        <v>0</v>
      </c>
    </row>
    <row r="209" spans="1:24" ht="15" hidden="1" customHeight="1">
      <c r="A209" s="1002" t="s">
        <v>2162</v>
      </c>
      <c r="B209" s="1145">
        <v>4735</v>
      </c>
      <c r="C209" s="1023">
        <v>0</v>
      </c>
      <c r="D209" s="1023">
        <v>-31.5</v>
      </c>
      <c r="E209" s="1023">
        <v>-31.5</v>
      </c>
      <c r="F209" s="1002" t="s">
        <v>285</v>
      </c>
      <c r="G209" s="1002" t="s">
        <v>2163</v>
      </c>
      <c r="H209" s="1003"/>
      <c r="I209" s="1004"/>
      <c r="J209" s="1004"/>
      <c r="K209" s="1004"/>
      <c r="L209" s="153">
        <f t="shared" si="0"/>
        <v>4735</v>
      </c>
      <c r="M209" s="154" t="str">
        <f t="shared" si="1"/>
        <v>VTE - P&amp;A B.T. INTERNE CARROS.</v>
      </c>
      <c r="N209" s="155">
        <f>+IF(OR($Q209=Parametres!$G$2,$Q209=Parametres!$G$3),I209,C209)</f>
        <v>0</v>
      </c>
      <c r="O209" s="155">
        <f>+IF(OR($Q209=Parametres!$G$2,$Q209=Parametres!$G$3),J209,D209)</f>
        <v>-31.5</v>
      </c>
      <c r="P209" s="155">
        <f>+IF(OR($Q209=Parametres!$G$2,$Q209=Parametres!$G$3),K209,E209)</f>
        <v>-31.5</v>
      </c>
      <c r="Q209" s="154" t="str">
        <f t="shared" si="14"/>
        <v>5-Ventes</v>
      </c>
      <c r="R209" s="153" t="str">
        <f t="shared" si="14"/>
        <v>4735</v>
      </c>
      <c r="S209" s="154">
        <f t="shared" si="14"/>
        <v>0</v>
      </c>
      <c r="T209" s="156">
        <f>+VLOOKUP($L209,Data_Validation!$A:$D,1,0)</f>
        <v>4735</v>
      </c>
      <c r="U209" s="156" t="str">
        <f>+VLOOKUP($L209,Data_Validation!$A:$D,3,0)</f>
        <v>Pièces</v>
      </c>
      <c r="V209" s="156" t="str">
        <f>+VLOOKUP($L209,Data_Validation!$A:$D,4,0)</f>
        <v>Pièces Ro Carrosserie</v>
      </c>
      <c r="W209" s="156" t="str">
        <f>+VLOOKUP($L209,Data_Validation!$A:$E,5,0)</f>
        <v>$</v>
      </c>
      <c r="X209" s="156" t="str">
        <f>+VLOOKUP($L209,Data_Validation!$A:$F,6,0)</f>
        <v>Oui</v>
      </c>
    </row>
    <row r="210" spans="1:24" ht="15" hidden="1" customHeight="1">
      <c r="A210" s="1002" t="s">
        <v>2547</v>
      </c>
      <c r="B210" s="1145" t="s">
        <v>2548</v>
      </c>
      <c r="C210" s="1004"/>
      <c r="D210" s="1004"/>
      <c r="E210" s="1004"/>
      <c r="F210" s="1002" t="s">
        <v>4</v>
      </c>
      <c r="G210" s="1002" t="s">
        <v>2163</v>
      </c>
      <c r="H210" s="1003"/>
      <c r="I210" s="1003">
        <v>0</v>
      </c>
      <c r="J210" s="1003">
        <v>-1</v>
      </c>
      <c r="K210" s="1003">
        <v>-1</v>
      </c>
      <c r="L210" s="153" t="str">
        <f t="shared" si="0"/>
        <v>4735@</v>
      </c>
      <c r="M210" s="154" t="str">
        <f t="shared" si="1"/>
        <v># DE VTE - P&amp;A B.T. INTERNE CARROS.</v>
      </c>
      <c r="N210" s="155">
        <f>+IF(OR($Q210=Parametres!$G$2,$Q210=Parametres!$G$3),I210,C210)</f>
        <v>0</v>
      </c>
      <c r="O210" s="155">
        <f>+IF(OR($Q210=Parametres!$G$2,$Q210=Parametres!$G$3),J210,D210)</f>
        <v>-1</v>
      </c>
      <c r="P210" s="155">
        <f>+IF(OR($Q210=Parametres!$G$2,$Q210=Parametres!$G$3),K210,E210)</f>
        <v>-1</v>
      </c>
      <c r="Q210" s="154" t="str">
        <f t="shared" ref="Q210:S225" si="15">+F210</f>
        <v>10-Compte compteur</v>
      </c>
      <c r="R210" s="153" t="str">
        <f t="shared" si="15"/>
        <v>4735</v>
      </c>
      <c r="S210" s="154">
        <f t="shared" si="15"/>
        <v>0</v>
      </c>
      <c r="T210" s="156" t="str">
        <f>+VLOOKUP($L210,Data_Validation!$A:$D,1,0)</f>
        <v>4735@</v>
      </c>
      <c r="U210" s="156" t="str">
        <f>+VLOOKUP($L210,Data_Validation!$A:$D,3,0)</f>
        <v>Pièces</v>
      </c>
      <c r="V210" s="156" t="str">
        <f>+VLOOKUP($L210,Data_Validation!$A:$D,4,0)</f>
        <v>Pièces Ro Carrosserie</v>
      </c>
      <c r="W210" s="156" t="str">
        <f>+VLOOKUP($L210,Data_Validation!$A:$E,5,0)</f>
        <v>NB</v>
      </c>
      <c r="X210" s="156">
        <f>+VLOOKUP($L210,Data_Validation!$A:$F,6,0)</f>
        <v>0</v>
      </c>
    </row>
    <row r="211" spans="1:24" ht="15.75" hidden="1" customHeight="1">
      <c r="A211" s="1002" t="s">
        <v>2079</v>
      </c>
      <c r="B211" s="1145">
        <v>4761</v>
      </c>
      <c r="C211" s="1023">
        <v>0</v>
      </c>
      <c r="D211" s="1023">
        <v>-10343.09</v>
      </c>
      <c r="E211" s="1023">
        <v>-10343.09</v>
      </c>
      <c r="F211" s="1002" t="s">
        <v>285</v>
      </c>
      <c r="G211" s="1002" t="s">
        <v>2080</v>
      </c>
      <c r="H211" s="1003"/>
      <c r="I211" s="1004"/>
      <c r="J211" s="1004"/>
      <c r="K211" s="1004"/>
      <c r="L211" s="153">
        <f t="shared" si="0"/>
        <v>4761</v>
      </c>
      <c r="M211" s="154" t="str">
        <f t="shared" si="1"/>
        <v>VTE - P&amp;A VW COMPTOIR - DETAIL</v>
      </c>
      <c r="N211" s="155">
        <f>+IF(OR($Q211=Parametres!$G$2,$Q211=Parametres!$G$3),I211,C211)</f>
        <v>0</v>
      </c>
      <c r="O211" s="155">
        <f>+IF(OR($Q211=Parametres!$G$2,$Q211=Parametres!$G$3),J211,D211)</f>
        <v>-10343.09</v>
      </c>
      <c r="P211" s="155">
        <f>+IF(OR($Q211=Parametres!$G$2,$Q211=Parametres!$G$3),K211,E211)</f>
        <v>-10343.09</v>
      </c>
      <c r="Q211" s="154" t="str">
        <f t="shared" si="15"/>
        <v>5-Ventes</v>
      </c>
      <c r="R211" s="153" t="str">
        <f t="shared" si="15"/>
        <v>4761</v>
      </c>
      <c r="S211" s="154">
        <f t="shared" si="15"/>
        <v>0</v>
      </c>
      <c r="T211" s="156">
        <f>+VLOOKUP($L211,Data_Validation!$A:$D,1,0)</f>
        <v>4761</v>
      </c>
      <c r="U211" s="156" t="str">
        <f>+VLOOKUP($L211,Data_Validation!$A:$D,3,0)</f>
        <v>Pièces</v>
      </c>
      <c r="V211" s="156" t="str">
        <f>+VLOOKUP($L211,Data_Validation!$A:$D,4,0)</f>
        <v>Ventes Détails</v>
      </c>
      <c r="W211" s="156" t="str">
        <f>+VLOOKUP($L211,Data_Validation!$A:$E,5,0)</f>
        <v>$</v>
      </c>
      <c r="X211" s="156" t="str">
        <f>+VLOOKUP($L211,Data_Validation!$A:$F,6,0)</f>
        <v>Oui</v>
      </c>
    </row>
    <row r="212" spans="1:24" ht="15" hidden="1" customHeight="1">
      <c r="A212" s="1002" t="s">
        <v>2549</v>
      </c>
      <c r="B212" s="1145" t="s">
        <v>2550</v>
      </c>
      <c r="C212" s="1004"/>
      <c r="D212" s="1004"/>
      <c r="E212" s="1004"/>
      <c r="F212" s="1002" t="s">
        <v>4</v>
      </c>
      <c r="G212" s="1002" t="s">
        <v>2080</v>
      </c>
      <c r="H212" s="1003"/>
      <c r="I212" s="1003">
        <v>0</v>
      </c>
      <c r="J212" s="1003">
        <v>-151</v>
      </c>
      <c r="K212" s="1003">
        <v>-151</v>
      </c>
      <c r="L212" s="153" t="str">
        <f t="shared" si="0"/>
        <v>4761@</v>
      </c>
      <c r="M212" s="154" t="str">
        <f t="shared" si="1"/>
        <v>PIECES-COMPTOIR-DETAIL</v>
      </c>
      <c r="N212" s="155">
        <f>+IF(OR($Q212=Parametres!$G$2,$Q212=Parametres!$G$3),I212,C212)</f>
        <v>0</v>
      </c>
      <c r="O212" s="155">
        <f>+IF(OR($Q212=Parametres!$G$2,$Q212=Parametres!$G$3),J212,D212)</f>
        <v>-151</v>
      </c>
      <c r="P212" s="155">
        <f>+IF(OR($Q212=Parametres!$G$2,$Q212=Parametres!$G$3),K212,E212)</f>
        <v>-151</v>
      </c>
      <c r="Q212" s="154" t="str">
        <f t="shared" si="15"/>
        <v>10-Compte compteur</v>
      </c>
      <c r="R212" s="153" t="str">
        <f t="shared" si="15"/>
        <v>4761</v>
      </c>
      <c r="S212" s="154">
        <f t="shared" si="15"/>
        <v>0</v>
      </c>
      <c r="T212" s="156" t="str">
        <f>+VLOOKUP($L212,Data_Validation!$A:$D,1,0)</f>
        <v>4761@</v>
      </c>
      <c r="U212" s="156" t="str">
        <f>+VLOOKUP($L212,Data_Validation!$A:$D,3,0)</f>
        <v>Pièces</v>
      </c>
      <c r="V212" s="156" t="str">
        <f>+VLOOKUP($L212,Data_Validation!$A:$D,4,0)</f>
        <v>Ventes Détails</v>
      </c>
      <c r="W212" s="156" t="str">
        <f>+VLOOKUP($L212,Data_Validation!$A:$E,5,0)</f>
        <v>NB</v>
      </c>
      <c r="X212" s="156">
        <f>+VLOOKUP($L212,Data_Validation!$A:$F,6,0)</f>
        <v>0</v>
      </c>
    </row>
    <row r="213" spans="1:24" ht="15" hidden="1" customHeight="1">
      <c r="A213" s="1002" t="s">
        <v>2042</v>
      </c>
      <c r="B213" s="1145">
        <v>4763</v>
      </c>
      <c r="C213" s="1023">
        <v>0</v>
      </c>
      <c r="D213" s="1023">
        <v>-44671.41</v>
      </c>
      <c r="E213" s="1023">
        <v>-44671.41</v>
      </c>
      <c r="F213" s="1002" t="s">
        <v>285</v>
      </c>
      <c r="G213" s="1002" t="s">
        <v>2043</v>
      </c>
      <c r="H213" s="1003"/>
      <c r="I213" s="1004"/>
      <c r="J213" s="1004"/>
      <c r="K213" s="1004"/>
      <c r="L213" s="153">
        <f t="shared" si="0"/>
        <v>4763</v>
      </c>
      <c r="M213" s="154" t="str">
        <f t="shared" si="1"/>
        <v>VTE - P&amp;A VW COMPTOIR GROS - ECHANGE</v>
      </c>
      <c r="N213" s="155">
        <f>+IF(OR($Q213=Parametres!$G$2,$Q213=Parametres!$G$3),I213,C213)</f>
        <v>0</v>
      </c>
      <c r="O213" s="155">
        <f>+IF(OR($Q213=Parametres!$G$2,$Q213=Parametres!$G$3),J213,D213)</f>
        <v>-44671.41</v>
      </c>
      <c r="P213" s="155">
        <f>+IF(OR($Q213=Parametres!$G$2,$Q213=Parametres!$G$3),K213,E213)</f>
        <v>-44671.41</v>
      </c>
      <c r="Q213" s="154" t="str">
        <f t="shared" si="15"/>
        <v>5-Ventes</v>
      </c>
      <c r="R213" s="153" t="str">
        <f t="shared" si="15"/>
        <v>4763</v>
      </c>
      <c r="S213" s="154">
        <f t="shared" si="15"/>
        <v>0</v>
      </c>
      <c r="T213" s="156">
        <f>+VLOOKUP($L213,Data_Validation!$A:$D,1,0)</f>
        <v>4763</v>
      </c>
      <c r="U213" s="156" t="str">
        <f>+VLOOKUP($L213,Data_Validation!$A:$D,3,0)</f>
        <v>Pièces</v>
      </c>
      <c r="V213" s="156" t="str">
        <f>+VLOOKUP($L213,Data_Validation!$A:$D,4,0)</f>
        <v>Ventes de Gros</v>
      </c>
      <c r="W213" s="156" t="str">
        <f>+VLOOKUP($L213,Data_Validation!$A:$E,5,0)</f>
        <v>$</v>
      </c>
      <c r="X213" s="156" t="str">
        <f>+VLOOKUP($L213,Data_Validation!$A:$F,6,0)</f>
        <v>Oui</v>
      </c>
    </row>
    <row r="214" spans="1:24" ht="15" hidden="1" customHeight="1">
      <c r="A214" s="1002" t="s">
        <v>2551</v>
      </c>
      <c r="B214" s="1145" t="s">
        <v>2552</v>
      </c>
      <c r="C214" s="1004"/>
      <c r="D214" s="1004"/>
      <c r="E214" s="1004"/>
      <c r="F214" s="1002" t="s">
        <v>4</v>
      </c>
      <c r="G214" s="1002" t="s">
        <v>2043</v>
      </c>
      <c r="H214" s="1003"/>
      <c r="I214" s="1003">
        <v>0</v>
      </c>
      <c r="J214" s="1003">
        <v>-182</v>
      </c>
      <c r="K214" s="1003">
        <v>-182</v>
      </c>
      <c r="L214" s="153" t="str">
        <f t="shared" si="0"/>
        <v>4763@</v>
      </c>
      <c r="M214" s="154" t="str">
        <f t="shared" si="1"/>
        <v>PIECES-COMPTOIR-COMM. GROS</v>
      </c>
      <c r="N214" s="155">
        <f>+IF(OR($Q214=Parametres!$G$2,$Q214=Parametres!$G$3),I214,C214)</f>
        <v>0</v>
      </c>
      <c r="O214" s="155">
        <f>+IF(OR($Q214=Parametres!$G$2,$Q214=Parametres!$G$3),J214,D214)</f>
        <v>-182</v>
      </c>
      <c r="P214" s="155">
        <f>+IF(OR($Q214=Parametres!$G$2,$Q214=Parametres!$G$3),K214,E214)</f>
        <v>-182</v>
      </c>
      <c r="Q214" s="154" t="str">
        <f t="shared" si="15"/>
        <v>10-Compte compteur</v>
      </c>
      <c r="R214" s="153" t="str">
        <f t="shared" si="15"/>
        <v>4763</v>
      </c>
      <c r="S214" s="154">
        <f t="shared" si="15"/>
        <v>0</v>
      </c>
      <c r="T214" s="156" t="str">
        <f>+VLOOKUP($L214,Data_Validation!$A:$D,1,0)</f>
        <v>4763@</v>
      </c>
      <c r="U214" s="156" t="str">
        <f>+VLOOKUP($L214,Data_Validation!$A:$D,3,0)</f>
        <v>Pièces</v>
      </c>
      <c r="V214" s="156" t="str">
        <f>+VLOOKUP($L214,Data_Validation!$A:$D,4,0)</f>
        <v>Ventes de Gros</v>
      </c>
      <c r="W214" s="156" t="str">
        <f>+VLOOKUP($L214,Data_Validation!$A:$E,5,0)</f>
        <v>NB</v>
      </c>
      <c r="X214" s="156">
        <f>+VLOOKUP($L214,Data_Validation!$A:$F,6,0)</f>
        <v>0</v>
      </c>
    </row>
    <row r="215" spans="1:24" ht="15.75" hidden="1" customHeight="1">
      <c r="A215" s="1002" t="s">
        <v>2031</v>
      </c>
      <c r="B215" s="1145">
        <v>4781</v>
      </c>
      <c r="C215" s="1023">
        <v>0</v>
      </c>
      <c r="D215" s="1023">
        <v>-14638.67</v>
      </c>
      <c r="E215" s="1023">
        <v>-14638.67</v>
      </c>
      <c r="F215" s="1002" t="s">
        <v>285</v>
      </c>
      <c r="G215" s="1002" t="s">
        <v>2032</v>
      </c>
      <c r="H215" s="1003"/>
      <c r="I215" s="1004"/>
      <c r="J215" s="1004"/>
      <c r="K215" s="1004"/>
      <c r="L215" s="153">
        <f t="shared" si="0"/>
        <v>4781</v>
      </c>
      <c r="M215" s="154" t="str">
        <f t="shared" si="1"/>
        <v>VENTES PNEUS</v>
      </c>
      <c r="N215" s="155">
        <f>+IF(OR($Q215=Parametres!$G$2,$Q215=Parametres!$G$3),I215,C215)</f>
        <v>0</v>
      </c>
      <c r="O215" s="155">
        <f>+IF(OR($Q215=Parametres!$G$2,$Q215=Parametres!$G$3),J215,D215)</f>
        <v>-14638.67</v>
      </c>
      <c r="P215" s="155">
        <f>+IF(OR($Q215=Parametres!$G$2,$Q215=Parametres!$G$3),K215,E215)</f>
        <v>-14638.67</v>
      </c>
      <c r="Q215" s="154" t="str">
        <f t="shared" si="15"/>
        <v>5-Ventes</v>
      </c>
      <c r="R215" s="153" t="str">
        <f t="shared" si="15"/>
        <v>4781</v>
      </c>
      <c r="S215" s="154">
        <f t="shared" si="15"/>
        <v>0</v>
      </c>
      <c r="T215" s="156">
        <f>+VLOOKUP($L215,Data_Validation!$A:$D,1,0)</f>
        <v>4781</v>
      </c>
      <c r="U215" s="156" t="str">
        <f>+VLOOKUP($L215,Data_Validation!$A:$D,3,0)</f>
        <v>Pièces</v>
      </c>
      <c r="V215" s="156" t="str">
        <f>+VLOOKUP($L215,Data_Validation!$A:$D,4,0)</f>
        <v>Ventes Pneus</v>
      </c>
      <c r="W215" s="156" t="str">
        <f>+VLOOKUP($L215,Data_Validation!$A:$E,5,0)</f>
        <v>$</v>
      </c>
      <c r="X215" s="156" t="str">
        <f>+VLOOKUP($L215,Data_Validation!$A:$F,6,0)</f>
        <v>Oui</v>
      </c>
    </row>
    <row r="216" spans="1:24" ht="15" hidden="1" customHeight="1">
      <c r="A216" s="1002" t="s">
        <v>2031</v>
      </c>
      <c r="B216" s="1145" t="s">
        <v>2553</v>
      </c>
      <c r="C216" s="1004"/>
      <c r="D216" s="1004"/>
      <c r="E216" s="1004"/>
      <c r="F216" s="1002" t="s">
        <v>4</v>
      </c>
      <c r="G216" s="1002" t="s">
        <v>2032</v>
      </c>
      <c r="H216" s="1003"/>
      <c r="I216" s="1023">
        <v>0</v>
      </c>
      <c r="J216" s="1003">
        <v>-20</v>
      </c>
      <c r="K216" s="1023">
        <v>-20</v>
      </c>
      <c r="L216" s="153" t="str">
        <f t="shared" si="0"/>
        <v>4781@</v>
      </c>
      <c r="M216" s="154" t="str">
        <f t="shared" si="1"/>
        <v>VENTES PNEUS</v>
      </c>
      <c r="N216" s="155">
        <f>+IF(OR($Q216=Parametres!$G$2,$Q216=Parametres!$G$3),I216,C216)</f>
        <v>0</v>
      </c>
      <c r="O216" s="155">
        <f>+IF(OR($Q216=Parametres!$G$2,$Q216=Parametres!$G$3),J216,D216)</f>
        <v>-20</v>
      </c>
      <c r="P216" s="155">
        <f>+IF(OR($Q216=Parametres!$G$2,$Q216=Parametres!$G$3),K216,E216)</f>
        <v>-20</v>
      </c>
      <c r="Q216" s="154" t="str">
        <f t="shared" si="15"/>
        <v>10-Compte compteur</v>
      </c>
      <c r="R216" s="153" t="str">
        <f t="shared" si="15"/>
        <v>4781</v>
      </c>
      <c r="S216" s="154">
        <f t="shared" si="15"/>
        <v>0</v>
      </c>
      <c r="T216" s="156" t="str">
        <f>+VLOOKUP($L216,Data_Validation!$A:$D,1,0)</f>
        <v>4781@</v>
      </c>
      <c r="U216" s="156" t="str">
        <f>+VLOOKUP($L216,Data_Validation!$A:$D,3,0)</f>
        <v>Pièces</v>
      </c>
      <c r="V216" s="156" t="str">
        <f>+VLOOKUP($L216,Data_Validation!$A:$D,4,0)</f>
        <v>Ventes Pneus</v>
      </c>
      <c r="W216" s="156" t="str">
        <f>+VLOOKUP($L216,Data_Validation!$A:$E,5,0)</f>
        <v>NB</v>
      </c>
      <c r="X216" s="156">
        <f>+VLOOKUP($L216,Data_Validation!$A:$F,6,0)</f>
        <v>0</v>
      </c>
    </row>
    <row r="217" spans="1:24" ht="15" hidden="1" customHeight="1">
      <c r="A217" s="1002" t="s">
        <v>2835</v>
      </c>
      <c r="B217" s="1145">
        <v>5100</v>
      </c>
      <c r="C217" s="1023">
        <v>0</v>
      </c>
      <c r="D217" s="1023">
        <v>85163.14</v>
      </c>
      <c r="E217" s="1023">
        <v>85163.14</v>
      </c>
      <c r="F217" s="1002" t="s">
        <v>424</v>
      </c>
      <c r="G217" s="1002" t="s">
        <v>2023</v>
      </c>
      <c r="H217" s="1003"/>
      <c r="I217" s="1004"/>
      <c r="J217" s="1004"/>
      <c r="K217" s="1004"/>
      <c r="L217" s="153">
        <f t="shared" si="0"/>
        <v>5100</v>
      </c>
      <c r="M217" s="154" t="str">
        <f t="shared" si="1"/>
        <v>C/V - RACHAT DE BAIL</v>
      </c>
      <c r="N217" s="155">
        <f>+IF(OR($Q217=Parametres!$G$2,$Q217=Parametres!$G$3),I217,C217)</f>
        <v>0</v>
      </c>
      <c r="O217" s="155">
        <f>+IF(OR($Q217=Parametres!$G$2,$Q217=Parametres!$G$3),J217,D217)</f>
        <v>85163.14</v>
      </c>
      <c r="P217" s="155">
        <f>+IF(OR($Q217=Parametres!$G$2,$Q217=Parametres!$G$3),K217,E217)</f>
        <v>85163.14</v>
      </c>
      <c r="Q217" s="154" t="str">
        <f t="shared" si="15"/>
        <v>6-Coût des ventes</v>
      </c>
      <c r="R217" s="153" t="str">
        <f t="shared" si="15"/>
        <v>4100</v>
      </c>
      <c r="S217" s="154">
        <f t="shared" si="15"/>
        <v>0</v>
      </c>
      <c r="T217" s="156">
        <f>+VLOOKUP($L217,Data_Validation!$A:$D,1,0)</f>
        <v>5100</v>
      </c>
      <c r="U217" s="156" t="str">
        <f>+VLOOKUP($L217,Data_Validation!$A:$D,3,0)</f>
        <v>Véhicules neufs</v>
      </c>
      <c r="V217" s="156" t="str">
        <f>+VLOOKUP($L217,Data_Validation!$A:$D,4,0)</f>
        <v>Rachat bail</v>
      </c>
      <c r="W217" s="156" t="str">
        <f>+VLOOKUP($L217,Data_Validation!$A:$E,5,0)</f>
        <v>$</v>
      </c>
      <c r="X217" s="156">
        <f>+VLOOKUP($L217,Data_Validation!$A:$F,6,0)</f>
        <v>0</v>
      </c>
    </row>
    <row r="218" spans="1:24" ht="15" hidden="1" customHeight="1">
      <c r="A218" s="1002" t="s">
        <v>2837</v>
      </c>
      <c r="B218" s="1145">
        <v>5107</v>
      </c>
      <c r="C218" s="1004">
        <v>0</v>
      </c>
      <c r="D218" s="1004">
        <v>23330.06</v>
      </c>
      <c r="E218" s="1004">
        <v>23330.06</v>
      </c>
      <c r="F218" s="1002" t="s">
        <v>424</v>
      </c>
      <c r="G218" s="1002" t="s">
        <v>2016</v>
      </c>
      <c r="H218" s="1003"/>
      <c r="I218" s="1023"/>
      <c r="J218" s="1003"/>
      <c r="K218" s="1023"/>
      <c r="L218" s="153">
        <f t="shared" si="0"/>
        <v>5107</v>
      </c>
      <c r="M218" s="154" t="str">
        <f t="shared" si="1"/>
        <v>C/V - GOLF</v>
      </c>
      <c r="N218" s="155">
        <f>+IF(OR($Q218=Parametres!$G$2,$Q218=Parametres!$G$3),I218,C218)</f>
        <v>0</v>
      </c>
      <c r="O218" s="155">
        <f>+IF(OR($Q218=Parametres!$G$2,$Q218=Parametres!$G$3),J218,D218)</f>
        <v>23330.06</v>
      </c>
      <c r="P218" s="155">
        <f>+IF(OR($Q218=Parametres!$G$2,$Q218=Parametres!$G$3),K218,E218)</f>
        <v>23330.06</v>
      </c>
      <c r="Q218" s="154" t="str">
        <f t="shared" si="15"/>
        <v>6-Coût des ventes</v>
      </c>
      <c r="R218" s="153" t="str">
        <f t="shared" si="15"/>
        <v>4107</v>
      </c>
      <c r="S218" s="154">
        <f t="shared" si="15"/>
        <v>0</v>
      </c>
      <c r="T218" s="156">
        <f>+VLOOKUP($L218,Data_Validation!$A:$D,1,0)</f>
        <v>5107</v>
      </c>
      <c r="U218" s="156" t="str">
        <f>+VLOOKUP($L218,Data_Validation!$A:$D,3,0)</f>
        <v>Véhicules neufs</v>
      </c>
      <c r="V218" s="156" t="str">
        <f>+VLOOKUP($L218,Data_Validation!$A:$D,4,0)</f>
        <v>Autos détail</v>
      </c>
      <c r="W218" s="156" t="str">
        <f>+VLOOKUP($L218,Data_Validation!$A:$E,5,0)</f>
        <v>$</v>
      </c>
      <c r="X218" s="156">
        <f>+VLOOKUP($L218,Data_Validation!$A:$F,6,0)</f>
        <v>0</v>
      </c>
    </row>
    <row r="219" spans="1:24" ht="15.75" hidden="1" customHeight="1">
      <c r="A219" s="1002" t="s">
        <v>2839</v>
      </c>
      <c r="B219" s="1145">
        <v>5111</v>
      </c>
      <c r="C219" s="1023">
        <v>0</v>
      </c>
      <c r="D219" s="1023">
        <v>137883.06</v>
      </c>
      <c r="E219" s="1023">
        <v>137883.06</v>
      </c>
      <c r="F219" s="1002" t="s">
        <v>424</v>
      </c>
      <c r="G219" s="1002" t="s">
        <v>2011</v>
      </c>
      <c r="H219" s="1003"/>
      <c r="I219" s="1004"/>
      <c r="J219" s="1004"/>
      <c r="K219" s="1004"/>
      <c r="L219" s="153">
        <f t="shared" si="0"/>
        <v>5111</v>
      </c>
      <c r="M219" s="154" t="str">
        <f t="shared" si="1"/>
        <v>C/V - JETTA</v>
      </c>
      <c r="N219" s="155">
        <f>+IF(OR($Q219=Parametres!$G$2,$Q219=Parametres!$G$3),I219,C219)</f>
        <v>0</v>
      </c>
      <c r="O219" s="155">
        <f>+IF(OR($Q219=Parametres!$G$2,$Q219=Parametres!$G$3),J219,D219)</f>
        <v>137883.06</v>
      </c>
      <c r="P219" s="155">
        <f>+IF(OR($Q219=Parametres!$G$2,$Q219=Parametres!$G$3),K219,E219)</f>
        <v>137883.06</v>
      </c>
      <c r="Q219" s="154" t="str">
        <f t="shared" si="15"/>
        <v>6-Coût des ventes</v>
      </c>
      <c r="R219" s="153" t="str">
        <f t="shared" si="15"/>
        <v>4111</v>
      </c>
      <c r="S219" s="154">
        <f t="shared" si="15"/>
        <v>0</v>
      </c>
      <c r="T219" s="156">
        <f>+VLOOKUP($L219,Data_Validation!$A:$D,1,0)</f>
        <v>5111</v>
      </c>
      <c r="U219" s="156" t="str">
        <f>+VLOOKUP($L219,Data_Validation!$A:$D,3,0)</f>
        <v>Véhicules neufs</v>
      </c>
      <c r="V219" s="156" t="str">
        <f>+VLOOKUP($L219,Data_Validation!$A:$D,4,0)</f>
        <v>Autos détail</v>
      </c>
      <c r="W219" s="156" t="str">
        <f>+VLOOKUP($L219,Data_Validation!$A:$E,5,0)</f>
        <v>$</v>
      </c>
      <c r="X219" s="156">
        <f>+VLOOKUP($L219,Data_Validation!$A:$F,6,0)</f>
        <v>0</v>
      </c>
    </row>
    <row r="220" spans="1:24" ht="15" hidden="1" customHeight="1">
      <c r="A220" s="1002" t="s">
        <v>2845</v>
      </c>
      <c r="B220" s="1145">
        <v>5119</v>
      </c>
      <c r="C220" s="1004">
        <v>0</v>
      </c>
      <c r="D220" s="1004">
        <v>107480.85</v>
      </c>
      <c r="E220" s="1004">
        <v>107480.85</v>
      </c>
      <c r="F220" s="1002" t="s">
        <v>424</v>
      </c>
      <c r="G220" s="1002" t="s">
        <v>2000</v>
      </c>
      <c r="H220" s="1003"/>
      <c r="I220" s="1003"/>
      <c r="J220" s="1003"/>
      <c r="K220" s="1003"/>
      <c r="L220" s="153">
        <f t="shared" si="0"/>
        <v>5119</v>
      </c>
      <c r="M220" s="154" t="str">
        <f t="shared" si="1"/>
        <v>C/V - ATLAS</v>
      </c>
      <c r="N220" s="155">
        <f>+IF(OR($Q220=Parametres!$G$2,$Q220=Parametres!$G$3),I220,C220)</f>
        <v>0</v>
      </c>
      <c r="O220" s="155">
        <f>+IF(OR($Q220=Parametres!$G$2,$Q220=Parametres!$G$3),J220,D220)</f>
        <v>107480.85</v>
      </c>
      <c r="P220" s="155">
        <f>+IF(OR($Q220=Parametres!$G$2,$Q220=Parametres!$G$3),K220,E220)</f>
        <v>107480.85</v>
      </c>
      <c r="Q220" s="154" t="str">
        <f t="shared" si="15"/>
        <v>6-Coût des ventes</v>
      </c>
      <c r="R220" s="153" t="str">
        <f t="shared" si="15"/>
        <v>4119</v>
      </c>
      <c r="S220" s="154">
        <f t="shared" si="15"/>
        <v>0</v>
      </c>
      <c r="T220" s="156">
        <f>+VLOOKUP($L220,Data_Validation!$A:$D,1,0)</f>
        <v>5119</v>
      </c>
      <c r="U220" s="156" t="str">
        <f>+VLOOKUP($L220,Data_Validation!$A:$D,3,0)</f>
        <v>Véhicules neufs</v>
      </c>
      <c r="V220" s="156" t="str">
        <f>+VLOOKUP($L220,Data_Validation!$A:$D,4,0)</f>
        <v>Camions détail</v>
      </c>
      <c r="W220" s="156" t="str">
        <f>+VLOOKUP($L220,Data_Validation!$A:$E,5,0)</f>
        <v>$</v>
      </c>
      <c r="X220" s="156">
        <f>+VLOOKUP($L220,Data_Validation!$A:$F,6,0)</f>
        <v>0</v>
      </c>
    </row>
    <row r="221" spans="1:24" ht="15" hidden="1" customHeight="1">
      <c r="A221" s="1002" t="s">
        <v>2850</v>
      </c>
      <c r="B221" s="1145">
        <v>5131</v>
      </c>
      <c r="C221" s="1023">
        <v>0</v>
      </c>
      <c r="D221" s="1023">
        <v>414591.03</v>
      </c>
      <c r="E221" s="1023">
        <v>414591.03</v>
      </c>
      <c r="F221" s="1002" t="s">
        <v>424</v>
      </c>
      <c r="G221" s="1002" t="s">
        <v>1996</v>
      </c>
      <c r="H221" s="1003"/>
      <c r="I221" s="1004"/>
      <c r="J221" s="1004"/>
      <c r="K221" s="1004"/>
      <c r="L221" s="153">
        <f t="shared" si="0"/>
        <v>5131</v>
      </c>
      <c r="M221" s="154" t="str">
        <f t="shared" si="1"/>
        <v>C/V - TIGUAN LWB</v>
      </c>
      <c r="N221" s="155">
        <f>+IF(OR($Q221=Parametres!$G$2,$Q221=Parametres!$G$3),I221,C221)</f>
        <v>0</v>
      </c>
      <c r="O221" s="155">
        <f>+IF(OR($Q221=Parametres!$G$2,$Q221=Parametres!$G$3),J221,D221)</f>
        <v>414591.03</v>
      </c>
      <c r="P221" s="155">
        <f>+IF(OR($Q221=Parametres!$G$2,$Q221=Parametres!$G$3),K221,E221)</f>
        <v>414591.03</v>
      </c>
      <c r="Q221" s="154" t="str">
        <f t="shared" si="15"/>
        <v>6-Coût des ventes</v>
      </c>
      <c r="R221" s="153" t="str">
        <f t="shared" si="15"/>
        <v>4131</v>
      </c>
      <c r="S221" s="154">
        <f t="shared" si="15"/>
        <v>0</v>
      </c>
      <c r="T221" s="156">
        <f>+VLOOKUP($L221,Data_Validation!$A:$D,1,0)</f>
        <v>5131</v>
      </c>
      <c r="U221" s="156" t="str">
        <f>+VLOOKUP($L221,Data_Validation!$A:$D,3,0)</f>
        <v>Véhicules neufs</v>
      </c>
      <c r="V221" s="156" t="str">
        <f>+VLOOKUP($L221,Data_Validation!$A:$D,4,0)</f>
        <v>Camions détail</v>
      </c>
      <c r="W221" s="156" t="str">
        <f>+VLOOKUP($L221,Data_Validation!$A:$E,5,0)</f>
        <v>$</v>
      </c>
      <c r="X221" s="156">
        <f>+VLOOKUP($L221,Data_Validation!$A:$F,6,0)</f>
        <v>0</v>
      </c>
    </row>
    <row r="222" spans="1:24" ht="15" hidden="1" customHeight="1">
      <c r="A222" s="1002" t="s">
        <v>2833</v>
      </c>
      <c r="B222" s="1145">
        <v>5135</v>
      </c>
      <c r="C222" s="1004">
        <v>0</v>
      </c>
      <c r="D222" s="1004">
        <v>31811.41</v>
      </c>
      <c r="E222" s="1004">
        <v>31811.41</v>
      </c>
      <c r="F222" s="1002" t="s">
        <v>424</v>
      </c>
      <c r="G222" s="1002" t="s">
        <v>2501</v>
      </c>
      <c r="H222" s="1003"/>
      <c r="I222" s="1023"/>
      <c r="J222" s="1003"/>
      <c r="K222" s="1023"/>
      <c r="L222" s="153">
        <f t="shared" si="0"/>
        <v>5135</v>
      </c>
      <c r="M222" s="154" t="str">
        <f t="shared" si="1"/>
        <v>C/V - EGOLF</v>
      </c>
      <c r="N222" s="155">
        <f>+IF(OR($Q222=Parametres!$G$2,$Q222=Parametres!$G$3),I222,C222)</f>
        <v>0</v>
      </c>
      <c r="O222" s="155">
        <f>+IF(OR($Q222=Parametres!$G$2,$Q222=Parametres!$G$3),J222,D222)</f>
        <v>31811.41</v>
      </c>
      <c r="P222" s="155">
        <f>+IF(OR($Q222=Parametres!$G$2,$Q222=Parametres!$G$3),K222,E222)</f>
        <v>31811.41</v>
      </c>
      <c r="Q222" s="154" t="str">
        <f t="shared" si="15"/>
        <v>6-Coût des ventes</v>
      </c>
      <c r="R222" s="153" t="str">
        <f t="shared" si="15"/>
        <v>84135</v>
      </c>
      <c r="S222" s="154">
        <f t="shared" si="15"/>
        <v>0</v>
      </c>
      <c r="T222" s="156">
        <f>+VLOOKUP($L222,Data_Validation!$A:$D,1,0)</f>
        <v>5135</v>
      </c>
      <c r="U222" s="156" t="str">
        <f>+VLOOKUP($L222,Data_Validation!$A:$D,3,0)</f>
        <v>Véhicules neufs</v>
      </c>
      <c r="V222" s="156" t="str">
        <f>+VLOOKUP($L222,Data_Validation!$A:$D,4,0)</f>
        <v>Autos détail</v>
      </c>
      <c r="W222" s="156" t="str">
        <f>+VLOOKUP($L222,Data_Validation!$A:$E,5,0)</f>
        <v>$</v>
      </c>
      <c r="X222" s="156">
        <f>+VLOOKUP($L222,Data_Validation!$A:$F,6,0)</f>
        <v>0</v>
      </c>
    </row>
    <row r="223" spans="1:24" ht="15" hidden="1" customHeight="1">
      <c r="A223" s="1002" t="s">
        <v>2451</v>
      </c>
      <c r="B223" s="1145">
        <v>5137</v>
      </c>
      <c r="C223" s="1023">
        <v>0</v>
      </c>
      <c r="D223" s="1023">
        <v>67873.14</v>
      </c>
      <c r="E223" s="1023">
        <v>67873.14</v>
      </c>
      <c r="F223" s="1002" t="s">
        <v>424</v>
      </c>
      <c r="G223" s="1002" t="s">
        <v>2437</v>
      </c>
      <c r="H223" s="1003"/>
      <c r="I223" s="1004"/>
      <c r="J223" s="1004"/>
      <c r="K223" s="1004"/>
      <c r="L223" s="153">
        <f t="shared" si="0"/>
        <v>5137</v>
      </c>
      <c r="M223" s="154" t="str">
        <f t="shared" si="1"/>
        <v>C/V - VW FLOTTE/VENTE ENTR/EMPLOYE/VEH DEMONS</v>
      </c>
      <c r="N223" s="155">
        <f>+IF(OR($Q223=Parametres!$G$2,$Q223=Parametres!$G$3),I223,C223)</f>
        <v>0</v>
      </c>
      <c r="O223" s="155">
        <f>+IF(OR($Q223=Parametres!$G$2,$Q223=Parametres!$G$3),J223,D223)</f>
        <v>67873.14</v>
      </c>
      <c r="P223" s="155">
        <f>+IF(OR($Q223=Parametres!$G$2,$Q223=Parametres!$G$3),K223,E223)</f>
        <v>67873.14</v>
      </c>
      <c r="Q223" s="154" t="str">
        <f t="shared" si="15"/>
        <v>6-Coût des ventes</v>
      </c>
      <c r="R223" s="153" t="str">
        <f t="shared" si="15"/>
        <v>4137</v>
      </c>
      <c r="S223" s="154">
        <f t="shared" si="15"/>
        <v>0</v>
      </c>
      <c r="T223" s="156">
        <f>+VLOOKUP($L223,Data_Validation!$A:$D,1,0)</f>
        <v>5137</v>
      </c>
      <c r="U223" s="156" t="str">
        <f>+VLOOKUP($L223,Data_Validation!$A:$D,3,0)</f>
        <v>Véhicules neufs</v>
      </c>
      <c r="V223" s="156" t="str">
        <f>+VLOOKUP($L223,Data_Validation!$A:$D,4,0)</f>
        <v>Flottes</v>
      </c>
      <c r="W223" s="156" t="str">
        <f>+VLOOKUP($L223,Data_Validation!$A:$E,5,0)</f>
        <v>$</v>
      </c>
      <c r="X223" s="156">
        <f>+VLOOKUP($L223,Data_Validation!$A:$F,6,0)</f>
        <v>0</v>
      </c>
    </row>
    <row r="224" spans="1:24" ht="15" hidden="1" customHeight="1">
      <c r="A224" s="1002" t="s">
        <v>2451</v>
      </c>
      <c r="B224" s="1145">
        <v>5139</v>
      </c>
      <c r="C224" s="1004">
        <v>0</v>
      </c>
      <c r="D224" s="1004">
        <v>85891.95</v>
      </c>
      <c r="E224" s="1004">
        <v>85891.95</v>
      </c>
      <c r="F224" s="1002" t="s">
        <v>424</v>
      </c>
      <c r="G224" s="1002" t="s">
        <v>2002</v>
      </c>
      <c r="H224" s="1003"/>
      <c r="I224" s="1023"/>
      <c r="J224" s="1003"/>
      <c r="K224" s="1023"/>
      <c r="L224" s="153">
        <f t="shared" si="0"/>
        <v>5139</v>
      </c>
      <c r="M224" s="154" t="str">
        <f t="shared" si="1"/>
        <v>C/V - VW FLOTTE/VENTE ENTR/EMPLOYE/VEH DEMONS</v>
      </c>
      <c r="N224" s="155">
        <f>+IF(OR($Q224=Parametres!$G$2,$Q224=Parametres!$G$3),I224,C224)</f>
        <v>0</v>
      </c>
      <c r="O224" s="155">
        <f>+IF(OR($Q224=Parametres!$G$2,$Q224=Parametres!$G$3),J224,D224)</f>
        <v>85891.95</v>
      </c>
      <c r="P224" s="155">
        <f>+IF(OR($Q224=Parametres!$G$2,$Q224=Parametres!$G$3),K224,E224)</f>
        <v>85891.95</v>
      </c>
      <c r="Q224" s="154" t="str">
        <f t="shared" si="15"/>
        <v>6-Coût des ventes</v>
      </c>
      <c r="R224" s="153" t="str">
        <f t="shared" si="15"/>
        <v>4139</v>
      </c>
      <c r="S224" s="154">
        <f t="shared" si="15"/>
        <v>0</v>
      </c>
      <c r="T224" s="156">
        <f>+VLOOKUP($L224,Data_Validation!$A:$D,1,0)</f>
        <v>5139</v>
      </c>
      <c r="U224" s="156" t="str">
        <f>+VLOOKUP($L224,Data_Validation!$A:$D,3,0)</f>
        <v>Véhicules neufs</v>
      </c>
      <c r="V224" s="156" t="str">
        <f>+VLOOKUP($L224,Data_Validation!$A:$D,4,0)</f>
        <v>Ex-Démos et courtoisies</v>
      </c>
      <c r="W224" s="156" t="str">
        <f>+VLOOKUP($L224,Data_Validation!$A:$E,5,0)</f>
        <v>$</v>
      </c>
      <c r="X224" s="156">
        <f>+VLOOKUP($L224,Data_Validation!$A:$F,6,0)</f>
        <v>0</v>
      </c>
    </row>
    <row r="225" spans="1:24" ht="15.75" hidden="1" customHeight="1">
      <c r="A225" s="1002" t="s">
        <v>2847</v>
      </c>
      <c r="B225" s="1145">
        <v>5201</v>
      </c>
      <c r="C225" s="1023">
        <v>0</v>
      </c>
      <c r="D225" s="1023">
        <v>267797.82</v>
      </c>
      <c r="E225" s="1023">
        <v>267797.82</v>
      </c>
      <c r="F225" s="1002" t="s">
        <v>424</v>
      </c>
      <c r="G225" s="1002" t="s">
        <v>1998</v>
      </c>
      <c r="H225" s="1003"/>
      <c r="I225" s="1004"/>
      <c r="J225" s="1004"/>
      <c r="K225" s="1004"/>
      <c r="L225" s="153">
        <f t="shared" si="0"/>
        <v>5201</v>
      </c>
      <c r="M225" s="154" t="str">
        <f t="shared" si="1"/>
        <v>C/V - VEH.USAGE VW DETAIL CERTIFIE</v>
      </c>
      <c r="N225" s="155">
        <f>+IF(OR($Q225=Parametres!$G$2,$Q225=Parametres!$G$3),I225,C225)</f>
        <v>0</v>
      </c>
      <c r="O225" s="155">
        <f>+IF(OR($Q225=Parametres!$G$2,$Q225=Parametres!$G$3),J225,D225)</f>
        <v>267797.82</v>
      </c>
      <c r="P225" s="155">
        <f>+IF(OR($Q225=Parametres!$G$2,$Q225=Parametres!$G$3),K225,E225)</f>
        <v>267797.82</v>
      </c>
      <c r="Q225" s="154" t="str">
        <f t="shared" si="15"/>
        <v>6-Coût des ventes</v>
      </c>
      <c r="R225" s="153" t="str">
        <f t="shared" si="15"/>
        <v>4201</v>
      </c>
      <c r="S225" s="154">
        <f t="shared" si="15"/>
        <v>0</v>
      </c>
      <c r="T225" s="156">
        <f>+VLOOKUP($L225,Data_Validation!$A:$D,1,0)</f>
        <v>5201</v>
      </c>
      <c r="U225" s="156" t="str">
        <f>+VLOOKUP($L225,Data_Validation!$A:$D,3,0)</f>
        <v>Véhicules usagés</v>
      </c>
      <c r="V225" s="156" t="str">
        <f>+VLOOKUP($L225,Data_Validation!$A:$D,4,0)</f>
        <v>Certifié</v>
      </c>
      <c r="W225" s="156" t="str">
        <f>+VLOOKUP($L225,Data_Validation!$A:$E,5,0)</f>
        <v>$</v>
      </c>
      <c r="X225" s="156">
        <f>+VLOOKUP($L225,Data_Validation!$A:$F,6,0)</f>
        <v>0</v>
      </c>
    </row>
    <row r="226" spans="1:24" ht="15" hidden="1" customHeight="1">
      <c r="A226" s="1002" t="s">
        <v>2825</v>
      </c>
      <c r="B226" s="1145">
        <v>5203</v>
      </c>
      <c r="C226" s="1004">
        <v>0</v>
      </c>
      <c r="D226" s="1004">
        <v>23249.22</v>
      </c>
      <c r="E226" s="1004">
        <v>23249.22</v>
      </c>
      <c r="F226" s="1002" t="s">
        <v>424</v>
      </c>
      <c r="G226" s="1002" t="s">
        <v>1998</v>
      </c>
      <c r="H226" s="1003"/>
      <c r="I226" s="1023"/>
      <c r="J226" s="1003"/>
      <c r="K226" s="1023"/>
      <c r="L226" s="153">
        <f t="shared" si="0"/>
        <v>5203</v>
      </c>
      <c r="M226" s="154" t="str">
        <f t="shared" si="1"/>
        <v>C/V - RECOND USAGE VW CERT.</v>
      </c>
      <c r="N226" s="155">
        <f>+IF(OR($Q226=Parametres!$G$2,$Q226=Parametres!$G$3),I226,C226)</f>
        <v>0</v>
      </c>
      <c r="O226" s="155">
        <f>+IF(OR($Q226=Parametres!$G$2,$Q226=Parametres!$G$3),J226,D226)</f>
        <v>23249.22</v>
      </c>
      <c r="P226" s="155">
        <f>+IF(OR($Q226=Parametres!$G$2,$Q226=Parametres!$G$3),K226,E226)</f>
        <v>23249.22</v>
      </c>
      <c r="Q226" s="154" t="str">
        <f t="shared" ref="Q226:S241" si="16">+F226</f>
        <v>6-Coût des ventes</v>
      </c>
      <c r="R226" s="153" t="str">
        <f t="shared" si="16"/>
        <v>4201</v>
      </c>
      <c r="S226" s="154">
        <f t="shared" si="16"/>
        <v>0</v>
      </c>
      <c r="T226" s="156">
        <f>+VLOOKUP($L226,Data_Validation!$A:$D,1,0)</f>
        <v>5203</v>
      </c>
      <c r="U226" s="156" t="str">
        <f>+VLOOKUP($L226,Data_Validation!$A:$D,3,0)</f>
        <v>Véhicules usagés</v>
      </c>
      <c r="V226" s="156" t="str">
        <f>+VLOOKUP($L226,Data_Validation!$A:$D,4,0)</f>
        <v>Certifié</v>
      </c>
      <c r="W226" s="156" t="str">
        <f>+VLOOKUP($L226,Data_Validation!$A:$E,5,0)</f>
        <v>$</v>
      </c>
      <c r="X226" s="156">
        <f>+VLOOKUP($L226,Data_Validation!$A:$F,6,0)</f>
        <v>0</v>
      </c>
    </row>
    <row r="227" spans="1:24" ht="15" hidden="1" customHeight="1">
      <c r="A227" s="1002" t="s">
        <v>2035</v>
      </c>
      <c r="B227" s="1145">
        <v>5285</v>
      </c>
      <c r="C227" s="1023">
        <v>0</v>
      </c>
      <c r="D227" s="1023">
        <v>28215</v>
      </c>
      <c r="E227" s="1023">
        <v>28215</v>
      </c>
      <c r="F227" s="1002" t="s">
        <v>424</v>
      </c>
      <c r="G227" s="1002" t="s">
        <v>2037</v>
      </c>
      <c r="H227" s="1003"/>
      <c r="I227" s="1004"/>
      <c r="J227" s="1004"/>
      <c r="K227" s="1004"/>
      <c r="L227" s="153">
        <f t="shared" si="0"/>
        <v>5285</v>
      </c>
      <c r="M227" s="154" t="str">
        <f t="shared" si="1"/>
        <v>VEH. D'OCC. AUTRE DETAIL</v>
      </c>
      <c r="N227" s="155">
        <f>+IF(OR($Q227=Parametres!$G$2,$Q227=Parametres!$G$3),I227,C227)</f>
        <v>0</v>
      </c>
      <c r="O227" s="155">
        <f>+IF(OR($Q227=Parametres!$G$2,$Q227=Parametres!$G$3),J227,D227)</f>
        <v>28215</v>
      </c>
      <c r="P227" s="155">
        <f>+IF(OR($Q227=Parametres!$G$2,$Q227=Parametres!$G$3),K227,E227)</f>
        <v>28215</v>
      </c>
      <c r="Q227" s="154" t="str">
        <f t="shared" si="16"/>
        <v>6-Coût des ventes</v>
      </c>
      <c r="R227" s="153" t="str">
        <f t="shared" si="16"/>
        <v>4261</v>
      </c>
      <c r="S227" s="154">
        <f t="shared" si="16"/>
        <v>0</v>
      </c>
      <c r="T227" s="156">
        <f>+VLOOKUP($L227,Data_Validation!$A:$D,1,0)</f>
        <v>5285</v>
      </c>
      <c r="U227" s="156" t="str">
        <f>+VLOOKUP($L227,Data_Validation!$A:$D,3,0)</f>
        <v>Véhicules usagés</v>
      </c>
      <c r="V227" s="156" t="str">
        <f>+VLOOKUP($L227,Data_Validation!$A:$D,4,0)</f>
        <v>Non Certifié</v>
      </c>
      <c r="W227" s="156" t="str">
        <f>+VLOOKUP($L227,Data_Validation!$A:$E,5,0)</f>
        <v>$</v>
      </c>
      <c r="X227" s="156">
        <f>+VLOOKUP($L227,Data_Validation!$A:$F,6,0)</f>
        <v>0</v>
      </c>
    </row>
    <row r="228" spans="1:24" ht="15" hidden="1" customHeight="1">
      <c r="A228" s="1002" t="s">
        <v>2003</v>
      </c>
      <c r="B228" s="1145">
        <v>5291</v>
      </c>
      <c r="C228" s="1004">
        <v>0</v>
      </c>
      <c r="D228" s="1004">
        <v>156974.20000000001</v>
      </c>
      <c r="E228" s="1004">
        <v>156974.20000000001</v>
      </c>
      <c r="F228" s="1002" t="s">
        <v>424</v>
      </c>
      <c r="G228" s="1002" t="s">
        <v>2005</v>
      </c>
      <c r="H228" s="1003"/>
      <c r="I228" s="1023"/>
      <c r="J228" s="1003"/>
      <c r="K228" s="1023"/>
      <c r="L228" s="153">
        <f t="shared" si="0"/>
        <v>5291</v>
      </c>
      <c r="M228" s="154" t="str">
        <f t="shared" si="1"/>
        <v>VEH. D'OCC. AU GROS</v>
      </c>
      <c r="N228" s="155">
        <f>+IF(OR($Q228=Parametres!$G$2,$Q228=Parametres!$G$3),I228,C228)</f>
        <v>0</v>
      </c>
      <c r="O228" s="155">
        <f>+IF(OR($Q228=Parametres!$G$2,$Q228=Parametres!$G$3),J228,D228)</f>
        <v>156974.20000000001</v>
      </c>
      <c r="P228" s="155">
        <f>+IF(OR($Q228=Parametres!$G$2,$Q228=Parametres!$G$3),K228,E228)</f>
        <v>156974.20000000001</v>
      </c>
      <c r="Q228" s="154" t="str">
        <f t="shared" si="16"/>
        <v>6-Coût des ventes</v>
      </c>
      <c r="R228" s="153" t="str">
        <f t="shared" si="16"/>
        <v>4281</v>
      </c>
      <c r="S228" s="154">
        <f t="shared" si="16"/>
        <v>0</v>
      </c>
      <c r="T228" s="156">
        <f>+VLOOKUP($L228,Data_Validation!$A:$D,1,0)</f>
        <v>5291</v>
      </c>
      <c r="U228" s="156" t="str">
        <f>+VLOOKUP($L228,Data_Validation!$A:$D,3,0)</f>
        <v>Véhicules usagés</v>
      </c>
      <c r="V228" s="156" t="str">
        <f>+VLOOKUP($L228,Data_Validation!$A:$D,4,0)</f>
        <v>Ventes au Gros</v>
      </c>
      <c r="W228" s="156" t="str">
        <f>+VLOOKUP($L228,Data_Validation!$A:$E,5,0)</f>
        <v>$</v>
      </c>
      <c r="X228" s="156">
        <f>+VLOOKUP($L228,Data_Validation!$A:$F,6,0)</f>
        <v>0</v>
      </c>
    </row>
    <row r="229" spans="1:24" ht="15.75" hidden="1" customHeight="1">
      <c r="A229" s="1002" t="s">
        <v>2823</v>
      </c>
      <c r="B229" s="1145">
        <v>5401</v>
      </c>
      <c r="C229" s="1023">
        <v>0</v>
      </c>
      <c r="D229" s="1023">
        <v>13246.39</v>
      </c>
      <c r="E229" s="1023">
        <v>13246.39</v>
      </c>
      <c r="F229" s="1002" t="s">
        <v>424</v>
      </c>
      <c r="G229" s="1002" t="s">
        <v>2009</v>
      </c>
      <c r="H229" s="1003"/>
      <c r="I229" s="1004"/>
      <c r="J229" s="1004"/>
      <c r="K229" s="1004"/>
      <c r="L229" s="153">
        <f t="shared" si="0"/>
        <v>5401</v>
      </c>
      <c r="M229" s="154" t="str">
        <f t="shared" si="1"/>
        <v>COUT M.O. MECANIQUE CLIENTS</v>
      </c>
      <c r="N229" s="155">
        <f>+IF(OR($Q229=Parametres!$G$2,$Q229=Parametres!$G$3),I229,C229)</f>
        <v>0</v>
      </c>
      <c r="O229" s="155">
        <f>+IF(OR($Q229=Parametres!$G$2,$Q229=Parametres!$G$3),J229,D229)</f>
        <v>13246.39</v>
      </c>
      <c r="P229" s="155">
        <f>+IF(OR($Q229=Parametres!$G$2,$Q229=Parametres!$G$3),K229,E229)</f>
        <v>13246.39</v>
      </c>
      <c r="Q229" s="154" t="str">
        <f t="shared" si="16"/>
        <v>6-Coût des ventes</v>
      </c>
      <c r="R229" s="153" t="str">
        <f t="shared" si="16"/>
        <v>4401</v>
      </c>
      <c r="S229" s="154">
        <f t="shared" si="16"/>
        <v>0</v>
      </c>
      <c r="T229" s="156">
        <f>+VLOOKUP($L229,Data_Validation!$A:$D,1,0)</f>
        <v>5401</v>
      </c>
      <c r="U229" s="156" t="str">
        <f>+VLOOKUP($L229,Data_Validation!$A:$D,3,0)</f>
        <v>Service</v>
      </c>
      <c r="V229" s="156" t="str">
        <f>+VLOOKUP($L229,Data_Validation!$A:$D,4,0)</f>
        <v>M/O Client</v>
      </c>
      <c r="W229" s="156" t="str">
        <f>+VLOOKUP($L229,Data_Validation!$A:$E,5,0)</f>
        <v>$</v>
      </c>
      <c r="X229" s="156">
        <f>+VLOOKUP($L229,Data_Validation!$A:$F,6,0)</f>
        <v>0</v>
      </c>
    </row>
    <row r="230" spans="1:24" ht="15" hidden="1" customHeight="1">
      <c r="A230" s="1002" t="s">
        <v>2786</v>
      </c>
      <c r="B230" s="1145">
        <v>5403</v>
      </c>
      <c r="C230" s="1004">
        <v>0</v>
      </c>
      <c r="D230" s="1004">
        <v>21251.47</v>
      </c>
      <c r="E230" s="1004">
        <v>21251.47</v>
      </c>
      <c r="F230" s="1002" t="s">
        <v>424</v>
      </c>
      <c r="G230" s="1002" t="s">
        <v>2039</v>
      </c>
      <c r="H230" s="1003"/>
      <c r="I230" s="1023"/>
      <c r="J230" s="1003"/>
      <c r="K230" s="1023"/>
      <c r="L230" s="153">
        <f t="shared" si="0"/>
        <v>5403</v>
      </c>
      <c r="M230" s="154" t="str">
        <f t="shared" si="1"/>
        <v>COUT MEC VENTE GARANTIE MANUF</v>
      </c>
      <c r="N230" s="155">
        <f>+IF(OR($Q230=Parametres!$G$2,$Q230=Parametres!$G$3),I230,C230)</f>
        <v>0</v>
      </c>
      <c r="O230" s="155">
        <f>+IF(OR($Q230=Parametres!$G$2,$Q230=Parametres!$G$3),J230,D230)</f>
        <v>21251.47</v>
      </c>
      <c r="P230" s="155">
        <f>+IF(OR($Q230=Parametres!$G$2,$Q230=Parametres!$G$3),K230,E230)</f>
        <v>21251.47</v>
      </c>
      <c r="Q230" s="154" t="str">
        <f t="shared" si="16"/>
        <v>6-Coût des ventes</v>
      </c>
      <c r="R230" s="153" t="str">
        <f t="shared" si="16"/>
        <v>4403</v>
      </c>
      <c r="S230" s="154">
        <f t="shared" si="16"/>
        <v>0</v>
      </c>
      <c r="T230" s="156">
        <f>+VLOOKUP($L230,Data_Validation!$A:$D,1,0)</f>
        <v>5403</v>
      </c>
      <c r="U230" s="156" t="str">
        <f>+VLOOKUP($L230,Data_Validation!$A:$D,3,0)</f>
        <v>Service</v>
      </c>
      <c r="V230" s="156" t="str">
        <f>+VLOOKUP($L230,Data_Validation!$A:$D,4,0)</f>
        <v>M/O Garantie</v>
      </c>
      <c r="W230" s="156" t="str">
        <f>+VLOOKUP($L230,Data_Validation!$A:$E,5,0)</f>
        <v>$</v>
      </c>
      <c r="X230" s="156">
        <f>+VLOOKUP($L230,Data_Validation!$A:$F,6,0)</f>
        <v>0</v>
      </c>
    </row>
    <row r="231" spans="1:24" ht="15" hidden="1" customHeight="1">
      <c r="A231" s="1002" t="s">
        <v>2772</v>
      </c>
      <c r="B231" s="1145">
        <v>5405</v>
      </c>
      <c r="C231" s="1023">
        <v>0</v>
      </c>
      <c r="D231" s="1023">
        <v>8197.83</v>
      </c>
      <c r="E231" s="1023">
        <v>8197.83</v>
      </c>
      <c r="F231" s="1002" t="s">
        <v>424</v>
      </c>
      <c r="G231" s="1002" t="s">
        <v>2049</v>
      </c>
      <c r="H231" s="1003"/>
      <c r="I231" s="1004"/>
      <c r="J231" s="1004"/>
      <c r="K231" s="1004"/>
      <c r="L231" s="153">
        <f t="shared" si="0"/>
        <v>5405</v>
      </c>
      <c r="M231" s="154" t="str">
        <f t="shared" si="1"/>
        <v>C D V VENTES M OINTERNE</v>
      </c>
      <c r="N231" s="155">
        <f>+IF(OR($Q231=Parametres!$G$2,$Q231=Parametres!$G$3),I231,C231)</f>
        <v>0</v>
      </c>
      <c r="O231" s="155">
        <f>+IF(OR($Q231=Parametres!$G$2,$Q231=Parametres!$G$3),J231,D231)</f>
        <v>8197.83</v>
      </c>
      <c r="P231" s="155">
        <f>+IF(OR($Q231=Parametres!$G$2,$Q231=Parametres!$G$3),K231,E231)</f>
        <v>8197.83</v>
      </c>
      <c r="Q231" s="154" t="str">
        <f t="shared" si="16"/>
        <v>6-Coût des ventes</v>
      </c>
      <c r="R231" s="153" t="str">
        <f t="shared" si="16"/>
        <v>4405</v>
      </c>
      <c r="S231" s="154">
        <f t="shared" si="16"/>
        <v>0</v>
      </c>
      <c r="T231" s="156">
        <f>+VLOOKUP($L231,Data_Validation!$A:$D,1,0)</f>
        <v>5405</v>
      </c>
      <c r="U231" s="156" t="str">
        <f>+VLOOKUP($L231,Data_Validation!$A:$D,3,0)</f>
        <v>Service</v>
      </c>
      <c r="V231" s="156" t="str">
        <f>+VLOOKUP($L231,Data_Validation!$A:$D,4,0)</f>
        <v>M/O Interne</v>
      </c>
      <c r="W231" s="156" t="str">
        <f>+VLOOKUP($L231,Data_Validation!$A:$E,5,0)</f>
        <v>$</v>
      </c>
      <c r="X231" s="156">
        <f>+VLOOKUP($L231,Data_Validation!$A:$F,6,0)</f>
        <v>0</v>
      </c>
    </row>
    <row r="232" spans="1:24" ht="15" hidden="1" customHeight="1">
      <c r="A232" s="1002" t="s">
        <v>2720</v>
      </c>
      <c r="B232" s="1145">
        <v>5416</v>
      </c>
      <c r="C232" s="1004">
        <v>0</v>
      </c>
      <c r="D232" s="1004">
        <v>868.59</v>
      </c>
      <c r="E232" s="1004">
        <v>868.59</v>
      </c>
      <c r="F232" s="1002" t="s">
        <v>424</v>
      </c>
      <c r="G232" s="1002" t="s">
        <v>2722</v>
      </c>
      <c r="H232" s="1003"/>
      <c r="I232" s="1023"/>
      <c r="J232" s="1003"/>
      <c r="K232" s="1023"/>
      <c r="L232" s="153">
        <f t="shared" si="0"/>
        <v>5416</v>
      </c>
      <c r="M232" s="154" t="str">
        <f t="shared" si="1"/>
        <v>C/V - TEMPS MORT M.O. SERVICE</v>
      </c>
      <c r="N232" s="155">
        <f>+IF(OR($Q232=Parametres!$G$2,$Q232=Parametres!$G$3),I232,C232)</f>
        <v>0</v>
      </c>
      <c r="O232" s="155">
        <f>+IF(OR($Q232=Parametres!$G$2,$Q232=Parametres!$G$3),J232,D232)</f>
        <v>868.59</v>
      </c>
      <c r="P232" s="155">
        <f>+IF(OR($Q232=Parametres!$G$2,$Q232=Parametres!$G$3),K232,E232)</f>
        <v>868.59</v>
      </c>
      <c r="Q232" s="154" t="str">
        <f t="shared" si="16"/>
        <v>6-Coût des ventes</v>
      </c>
      <c r="R232" s="153" t="str">
        <f t="shared" si="16"/>
        <v>4416</v>
      </c>
      <c r="S232" s="154">
        <f t="shared" si="16"/>
        <v>0</v>
      </c>
      <c r="T232" s="156">
        <f>+VLOOKUP($L232,Data_Validation!$A:$D,1,0)</f>
        <v>5416</v>
      </c>
      <c r="U232" s="156" t="str">
        <f>+VLOOKUP($L232,Data_Validation!$A:$D,3,0)</f>
        <v>Service</v>
      </c>
      <c r="V232" s="156" t="str">
        <f>+VLOOKUP($L232,Data_Validation!$A:$D,4,0)</f>
        <v>Ajustement M/O</v>
      </c>
      <c r="W232" s="156" t="str">
        <f>+VLOOKUP($L232,Data_Validation!$A:$E,5,0)</f>
        <v>$</v>
      </c>
      <c r="X232" s="156">
        <f>+VLOOKUP($L232,Data_Validation!$A:$F,6,0)</f>
        <v>0</v>
      </c>
    </row>
    <row r="233" spans="1:24" ht="15" hidden="1" customHeight="1">
      <c r="A233" s="1002" t="s">
        <v>2068</v>
      </c>
      <c r="B233" s="1145">
        <v>5451</v>
      </c>
      <c r="C233" s="1023">
        <v>0</v>
      </c>
      <c r="D233" s="1023">
        <v>8030.51</v>
      </c>
      <c r="E233" s="1023">
        <v>8030.51</v>
      </c>
      <c r="F233" s="1002" t="s">
        <v>424</v>
      </c>
      <c r="G233" s="1002" t="s">
        <v>2070</v>
      </c>
      <c r="H233" s="1003"/>
      <c r="I233" s="1004"/>
      <c r="J233" s="1004"/>
      <c r="K233" s="1004"/>
      <c r="L233" s="153">
        <f t="shared" si="0"/>
        <v>5451</v>
      </c>
      <c r="M233" s="154" t="str">
        <f t="shared" si="1"/>
        <v>CARBURANT/HUILE/GRAISSE</v>
      </c>
      <c r="N233" s="155">
        <f>+IF(OR($Q233=Parametres!$G$2,$Q233=Parametres!$G$3),I233,C233)</f>
        <v>0</v>
      </c>
      <c r="O233" s="155">
        <f>+IF(OR($Q233=Parametres!$G$2,$Q233=Parametres!$G$3),J233,D233)</f>
        <v>8030.51</v>
      </c>
      <c r="P233" s="155">
        <f>+IF(OR($Q233=Parametres!$G$2,$Q233=Parametres!$G$3),K233,E233)</f>
        <v>8030.51</v>
      </c>
      <c r="Q233" s="154" t="str">
        <f t="shared" si="16"/>
        <v>6-Coût des ventes</v>
      </c>
      <c r="R233" s="153" t="str">
        <f t="shared" si="16"/>
        <v>4782</v>
      </c>
      <c r="S233" s="154">
        <f t="shared" si="16"/>
        <v>0</v>
      </c>
      <c r="T233" s="156">
        <f>+VLOOKUP($L233,Data_Validation!$A:$D,1,0)</f>
        <v>5451</v>
      </c>
      <c r="U233" s="156" t="str">
        <f>+VLOOKUP($L233,Data_Validation!$A:$D,3,0)</f>
        <v>Pièces</v>
      </c>
      <c r="V233" s="156" t="str">
        <f>+VLOOKUP($L233,Data_Validation!$A:$D,4,0)</f>
        <v>Huiles et Graisse</v>
      </c>
      <c r="W233" s="156" t="str">
        <f>+VLOOKUP($L233,Data_Validation!$A:$E,5,0)</f>
        <v>$</v>
      </c>
      <c r="X233" s="156">
        <f>+VLOOKUP($L233,Data_Validation!$A:$F,6,0)</f>
        <v>0</v>
      </c>
    </row>
    <row r="234" spans="1:24" ht="15.75" hidden="1" customHeight="1">
      <c r="A234" s="1002" t="s">
        <v>2141</v>
      </c>
      <c r="B234" s="1145">
        <v>5491</v>
      </c>
      <c r="C234" s="1004">
        <v>0</v>
      </c>
      <c r="D234" s="1004">
        <v>484</v>
      </c>
      <c r="E234" s="1004">
        <v>484</v>
      </c>
      <c r="F234" s="1002" t="s">
        <v>424</v>
      </c>
      <c r="G234" s="1002" t="s">
        <v>2142</v>
      </c>
      <c r="H234" s="1003"/>
      <c r="I234" s="1023"/>
      <c r="J234" s="1003"/>
      <c r="K234" s="1023"/>
      <c r="L234" s="153">
        <f t="shared" si="0"/>
        <v>5491</v>
      </c>
      <c r="M234" s="154" t="str">
        <f t="shared" si="1"/>
        <v>REPARATION SOUS-LOC. - GENERAL</v>
      </c>
      <c r="N234" s="155">
        <f>+IF(OR($Q234=Parametres!$G$2,$Q234=Parametres!$G$3),I234,C234)</f>
        <v>0</v>
      </c>
      <c r="O234" s="155">
        <f>+IF(OR($Q234=Parametres!$G$2,$Q234=Parametres!$G$3),J234,D234)</f>
        <v>484</v>
      </c>
      <c r="P234" s="155">
        <f>+IF(OR($Q234=Parametres!$G$2,$Q234=Parametres!$G$3),K234,E234)</f>
        <v>484</v>
      </c>
      <c r="Q234" s="154" t="str">
        <f t="shared" si="16"/>
        <v>6-Coût des ventes</v>
      </c>
      <c r="R234" s="153" t="str">
        <f t="shared" si="16"/>
        <v>4491</v>
      </c>
      <c r="S234" s="154">
        <f t="shared" si="16"/>
        <v>0</v>
      </c>
      <c r="T234" s="156">
        <f>+VLOOKUP($L234,Data_Validation!$A:$D,1,0)</f>
        <v>5491</v>
      </c>
      <c r="U234" s="156" t="str">
        <f>+VLOOKUP($L234,Data_Validation!$A:$D,3,0)</f>
        <v>Service</v>
      </c>
      <c r="V234" s="156" t="str">
        <f>+VLOOKUP($L234,Data_Validation!$A:$D,4,0)</f>
        <v>Sous-traitement</v>
      </c>
      <c r="W234" s="156" t="str">
        <f>+VLOOKUP($L234,Data_Validation!$A:$E,5,0)</f>
        <v>$</v>
      </c>
      <c r="X234" s="156">
        <f>+VLOOKUP($L234,Data_Validation!$A:$F,6,0)</f>
        <v>0</v>
      </c>
    </row>
    <row r="235" spans="1:24" ht="15" hidden="1" customHeight="1">
      <c r="A235" s="1002" t="s">
        <v>2682</v>
      </c>
      <c r="B235" s="1145">
        <v>5493</v>
      </c>
      <c r="C235" s="1023">
        <v>0</v>
      </c>
      <c r="D235" s="1023">
        <v>808.96</v>
      </c>
      <c r="E235" s="1023">
        <v>808.96</v>
      </c>
      <c r="F235" s="1002" t="s">
        <v>424</v>
      </c>
      <c r="G235" s="1002" t="s">
        <v>2165</v>
      </c>
      <c r="H235" s="1003"/>
      <c r="I235" s="1004"/>
      <c r="J235" s="1004"/>
      <c r="K235" s="1004"/>
      <c r="L235" s="153">
        <f t="shared" si="0"/>
        <v>5493</v>
      </c>
      <c r="M235" s="154" t="str">
        <f t="shared" si="1"/>
        <v>C/V - SOUS-TRAITANCE GARANTIE</v>
      </c>
      <c r="N235" s="155">
        <f>+IF(OR($Q235=Parametres!$G$2,$Q235=Parametres!$G$3),I235,C235)</f>
        <v>0</v>
      </c>
      <c r="O235" s="155">
        <f>+IF(OR($Q235=Parametres!$G$2,$Q235=Parametres!$G$3),J235,D235)</f>
        <v>808.96</v>
      </c>
      <c r="P235" s="155">
        <f>+IF(OR($Q235=Parametres!$G$2,$Q235=Parametres!$G$3),K235,E235)</f>
        <v>808.96</v>
      </c>
      <c r="Q235" s="154" t="str">
        <f t="shared" si="16"/>
        <v>6-Coût des ventes</v>
      </c>
      <c r="R235" s="153" t="str">
        <f t="shared" si="16"/>
        <v>4493</v>
      </c>
      <c r="S235" s="154">
        <f t="shared" si="16"/>
        <v>0</v>
      </c>
      <c r="T235" s="156">
        <f>+VLOOKUP($L235,Data_Validation!$A:$D,1,0)</f>
        <v>5493</v>
      </c>
      <c r="U235" s="156" t="str">
        <f>+VLOOKUP($L235,Data_Validation!$A:$D,3,0)</f>
        <v>Service</v>
      </c>
      <c r="V235" s="156" t="str">
        <f>+VLOOKUP($L235,Data_Validation!$A:$D,4,0)</f>
        <v>Sous-traitement</v>
      </c>
      <c r="W235" s="156" t="str">
        <f>+VLOOKUP($L235,Data_Validation!$A:$E,5,0)</f>
        <v>$</v>
      </c>
      <c r="X235" s="156">
        <f>+VLOOKUP($L235,Data_Validation!$A:$F,6,0)</f>
        <v>0</v>
      </c>
    </row>
    <row r="236" spans="1:24" ht="15" hidden="1" customHeight="1">
      <c r="A236" s="1002" t="s">
        <v>2784</v>
      </c>
      <c r="B236" s="1145">
        <v>5495</v>
      </c>
      <c r="C236" s="1004">
        <v>0</v>
      </c>
      <c r="D236" s="1004">
        <v>5461.49</v>
      </c>
      <c r="E236" s="1004">
        <v>5461.49</v>
      </c>
      <c r="F236" s="1002" t="s">
        <v>424</v>
      </c>
      <c r="G236" s="1002" t="s">
        <v>2084</v>
      </c>
      <c r="H236" s="1003"/>
      <c r="I236" s="1023"/>
      <c r="J236" s="1003"/>
      <c r="K236" s="1023"/>
      <c r="L236" s="153">
        <f t="shared" si="0"/>
        <v>5495</v>
      </c>
      <c r="M236" s="154" t="str">
        <f t="shared" si="1"/>
        <v>C/V - SOUS-TRAITANCE INTERNE</v>
      </c>
      <c r="N236" s="155">
        <f>+IF(OR($Q236=Parametres!$G$2,$Q236=Parametres!$G$3),I236,C236)</f>
        <v>0</v>
      </c>
      <c r="O236" s="155">
        <f>+IF(OR($Q236=Parametres!$G$2,$Q236=Parametres!$G$3),J236,D236)</f>
        <v>5461.49</v>
      </c>
      <c r="P236" s="155">
        <f>+IF(OR($Q236=Parametres!$G$2,$Q236=Parametres!$G$3),K236,E236)</f>
        <v>5461.49</v>
      </c>
      <c r="Q236" s="154" t="str">
        <f t="shared" si="16"/>
        <v>6-Coût des ventes</v>
      </c>
      <c r="R236" s="153" t="str">
        <f t="shared" si="16"/>
        <v>4495</v>
      </c>
      <c r="S236" s="154">
        <f t="shared" si="16"/>
        <v>0</v>
      </c>
      <c r="T236" s="156">
        <f>+VLOOKUP($L236,Data_Validation!$A:$D,1,0)</f>
        <v>5495</v>
      </c>
      <c r="U236" s="156" t="str">
        <f>+VLOOKUP($L236,Data_Validation!$A:$D,3,0)</f>
        <v>Service</v>
      </c>
      <c r="V236" s="156" t="str">
        <f>+VLOOKUP($L236,Data_Validation!$A:$D,4,0)</f>
        <v>Sous-traitement</v>
      </c>
      <c r="W236" s="156" t="str">
        <f>+VLOOKUP($L236,Data_Validation!$A:$E,5,0)</f>
        <v>$</v>
      </c>
      <c r="X236" s="156">
        <f>+VLOOKUP($L236,Data_Validation!$A:$F,6,0)</f>
        <v>0</v>
      </c>
    </row>
    <row r="237" spans="1:24" ht="15" hidden="1" customHeight="1">
      <c r="A237" s="1002" t="s">
        <v>2793</v>
      </c>
      <c r="B237" s="1145">
        <v>5591</v>
      </c>
      <c r="C237" s="1023">
        <v>0</v>
      </c>
      <c r="D237" s="1023">
        <v>9347.7000000000007</v>
      </c>
      <c r="E237" s="1023">
        <v>9347.7000000000007</v>
      </c>
      <c r="F237" s="1002" t="s">
        <v>424</v>
      </c>
      <c r="G237" s="1002" t="s">
        <v>2067</v>
      </c>
      <c r="H237" s="1003"/>
      <c r="I237" s="1004"/>
      <c r="J237" s="1004"/>
      <c r="K237" s="1004"/>
      <c r="L237" s="153">
        <f t="shared" si="0"/>
        <v>5591</v>
      </c>
      <c r="M237" s="154" t="str">
        <f t="shared" si="1"/>
        <v>C/V - S-TRAIT. CARR.</v>
      </c>
      <c r="N237" s="155">
        <f>+IF(OR($Q237=Parametres!$G$2,$Q237=Parametres!$G$3),I237,C237)</f>
        <v>0</v>
      </c>
      <c r="O237" s="155">
        <f>+IF(OR($Q237=Parametres!$G$2,$Q237=Parametres!$G$3),J237,D237)</f>
        <v>9347.7000000000007</v>
      </c>
      <c r="P237" s="155">
        <f>+IF(OR($Q237=Parametres!$G$2,$Q237=Parametres!$G$3),K237,E237)</f>
        <v>9347.7000000000007</v>
      </c>
      <c r="Q237" s="154" t="str">
        <f t="shared" si="16"/>
        <v>6-Coût des ventes</v>
      </c>
      <c r="R237" s="153" t="str">
        <f t="shared" si="16"/>
        <v>4591</v>
      </c>
      <c r="S237" s="154">
        <f t="shared" si="16"/>
        <v>0</v>
      </c>
      <c r="T237" s="156">
        <f>+VLOOKUP($L237,Data_Validation!$A:$D,1,0)</f>
        <v>5591</v>
      </c>
      <c r="U237" s="156" t="str">
        <f>+VLOOKUP($L237,Data_Validation!$A:$D,3,0)</f>
        <v>Carrosserie</v>
      </c>
      <c r="V237" s="156" t="str">
        <f>+VLOOKUP($L237,Data_Validation!$A:$D,4,0)</f>
        <v>M/O Sous-traitement</v>
      </c>
      <c r="W237" s="156" t="str">
        <f>+VLOOKUP($L237,Data_Validation!$A:$E,5,0)</f>
        <v>$</v>
      </c>
      <c r="X237" s="156">
        <f>+VLOOKUP($L237,Data_Validation!$A:$F,6,0)</f>
        <v>0</v>
      </c>
    </row>
    <row r="238" spans="1:24" ht="15.75" hidden="1" customHeight="1">
      <c r="A238" s="1002" t="s">
        <v>2803</v>
      </c>
      <c r="B238" s="1145">
        <v>5593</v>
      </c>
      <c r="C238" s="1004">
        <v>0</v>
      </c>
      <c r="D238" s="1004">
        <v>73390.06</v>
      </c>
      <c r="E238" s="1004">
        <v>73390.06</v>
      </c>
      <c r="F238" s="1002" t="s">
        <v>424</v>
      </c>
      <c r="G238" s="1002" t="s">
        <v>2065</v>
      </c>
      <c r="H238" s="1003"/>
      <c r="I238" s="1023"/>
      <c r="J238" s="1003"/>
      <c r="K238" s="1023"/>
      <c r="L238" s="153">
        <f t="shared" si="0"/>
        <v>5593</v>
      </c>
      <c r="M238" s="154" t="str">
        <f t="shared" si="1"/>
        <v>C/V - S-TRAIT.GARANTIE CARROS.</v>
      </c>
      <c r="N238" s="155">
        <f>+IF(OR($Q238=Parametres!$G$2,$Q238=Parametres!$G$3),I238,C238)</f>
        <v>0</v>
      </c>
      <c r="O238" s="155">
        <f>+IF(OR($Q238=Parametres!$G$2,$Q238=Parametres!$G$3),J238,D238)</f>
        <v>73390.06</v>
      </c>
      <c r="P238" s="155">
        <f>+IF(OR($Q238=Parametres!$G$2,$Q238=Parametres!$G$3),K238,E238)</f>
        <v>73390.06</v>
      </c>
      <c r="Q238" s="154" t="str">
        <f t="shared" si="16"/>
        <v>6-Coût des ventes</v>
      </c>
      <c r="R238" s="153" t="str">
        <f t="shared" si="16"/>
        <v>4593</v>
      </c>
      <c r="S238" s="154">
        <f t="shared" si="16"/>
        <v>0</v>
      </c>
      <c r="T238" s="156">
        <f>+VLOOKUP($L238,Data_Validation!$A:$D,1,0)</f>
        <v>5593</v>
      </c>
      <c r="U238" s="156" t="str">
        <f>+VLOOKUP($L238,Data_Validation!$A:$D,3,0)</f>
        <v>Carrosserie</v>
      </c>
      <c r="V238" s="156" t="str">
        <f>+VLOOKUP($L238,Data_Validation!$A:$D,4,0)</f>
        <v>M/O Sous-traitement</v>
      </c>
      <c r="W238" s="156" t="str">
        <f>+VLOOKUP($L238,Data_Validation!$A:$E,5,0)</f>
        <v>$</v>
      </c>
      <c r="X238" s="156">
        <f>+VLOOKUP($L238,Data_Validation!$A:$F,6,0)</f>
        <v>0</v>
      </c>
    </row>
    <row r="239" spans="1:24" ht="15" hidden="1" customHeight="1">
      <c r="A239" s="1002" t="s">
        <v>2762</v>
      </c>
      <c r="B239" s="1145">
        <v>5595</v>
      </c>
      <c r="C239" s="1023">
        <v>0</v>
      </c>
      <c r="D239" s="1023">
        <v>1500.22</v>
      </c>
      <c r="E239" s="1023">
        <v>1500.22</v>
      </c>
      <c r="F239" s="1002" t="s">
        <v>424</v>
      </c>
      <c r="G239" s="1002" t="s">
        <v>2098</v>
      </c>
      <c r="H239" s="1003"/>
      <c r="I239" s="1004"/>
      <c r="J239" s="1004"/>
      <c r="K239" s="1004"/>
      <c r="L239" s="153">
        <f t="shared" si="0"/>
        <v>5595</v>
      </c>
      <c r="M239" s="154" t="str">
        <f t="shared" si="1"/>
        <v>C/V - S-TRAIT.INTERNE CARROS.</v>
      </c>
      <c r="N239" s="155">
        <f>+IF(OR($Q239=Parametres!$G$2,$Q239=Parametres!$G$3),I239,C239)</f>
        <v>0</v>
      </c>
      <c r="O239" s="155">
        <f>+IF(OR($Q239=Parametres!$G$2,$Q239=Parametres!$G$3),J239,D239)</f>
        <v>1500.22</v>
      </c>
      <c r="P239" s="155">
        <f>+IF(OR($Q239=Parametres!$G$2,$Q239=Parametres!$G$3),K239,E239)</f>
        <v>1500.22</v>
      </c>
      <c r="Q239" s="154" t="str">
        <f t="shared" si="16"/>
        <v>6-Coût des ventes</v>
      </c>
      <c r="R239" s="153" t="str">
        <f t="shared" si="16"/>
        <v>4595</v>
      </c>
      <c r="S239" s="154">
        <f t="shared" si="16"/>
        <v>0</v>
      </c>
      <c r="T239" s="156">
        <f>+VLOOKUP($L239,Data_Validation!$A:$D,1,0)</f>
        <v>5595</v>
      </c>
      <c r="U239" s="156" t="str">
        <f>+VLOOKUP($L239,Data_Validation!$A:$D,3,0)</f>
        <v>Carrosserie</v>
      </c>
      <c r="V239" s="156" t="str">
        <f>+VLOOKUP($L239,Data_Validation!$A:$D,4,0)</f>
        <v>M/O Sous-traitement</v>
      </c>
      <c r="W239" s="156" t="str">
        <f>+VLOOKUP($L239,Data_Validation!$A:$E,5,0)</f>
        <v>$</v>
      </c>
      <c r="X239" s="156">
        <f>+VLOOKUP($L239,Data_Validation!$A:$F,6,0)</f>
        <v>0</v>
      </c>
    </row>
    <row r="240" spans="1:24" ht="15" hidden="1" customHeight="1">
      <c r="A240" s="1002" t="s">
        <v>2827</v>
      </c>
      <c r="B240" s="1145">
        <v>5701</v>
      </c>
      <c r="C240" s="1004">
        <v>0</v>
      </c>
      <c r="D240" s="1004">
        <v>28855.16</v>
      </c>
      <c r="E240" s="1004">
        <v>28855.16</v>
      </c>
      <c r="F240" s="1002" t="s">
        <v>424</v>
      </c>
      <c r="G240" s="1002" t="s">
        <v>2021</v>
      </c>
      <c r="H240" s="1003"/>
      <c r="I240" s="1023"/>
      <c r="J240" s="1003"/>
      <c r="K240" s="1023"/>
      <c r="L240" s="153">
        <f t="shared" si="0"/>
        <v>5701</v>
      </c>
      <c r="M240" s="154" t="str">
        <f t="shared" si="1"/>
        <v>C/V - PIECE/ACC B.R. CLIENT VW</v>
      </c>
      <c r="N240" s="155">
        <f>+IF(OR($Q240=Parametres!$G$2,$Q240=Parametres!$G$3),I240,C240)</f>
        <v>0</v>
      </c>
      <c r="O240" s="155">
        <f>+IF(OR($Q240=Parametres!$G$2,$Q240=Parametres!$G$3),J240,D240)</f>
        <v>28855.16</v>
      </c>
      <c r="P240" s="155">
        <f>+IF(OR($Q240=Parametres!$G$2,$Q240=Parametres!$G$3),K240,E240)</f>
        <v>28855.16</v>
      </c>
      <c r="Q240" s="154" t="str">
        <f t="shared" si="16"/>
        <v>6-Coût des ventes</v>
      </c>
      <c r="R240" s="153" t="str">
        <f t="shared" si="16"/>
        <v>4701</v>
      </c>
      <c r="S240" s="154">
        <f t="shared" si="16"/>
        <v>0</v>
      </c>
      <c r="T240" s="156">
        <f>+VLOOKUP($L240,Data_Validation!$A:$D,1,0)</f>
        <v>5701</v>
      </c>
      <c r="U240" s="156" t="str">
        <f>+VLOOKUP($L240,Data_Validation!$A:$D,3,0)</f>
        <v>Pièces</v>
      </c>
      <c r="V240" s="156" t="str">
        <f>+VLOOKUP($L240,Data_Validation!$A:$D,4,0)</f>
        <v>Pièces Ro Clients</v>
      </c>
      <c r="W240" s="156" t="str">
        <f>+VLOOKUP($L240,Data_Validation!$A:$E,5,0)</f>
        <v>$</v>
      </c>
      <c r="X240" s="156">
        <f>+VLOOKUP($L240,Data_Validation!$A:$F,6,0)</f>
        <v>0</v>
      </c>
    </row>
    <row r="241" spans="1:24" ht="15" hidden="1" customHeight="1">
      <c r="A241" s="1002" t="s">
        <v>2653</v>
      </c>
      <c r="B241" s="1145">
        <v>5702</v>
      </c>
      <c r="C241" s="1004">
        <v>0</v>
      </c>
      <c r="D241" s="1004">
        <v>163.65</v>
      </c>
      <c r="E241" s="1004">
        <v>163.65</v>
      </c>
      <c r="F241" s="1002" t="s">
        <v>424</v>
      </c>
      <c r="G241" s="1002" t="s">
        <v>2148</v>
      </c>
      <c r="H241" s="938"/>
      <c r="I241" s="937"/>
      <c r="J241" s="937"/>
      <c r="K241" s="937"/>
      <c r="L241" s="153">
        <f t="shared" si="0"/>
        <v>5702</v>
      </c>
      <c r="M241" s="154" t="str">
        <f t="shared" si="1"/>
        <v>C/V - SHOP SUPPLY VW</v>
      </c>
      <c r="N241" s="155">
        <f>+IF(OR($Q241=Parametres!$G$2,$Q241=Parametres!$G$3),I241,C241)</f>
        <v>0</v>
      </c>
      <c r="O241" s="155">
        <f>+IF(OR($Q241=Parametres!$G$2,$Q241=Parametres!$G$3),J241,D241)</f>
        <v>163.65</v>
      </c>
      <c r="P241" s="155">
        <f>+IF(OR($Q241=Parametres!$G$2,$Q241=Parametres!$G$3),K241,E241)</f>
        <v>163.65</v>
      </c>
      <c r="Q241" s="154" t="str">
        <f t="shared" si="16"/>
        <v>6-Coût des ventes</v>
      </c>
      <c r="R241" s="153" t="str">
        <f t="shared" si="16"/>
        <v>4702</v>
      </c>
      <c r="S241" s="154">
        <f t="shared" si="16"/>
        <v>0</v>
      </c>
      <c r="T241" s="156">
        <f>+VLOOKUP($L241,Data_Validation!$A:$D,1,0)</f>
        <v>5702</v>
      </c>
      <c r="U241" s="156" t="str">
        <f>+VLOOKUP($L241,Data_Validation!$A:$D,3,0)</f>
        <v>Service</v>
      </c>
      <c r="V241" s="156" t="str">
        <f>+VLOOKUP($L241,Data_Validation!$A:$D,4,0)</f>
        <v>M/O Client</v>
      </c>
      <c r="W241" s="156" t="str">
        <f>+VLOOKUP($L241,Data_Validation!$A:$E,5,0)</f>
        <v>$</v>
      </c>
      <c r="X241" s="156">
        <f>+VLOOKUP($L241,Data_Validation!$A:$F,6,0)</f>
        <v>0</v>
      </c>
    </row>
    <row r="242" spans="1:24" ht="15" hidden="1" customHeight="1">
      <c r="A242" s="1002" t="s">
        <v>2809</v>
      </c>
      <c r="B242" s="1145">
        <v>5703</v>
      </c>
      <c r="C242" s="1004">
        <v>0</v>
      </c>
      <c r="D242" s="1004">
        <v>84643.48</v>
      </c>
      <c r="E242" s="1004">
        <v>84643.48</v>
      </c>
      <c r="F242" s="1002" t="s">
        <v>424</v>
      </c>
      <c r="G242" s="1002" t="s">
        <v>2041</v>
      </c>
      <c r="H242" s="938"/>
      <c r="I242" s="937"/>
      <c r="J242" s="937"/>
      <c r="K242" s="937"/>
      <c r="L242" s="153">
        <f t="shared" si="0"/>
        <v>5703</v>
      </c>
      <c r="M242" s="154" t="str">
        <f t="shared" si="1"/>
        <v>C/V - PIECE/ACC B.R. GARANTIE VW</v>
      </c>
      <c r="N242" s="155">
        <f>+IF(OR($Q242=Parametres!$G$2,$Q242=Parametres!$G$3),I242,C242)</f>
        <v>0</v>
      </c>
      <c r="O242" s="155">
        <f>+IF(OR($Q242=Parametres!$G$2,$Q242=Parametres!$G$3),J242,D242)</f>
        <v>84643.48</v>
      </c>
      <c r="P242" s="155">
        <f>+IF(OR($Q242=Parametres!$G$2,$Q242=Parametres!$G$3),K242,E242)</f>
        <v>84643.48</v>
      </c>
      <c r="Q242" s="154" t="str">
        <f t="shared" ref="Q242:S257" si="17">+F242</f>
        <v>6-Coût des ventes</v>
      </c>
      <c r="R242" s="153" t="str">
        <f t="shared" si="17"/>
        <v>4703</v>
      </c>
      <c r="S242" s="154">
        <f t="shared" si="17"/>
        <v>0</v>
      </c>
      <c r="T242" s="156">
        <f>+VLOOKUP($L242,Data_Validation!$A:$D,1,0)</f>
        <v>5703</v>
      </c>
      <c r="U242" s="156" t="str">
        <f>+VLOOKUP($L242,Data_Validation!$A:$D,3,0)</f>
        <v>Pièces</v>
      </c>
      <c r="V242" s="156" t="str">
        <f>+VLOOKUP($L242,Data_Validation!$A:$D,4,0)</f>
        <v>P/A Garantie</v>
      </c>
      <c r="W242" s="156" t="str">
        <f>+VLOOKUP($L242,Data_Validation!$A:$E,5,0)</f>
        <v>$</v>
      </c>
      <c r="X242" s="156">
        <f>+VLOOKUP($L242,Data_Validation!$A:$F,6,0)</f>
        <v>0</v>
      </c>
    </row>
    <row r="243" spans="1:24" ht="15.75" hidden="1" customHeight="1">
      <c r="A243" s="1002" t="s">
        <v>2806</v>
      </c>
      <c r="B243" s="1145">
        <v>5705</v>
      </c>
      <c r="C243" s="1004">
        <v>0</v>
      </c>
      <c r="D243" s="1004">
        <v>13055.54</v>
      </c>
      <c r="E243" s="1004">
        <v>13055.54</v>
      </c>
      <c r="F243" s="1002" t="s">
        <v>424</v>
      </c>
      <c r="G243" s="1002" t="s">
        <v>2045</v>
      </c>
      <c r="H243" s="938"/>
      <c r="I243" s="937"/>
      <c r="J243" s="937"/>
      <c r="K243" s="937"/>
      <c r="L243" s="153">
        <f t="shared" si="0"/>
        <v>5705</v>
      </c>
      <c r="M243" s="154" t="str">
        <f t="shared" si="1"/>
        <v>C/V - PIECE/ACC B.R. INTERNE VW</v>
      </c>
      <c r="N243" s="155">
        <f>+IF(OR($Q243=Parametres!$G$2,$Q243=Parametres!$G$3),I243,C243)</f>
        <v>0</v>
      </c>
      <c r="O243" s="155">
        <f>+IF(OR($Q243=Parametres!$G$2,$Q243=Parametres!$G$3),J243,D243)</f>
        <v>13055.54</v>
      </c>
      <c r="P243" s="155">
        <f>+IF(OR($Q243=Parametres!$G$2,$Q243=Parametres!$G$3),K243,E243)</f>
        <v>13055.54</v>
      </c>
      <c r="Q243" s="154" t="str">
        <f t="shared" si="17"/>
        <v>6-Coût des ventes</v>
      </c>
      <c r="R243" s="153" t="str">
        <f t="shared" si="17"/>
        <v>4705</v>
      </c>
      <c r="S243" s="154">
        <f t="shared" si="17"/>
        <v>0</v>
      </c>
      <c r="T243" s="156">
        <f>+VLOOKUP($L243,Data_Validation!$A:$D,1,0)</f>
        <v>5705</v>
      </c>
      <c r="U243" s="156" t="str">
        <f>+VLOOKUP($L243,Data_Validation!$A:$D,3,0)</f>
        <v>Pièces</v>
      </c>
      <c r="V243" s="156" t="str">
        <f>+VLOOKUP($L243,Data_Validation!$A:$D,4,0)</f>
        <v>Ventes Internes</v>
      </c>
      <c r="W243" s="156" t="str">
        <f>+VLOOKUP($L243,Data_Validation!$A:$E,5,0)</f>
        <v>$</v>
      </c>
      <c r="X243" s="156">
        <f>+VLOOKUP($L243,Data_Validation!$A:$F,6,0)</f>
        <v>0</v>
      </c>
    </row>
    <row r="244" spans="1:24" ht="15" hidden="1" customHeight="1">
      <c r="A244" s="1002" t="s">
        <v>2653</v>
      </c>
      <c r="B244" s="1145">
        <v>5706</v>
      </c>
      <c r="C244" s="1004">
        <v>0</v>
      </c>
      <c r="D244" s="1004">
        <v>412.83</v>
      </c>
      <c r="E244" s="1004">
        <v>412.83</v>
      </c>
      <c r="F244" s="1002" t="s">
        <v>424</v>
      </c>
      <c r="G244" s="1002" t="s">
        <v>2166</v>
      </c>
      <c r="H244" s="938"/>
      <c r="I244" s="937"/>
      <c r="J244" s="937"/>
      <c r="K244" s="937"/>
      <c r="L244" s="153">
        <f t="shared" si="0"/>
        <v>5706</v>
      </c>
      <c r="M244" s="154" t="str">
        <f t="shared" si="1"/>
        <v>C/V - SHOP SUPPLY VW</v>
      </c>
      <c r="N244" s="155">
        <f>+IF(OR($Q244=Parametres!$G$2,$Q244=Parametres!$G$3),I244,C244)</f>
        <v>0</v>
      </c>
      <c r="O244" s="155">
        <f>+IF(OR($Q244=Parametres!$G$2,$Q244=Parametres!$G$3),J244,D244)</f>
        <v>412.83</v>
      </c>
      <c r="P244" s="155">
        <f>+IF(OR($Q244=Parametres!$G$2,$Q244=Parametres!$G$3),K244,E244)</f>
        <v>412.83</v>
      </c>
      <c r="Q244" s="154" t="str">
        <f t="shared" si="17"/>
        <v>6-Coût des ventes</v>
      </c>
      <c r="R244" s="153" t="str">
        <f t="shared" si="17"/>
        <v>4706</v>
      </c>
      <c r="S244" s="154">
        <f t="shared" si="17"/>
        <v>0</v>
      </c>
      <c r="T244" s="156">
        <f>+VLOOKUP($L244,Data_Validation!$A:$D,1,0)</f>
        <v>5706</v>
      </c>
      <c r="U244" s="156" t="str">
        <f>+VLOOKUP($L244,Data_Validation!$A:$D,3,0)</f>
        <v>Service</v>
      </c>
      <c r="V244" s="156" t="str">
        <f>+VLOOKUP($L244,Data_Validation!$A:$D,4,0)</f>
        <v>M/O Interne</v>
      </c>
      <c r="W244" s="156" t="str">
        <f>+VLOOKUP($L244,Data_Validation!$A:$E,5,0)</f>
        <v>$</v>
      </c>
      <c r="X244" s="156">
        <f>+VLOOKUP($L244,Data_Validation!$A:$F,6,0)</f>
        <v>0</v>
      </c>
    </row>
    <row r="245" spans="1:24" ht="15" hidden="1" customHeight="1">
      <c r="A245" s="1002" t="s">
        <v>2455</v>
      </c>
      <c r="B245" s="1145">
        <v>5711</v>
      </c>
      <c r="C245" s="1004">
        <v>0</v>
      </c>
      <c r="D245" s="1004">
        <v>2428.9299999999998</v>
      </c>
      <c r="E245" s="1004">
        <v>2428.9299999999998</v>
      </c>
      <c r="F245" s="1002" t="s">
        <v>424</v>
      </c>
      <c r="G245" s="1002" t="s">
        <v>2112</v>
      </c>
      <c r="H245" s="938"/>
      <c r="I245" s="937"/>
      <c r="J245" s="937"/>
      <c r="K245" s="937"/>
      <c r="L245" s="153">
        <f t="shared" si="0"/>
        <v>5711</v>
      </c>
      <c r="M245" s="154" t="str">
        <f t="shared" si="1"/>
        <v>C/V - AUTRE PIECE/ACC/CARR B.R. CLIENT</v>
      </c>
      <c r="N245" s="155">
        <f>+IF(OR($Q245=Parametres!$G$2,$Q245=Parametres!$G$3),I245,C245)</f>
        <v>0</v>
      </c>
      <c r="O245" s="155">
        <f>+IF(OR($Q245=Parametres!$G$2,$Q245=Parametres!$G$3),J245,D245)</f>
        <v>2428.9299999999998</v>
      </c>
      <c r="P245" s="155">
        <f>+IF(OR($Q245=Parametres!$G$2,$Q245=Parametres!$G$3),K245,E245)</f>
        <v>2428.9299999999998</v>
      </c>
      <c r="Q245" s="154" t="str">
        <f t="shared" si="17"/>
        <v>6-Coût des ventes</v>
      </c>
      <c r="R245" s="153" t="str">
        <f t="shared" si="17"/>
        <v>4711</v>
      </c>
      <c r="S245" s="154">
        <f t="shared" si="17"/>
        <v>0</v>
      </c>
      <c r="T245" s="156">
        <f>+VLOOKUP($L245,Data_Validation!$A:$D,1,0)</f>
        <v>5711</v>
      </c>
      <c r="U245" s="156" t="str">
        <f>+VLOOKUP($L245,Data_Validation!$A:$D,3,0)</f>
        <v>Pièces</v>
      </c>
      <c r="V245" s="156" t="str">
        <f>+VLOOKUP($L245,Data_Validation!$A:$D,4,0)</f>
        <v>Pièces Ro Clients</v>
      </c>
      <c r="W245" s="156" t="str">
        <f>+VLOOKUP($L245,Data_Validation!$A:$E,5,0)</f>
        <v>$</v>
      </c>
      <c r="X245" s="156">
        <f>+VLOOKUP($L245,Data_Validation!$A:$F,6,0)</f>
        <v>0</v>
      </c>
    </row>
    <row r="246" spans="1:24" ht="15" hidden="1" customHeight="1">
      <c r="A246" s="1002" t="s">
        <v>2749</v>
      </c>
      <c r="B246" s="1145">
        <v>5731</v>
      </c>
      <c r="C246" s="1004">
        <v>0</v>
      </c>
      <c r="D246" s="1004">
        <v>4209.3</v>
      </c>
      <c r="E246" s="1004">
        <v>4209.3</v>
      </c>
      <c r="F246" s="1002" t="s">
        <v>424</v>
      </c>
      <c r="G246" s="1002" t="s">
        <v>2105</v>
      </c>
      <c r="H246" s="938"/>
      <c r="I246" s="937"/>
      <c r="J246" s="937"/>
      <c r="K246" s="937"/>
      <c r="L246" s="153">
        <f t="shared" si="0"/>
        <v>5731</v>
      </c>
      <c r="M246" s="154" t="str">
        <f t="shared" si="1"/>
        <v>C/V - PIECES-BON REPAR.-PEINT/DEBOS</v>
      </c>
      <c r="N246" s="155">
        <f>+IF(OR($Q246=Parametres!$G$2,$Q246=Parametres!$G$3),I246,C246)</f>
        <v>0</v>
      </c>
      <c r="O246" s="155">
        <f>+IF(OR($Q246=Parametres!$G$2,$Q246=Parametres!$G$3),J246,D246)</f>
        <v>4209.3</v>
      </c>
      <c r="P246" s="155">
        <f>+IF(OR($Q246=Parametres!$G$2,$Q246=Parametres!$G$3),K246,E246)</f>
        <v>4209.3</v>
      </c>
      <c r="Q246" s="154" t="str">
        <f t="shared" si="17"/>
        <v>6-Coût des ventes</v>
      </c>
      <c r="R246" s="153" t="str">
        <f t="shared" si="17"/>
        <v>4731</v>
      </c>
      <c r="S246" s="154">
        <f t="shared" si="17"/>
        <v>0</v>
      </c>
      <c r="T246" s="156">
        <f>+VLOOKUP($L246,Data_Validation!$A:$D,1,0)</f>
        <v>5731</v>
      </c>
      <c r="U246" s="156" t="str">
        <f>+VLOOKUP($L246,Data_Validation!$A:$D,3,0)</f>
        <v>Pièces</v>
      </c>
      <c r="V246" s="156" t="str">
        <f>+VLOOKUP($L246,Data_Validation!$A:$D,4,0)</f>
        <v>Pièces Ro Carrosserie</v>
      </c>
      <c r="W246" s="156" t="str">
        <f>+VLOOKUP($L246,Data_Validation!$A:$E,5,0)</f>
        <v>$</v>
      </c>
      <c r="X246" s="156">
        <f>+VLOOKUP($L246,Data_Validation!$A:$F,6,0)</f>
        <v>0</v>
      </c>
    </row>
    <row r="247" spans="1:24" ht="15.75" hidden="1" customHeight="1">
      <c r="A247" s="1002" t="s">
        <v>2782</v>
      </c>
      <c r="B247" s="1145">
        <v>5733</v>
      </c>
      <c r="C247" s="1004">
        <v>0</v>
      </c>
      <c r="D247" s="1004">
        <v>39949.58</v>
      </c>
      <c r="E247" s="1004">
        <v>39949.58</v>
      </c>
      <c r="F247" s="1002" t="s">
        <v>424</v>
      </c>
      <c r="G247" s="1002" t="s">
        <v>2088</v>
      </c>
      <c r="H247" s="938"/>
      <c r="I247" s="937"/>
      <c r="J247" s="937"/>
      <c r="K247" s="937"/>
      <c r="L247" s="153">
        <f t="shared" si="0"/>
        <v>5733</v>
      </c>
      <c r="M247" s="154" t="str">
        <f t="shared" si="1"/>
        <v>C/V - P&amp;A B.T. GAR.CARR.VW</v>
      </c>
      <c r="N247" s="155">
        <f>+IF(OR($Q247=Parametres!$G$2,$Q247=Parametres!$G$3),I247,C247)</f>
        <v>0</v>
      </c>
      <c r="O247" s="155">
        <f>+IF(OR($Q247=Parametres!$G$2,$Q247=Parametres!$G$3),J247,D247)</f>
        <v>39949.58</v>
      </c>
      <c r="P247" s="155">
        <f>+IF(OR($Q247=Parametres!$G$2,$Q247=Parametres!$G$3),K247,E247)</f>
        <v>39949.58</v>
      </c>
      <c r="Q247" s="154" t="str">
        <f t="shared" si="17"/>
        <v>6-Coût des ventes</v>
      </c>
      <c r="R247" s="153" t="str">
        <f t="shared" si="17"/>
        <v>4733</v>
      </c>
      <c r="S247" s="154">
        <f t="shared" si="17"/>
        <v>0</v>
      </c>
      <c r="T247" s="156">
        <f>+VLOOKUP($L247,Data_Validation!$A:$D,1,0)</f>
        <v>5733</v>
      </c>
      <c r="U247" s="156" t="str">
        <f>+VLOOKUP($L247,Data_Validation!$A:$D,3,0)</f>
        <v>Pièces</v>
      </c>
      <c r="V247" s="156" t="str">
        <f>+VLOOKUP($L247,Data_Validation!$A:$D,4,0)</f>
        <v>Pièces Ro Carrosserie</v>
      </c>
      <c r="W247" s="156" t="str">
        <f>+VLOOKUP($L247,Data_Validation!$A:$E,5,0)</f>
        <v>$</v>
      </c>
      <c r="X247" s="156">
        <f>+VLOOKUP($L247,Data_Validation!$A:$F,6,0)</f>
        <v>0</v>
      </c>
    </row>
    <row r="248" spans="1:24" ht="15" hidden="1" customHeight="1">
      <c r="A248" s="1002" t="s">
        <v>2663</v>
      </c>
      <c r="B248" s="1145">
        <v>5735</v>
      </c>
      <c r="C248" s="1004">
        <v>0</v>
      </c>
      <c r="D248" s="1004">
        <v>17.28</v>
      </c>
      <c r="E248" s="1004">
        <v>17.28</v>
      </c>
      <c r="F248" s="1002" t="s">
        <v>424</v>
      </c>
      <c r="G248" s="1002" t="s">
        <v>2163</v>
      </c>
      <c r="H248" s="938"/>
      <c r="I248" s="937"/>
      <c r="J248" s="937"/>
      <c r="K248" s="937"/>
      <c r="L248" s="153">
        <f t="shared" si="0"/>
        <v>5735</v>
      </c>
      <c r="M248" s="154" t="str">
        <f t="shared" si="1"/>
        <v>C/V - P&amp;A B.T.INTERNE CARR.VW</v>
      </c>
      <c r="N248" s="155">
        <f>+IF(OR($Q248=Parametres!$G$2,$Q248=Parametres!$G$3),I248,C248)</f>
        <v>0</v>
      </c>
      <c r="O248" s="155">
        <f>+IF(OR($Q248=Parametres!$G$2,$Q248=Parametres!$G$3),J248,D248)</f>
        <v>17.28</v>
      </c>
      <c r="P248" s="155">
        <f>+IF(OR($Q248=Parametres!$G$2,$Q248=Parametres!$G$3),K248,E248)</f>
        <v>17.28</v>
      </c>
      <c r="Q248" s="154" t="str">
        <f t="shared" si="17"/>
        <v>6-Coût des ventes</v>
      </c>
      <c r="R248" s="153" t="str">
        <f t="shared" si="17"/>
        <v>4735</v>
      </c>
      <c r="S248" s="154">
        <f t="shared" si="17"/>
        <v>0</v>
      </c>
      <c r="T248" s="156">
        <f>+VLOOKUP($L248,Data_Validation!$A:$D,1,0)</f>
        <v>5735</v>
      </c>
      <c r="U248" s="156" t="str">
        <f>+VLOOKUP($L248,Data_Validation!$A:$D,3,0)</f>
        <v>Pièces</v>
      </c>
      <c r="V248" s="156" t="str">
        <f>+VLOOKUP($L248,Data_Validation!$A:$D,4,0)</f>
        <v>Pièces Ro Carrosserie</v>
      </c>
      <c r="W248" s="156" t="str">
        <f>+VLOOKUP($L248,Data_Validation!$A:$E,5,0)</f>
        <v>$</v>
      </c>
      <c r="X248" s="156">
        <f>+VLOOKUP($L248,Data_Validation!$A:$F,6,0)</f>
        <v>0</v>
      </c>
    </row>
    <row r="249" spans="1:24" ht="15" hidden="1" customHeight="1">
      <c r="A249" s="1002" t="s">
        <v>2789</v>
      </c>
      <c r="B249" s="1145">
        <v>5761</v>
      </c>
      <c r="C249" s="1004">
        <v>0</v>
      </c>
      <c r="D249" s="1004">
        <v>7075.3</v>
      </c>
      <c r="E249" s="1004">
        <v>7075.3</v>
      </c>
      <c r="F249" s="1002" t="s">
        <v>424</v>
      </c>
      <c r="G249" s="1002" t="s">
        <v>2080</v>
      </c>
      <c r="H249" s="938"/>
      <c r="I249" s="937"/>
      <c r="J249" s="937"/>
      <c r="K249" s="937"/>
      <c r="L249" s="153">
        <f t="shared" si="0"/>
        <v>5761</v>
      </c>
      <c r="M249" s="154" t="str">
        <f t="shared" si="1"/>
        <v>C/V - P&amp;A VW COMPTOIR - DETAIL</v>
      </c>
      <c r="N249" s="155">
        <f>+IF(OR($Q249=Parametres!$G$2,$Q249=Parametres!$G$3),I249,C249)</f>
        <v>0</v>
      </c>
      <c r="O249" s="155">
        <f>+IF(OR($Q249=Parametres!$G$2,$Q249=Parametres!$G$3),J249,D249)</f>
        <v>7075.3</v>
      </c>
      <c r="P249" s="155">
        <f>+IF(OR($Q249=Parametres!$G$2,$Q249=Parametres!$G$3),K249,E249)</f>
        <v>7075.3</v>
      </c>
      <c r="Q249" s="154" t="str">
        <f t="shared" si="17"/>
        <v>6-Coût des ventes</v>
      </c>
      <c r="R249" s="153" t="str">
        <f t="shared" si="17"/>
        <v>4761</v>
      </c>
      <c r="S249" s="154">
        <f t="shared" si="17"/>
        <v>0</v>
      </c>
      <c r="T249" s="156">
        <f>+VLOOKUP($L249,Data_Validation!$A:$D,1,0)</f>
        <v>5761</v>
      </c>
      <c r="U249" s="156" t="str">
        <f>+VLOOKUP($L249,Data_Validation!$A:$D,3,0)</f>
        <v>Pièces</v>
      </c>
      <c r="V249" s="156" t="str">
        <f>+VLOOKUP($L249,Data_Validation!$A:$D,4,0)</f>
        <v>Ventes Détails</v>
      </c>
      <c r="W249" s="156" t="str">
        <f>+VLOOKUP($L249,Data_Validation!$A:$E,5,0)</f>
        <v>$</v>
      </c>
      <c r="X249" s="156">
        <f>+VLOOKUP($L249,Data_Validation!$A:$F,6,0)</f>
        <v>0</v>
      </c>
    </row>
    <row r="250" spans="1:24" ht="15" hidden="1" customHeight="1">
      <c r="A250" s="1002" t="s">
        <v>2811</v>
      </c>
      <c r="B250" s="1145">
        <v>5763</v>
      </c>
      <c r="C250" s="1004">
        <v>0</v>
      </c>
      <c r="D250" s="1004">
        <v>36172.769999999997</v>
      </c>
      <c r="E250" s="1004">
        <v>36172.769999999997</v>
      </c>
      <c r="F250" s="1002" t="s">
        <v>424</v>
      </c>
      <c r="G250" s="1002" t="s">
        <v>2043</v>
      </c>
      <c r="H250" s="938"/>
      <c r="I250" s="937"/>
      <c r="J250" s="937"/>
      <c r="K250" s="937"/>
      <c r="L250" s="153">
        <f t="shared" si="0"/>
        <v>5763</v>
      </c>
      <c r="M250" s="154" t="str">
        <f t="shared" si="1"/>
        <v>C/V - P&amp;A VW COMPTOIR GROS - ECHANGE</v>
      </c>
      <c r="N250" s="155">
        <f>+IF(OR($Q250=Parametres!$G$2,$Q250=Parametres!$G$3),I250,C250)</f>
        <v>0</v>
      </c>
      <c r="O250" s="155">
        <f>+IF(OR($Q250=Parametres!$G$2,$Q250=Parametres!$G$3),J250,D250)</f>
        <v>36172.769999999997</v>
      </c>
      <c r="P250" s="155">
        <f>+IF(OR($Q250=Parametres!$G$2,$Q250=Parametres!$G$3),K250,E250)</f>
        <v>36172.769999999997</v>
      </c>
      <c r="Q250" s="154" t="str">
        <f t="shared" si="17"/>
        <v>6-Coût des ventes</v>
      </c>
      <c r="R250" s="153" t="str">
        <f t="shared" si="17"/>
        <v>4763</v>
      </c>
      <c r="S250" s="154">
        <f t="shared" si="17"/>
        <v>0</v>
      </c>
      <c r="T250" s="156">
        <f>+VLOOKUP($L250,Data_Validation!$A:$D,1,0)</f>
        <v>5763</v>
      </c>
      <c r="U250" s="156" t="str">
        <f>+VLOOKUP($L250,Data_Validation!$A:$D,3,0)</f>
        <v>Pièces</v>
      </c>
      <c r="V250" s="156" t="str">
        <f>+VLOOKUP($L250,Data_Validation!$A:$D,4,0)</f>
        <v>Ventes de Gros</v>
      </c>
      <c r="W250" s="156" t="str">
        <f>+VLOOKUP($L250,Data_Validation!$A:$E,5,0)</f>
        <v>$</v>
      </c>
      <c r="X250" s="156">
        <f>+VLOOKUP($L250,Data_Validation!$A:$F,6,0)</f>
        <v>0</v>
      </c>
    </row>
    <row r="251" spans="1:24" ht="15" hidden="1" customHeight="1">
      <c r="A251" s="1002" t="s">
        <v>2815</v>
      </c>
      <c r="B251" s="1145">
        <v>5781</v>
      </c>
      <c r="C251" s="1004">
        <v>0</v>
      </c>
      <c r="D251" s="1004">
        <v>11930.91</v>
      </c>
      <c r="E251" s="1004">
        <v>11930.91</v>
      </c>
      <c r="F251" s="1002" t="s">
        <v>424</v>
      </c>
      <c r="G251" s="1002" t="s">
        <v>2032</v>
      </c>
      <c r="H251" s="938"/>
      <c r="I251" s="937"/>
      <c r="J251" s="937"/>
      <c r="K251" s="937"/>
      <c r="L251" s="153">
        <f t="shared" si="0"/>
        <v>5781</v>
      </c>
      <c r="M251" s="154" t="str">
        <f t="shared" si="1"/>
        <v>COUT PNEUS</v>
      </c>
      <c r="N251" s="155">
        <f>+IF(OR($Q251=Parametres!$G$2,$Q251=Parametres!$G$3),I251,C251)</f>
        <v>0</v>
      </c>
      <c r="O251" s="155">
        <f>+IF(OR($Q251=Parametres!$G$2,$Q251=Parametres!$G$3),J251,D251)</f>
        <v>11930.91</v>
      </c>
      <c r="P251" s="155">
        <f>+IF(OR($Q251=Parametres!$G$2,$Q251=Parametres!$G$3),K251,E251)</f>
        <v>11930.91</v>
      </c>
      <c r="Q251" s="154" t="str">
        <f t="shared" si="17"/>
        <v>6-Coût des ventes</v>
      </c>
      <c r="R251" s="153" t="str">
        <f t="shared" si="17"/>
        <v>4781</v>
      </c>
      <c r="S251" s="154">
        <f t="shared" si="17"/>
        <v>0</v>
      </c>
      <c r="T251" s="156">
        <f>+VLOOKUP($L251,Data_Validation!$A:$D,1,0)</f>
        <v>5781</v>
      </c>
      <c r="U251" s="156" t="str">
        <f>+VLOOKUP($L251,Data_Validation!$A:$D,3,0)</f>
        <v>Pièces</v>
      </c>
      <c r="V251" s="156" t="str">
        <f>+VLOOKUP($L251,Data_Validation!$A:$D,4,0)</f>
        <v>Ventes Pneus</v>
      </c>
      <c r="W251" s="156" t="str">
        <f>+VLOOKUP($L251,Data_Validation!$A:$E,5,0)</f>
        <v>$</v>
      </c>
      <c r="X251" s="156">
        <f>+VLOOKUP($L251,Data_Validation!$A:$F,6,0)</f>
        <v>0</v>
      </c>
    </row>
    <row r="252" spans="1:24" ht="15.75" hidden="1" customHeight="1">
      <c r="A252" s="1002" t="s">
        <v>2132</v>
      </c>
      <c r="B252" s="1145">
        <v>5796</v>
      </c>
      <c r="C252" s="1004">
        <v>0</v>
      </c>
      <c r="D252" s="1004">
        <v>711.46</v>
      </c>
      <c r="E252" s="1004">
        <v>711.46</v>
      </c>
      <c r="F252" s="1002" t="s">
        <v>424</v>
      </c>
      <c r="G252" s="1002" t="s">
        <v>2134</v>
      </c>
      <c r="H252" s="938"/>
      <c r="I252" s="937"/>
      <c r="J252" s="937"/>
      <c r="K252" s="937"/>
      <c r="L252" s="153">
        <f t="shared" si="0"/>
        <v>5796</v>
      </c>
      <c r="M252" s="154" t="str">
        <f t="shared" si="1"/>
        <v>C/V - BONI / ESCPTE PI VW</v>
      </c>
      <c r="N252" s="155">
        <f>+IF(OR($Q252=Parametres!$G$2,$Q252=Parametres!$G$3),I252,C252)</f>
        <v>0</v>
      </c>
      <c r="O252" s="155">
        <f>+IF(OR($Q252=Parametres!$G$2,$Q252=Parametres!$G$3),J252,D252)</f>
        <v>711.46</v>
      </c>
      <c r="P252" s="155">
        <f>+IF(OR($Q252=Parametres!$G$2,$Q252=Parametres!$G$3),K252,E252)</f>
        <v>711.46</v>
      </c>
      <c r="Q252" s="154" t="str">
        <f t="shared" si="17"/>
        <v>6-Coût des ventes</v>
      </c>
      <c r="R252" s="153" t="str">
        <f t="shared" si="17"/>
        <v>5792</v>
      </c>
      <c r="S252" s="154">
        <f t="shared" si="17"/>
        <v>0</v>
      </c>
      <c r="T252" s="156">
        <f>+VLOOKUP($L252,Data_Validation!$A:$D,1,0)</f>
        <v>5796</v>
      </c>
      <c r="U252" s="156" t="str">
        <f>+VLOOKUP($L252,Data_Validation!$A:$D,3,0)</f>
        <v>Pièces</v>
      </c>
      <c r="V252" s="156" t="str">
        <f>+VLOOKUP($L252,Data_Validation!$A:$D,4,0)</f>
        <v>Escomptes</v>
      </c>
      <c r="W252" s="156" t="str">
        <f>+VLOOKUP($L252,Data_Validation!$A:$E,5,0)</f>
        <v>$</v>
      </c>
      <c r="X252" s="156">
        <f>+VLOOKUP($L252,Data_Validation!$A:$F,6,0)</f>
        <v>0</v>
      </c>
    </row>
    <row r="253" spans="1:24" ht="15" hidden="1" customHeight="1">
      <c r="A253" s="1002" t="s">
        <v>1523</v>
      </c>
      <c r="B253" s="1145">
        <v>6101</v>
      </c>
      <c r="C253" s="1004">
        <v>0</v>
      </c>
      <c r="D253" s="1004">
        <v>19537.41</v>
      </c>
      <c r="E253" s="1004">
        <v>19537.41</v>
      </c>
      <c r="F253" s="1002" t="s">
        <v>401</v>
      </c>
      <c r="G253" s="1002" t="s">
        <v>2776</v>
      </c>
      <c r="H253" s="938"/>
      <c r="I253" s="937"/>
      <c r="J253" s="937"/>
      <c r="K253" s="937"/>
      <c r="L253" s="153">
        <f t="shared" si="0"/>
        <v>6101</v>
      </c>
      <c r="M253" s="154" t="str">
        <f t="shared" si="1"/>
        <v>COMMISSION VENDEUR NEUFS</v>
      </c>
      <c r="N253" s="155">
        <f>+IF(OR($Q253=Parametres!$G$2,$Q253=Parametres!$G$3),I253,C253)</f>
        <v>0</v>
      </c>
      <c r="O253" s="155">
        <f>+IF(OR($Q253=Parametres!$G$2,$Q253=Parametres!$G$3),J253,D253)</f>
        <v>19537.41</v>
      </c>
      <c r="P253" s="155">
        <f>+IF(OR($Q253=Parametres!$G$2,$Q253=Parametres!$G$3),K253,E253)</f>
        <v>19537.41</v>
      </c>
      <c r="Q253" s="154" t="str">
        <f t="shared" si="17"/>
        <v>7-Dépenses</v>
      </c>
      <c r="R253" s="153" t="str">
        <f t="shared" si="17"/>
        <v>6101</v>
      </c>
      <c r="S253" s="154">
        <f t="shared" si="17"/>
        <v>0</v>
      </c>
      <c r="T253" s="156">
        <f>+VLOOKUP($L253,Data_Validation!$A:$D,1,0)</f>
        <v>6101</v>
      </c>
      <c r="U253" s="156" t="str">
        <f>+VLOOKUP($L253,Data_Validation!$A:$D,3,0)</f>
        <v>Véhicules neufs</v>
      </c>
      <c r="V253" s="156" t="str">
        <f>+VLOOKUP($L253,Data_Validation!$A:$D,4,0)</f>
        <v>Comm. vendeurs</v>
      </c>
      <c r="W253" s="156" t="str">
        <f>+VLOOKUP($L253,Data_Validation!$A:$E,5,0)</f>
        <v>$</v>
      </c>
      <c r="X253" s="156">
        <f>+VLOOKUP($L253,Data_Validation!$A:$F,6,0)</f>
        <v>0</v>
      </c>
    </row>
    <row r="254" spans="1:24" ht="15" hidden="1" customHeight="1">
      <c r="A254" s="1002" t="s">
        <v>1442</v>
      </c>
      <c r="B254" s="1145">
        <v>6102</v>
      </c>
      <c r="C254" s="1004">
        <v>0</v>
      </c>
      <c r="D254" s="1004">
        <v>4892.97</v>
      </c>
      <c r="E254" s="1004">
        <v>4892.97</v>
      </c>
      <c r="F254" s="1002" t="s">
        <v>401</v>
      </c>
      <c r="G254" s="1002" t="s">
        <v>2765</v>
      </c>
      <c r="H254" s="938"/>
      <c r="I254" s="937"/>
      <c r="J254" s="937"/>
      <c r="K254" s="937"/>
      <c r="L254" s="153">
        <f t="shared" si="0"/>
        <v>6102</v>
      </c>
      <c r="M254" s="154" t="str">
        <f t="shared" si="1"/>
        <v>RENUMERATION F &amp; I</v>
      </c>
      <c r="N254" s="155">
        <f>+IF(OR($Q254=Parametres!$G$2,$Q254=Parametres!$G$3),I254,C254)</f>
        <v>0</v>
      </c>
      <c r="O254" s="155">
        <f>+IF(OR($Q254=Parametres!$G$2,$Q254=Parametres!$G$3),J254,D254)</f>
        <v>4892.97</v>
      </c>
      <c r="P254" s="155">
        <f>+IF(OR($Q254=Parametres!$G$2,$Q254=Parametres!$G$3),K254,E254)</f>
        <v>4892.97</v>
      </c>
      <c r="Q254" s="154" t="str">
        <f t="shared" si="17"/>
        <v>7-Dépenses</v>
      </c>
      <c r="R254" s="153" t="str">
        <f t="shared" si="17"/>
        <v>6102</v>
      </c>
      <c r="S254" s="154">
        <f t="shared" si="17"/>
        <v>0</v>
      </c>
      <c r="T254" s="156">
        <f>+VLOOKUP($L254,Data_Validation!$A:$D,1,0)</f>
        <v>6102</v>
      </c>
      <c r="U254" s="156" t="str">
        <f>+VLOOKUP($L254,Data_Validation!$A:$D,3,0)</f>
        <v>Véhicules neufs</v>
      </c>
      <c r="V254" s="156" t="str">
        <f>+VLOOKUP($L254,Data_Validation!$A:$D,4,0)</f>
        <v>Comm. F&amp;I</v>
      </c>
      <c r="W254" s="156" t="str">
        <f>+VLOOKUP($L254,Data_Validation!$A:$E,5,0)</f>
        <v>$</v>
      </c>
      <c r="X254" s="156">
        <f>+VLOOKUP($L254,Data_Validation!$A:$F,6,0)</f>
        <v>0</v>
      </c>
    </row>
    <row r="255" spans="1:24" ht="15" hidden="1" customHeight="1">
      <c r="A255" s="1002" t="s">
        <v>399</v>
      </c>
      <c r="B255" s="1145">
        <v>6103</v>
      </c>
      <c r="C255" s="1004">
        <v>0</v>
      </c>
      <c r="D255" s="1004">
        <v>423.91</v>
      </c>
      <c r="E255" s="1004">
        <v>423.91</v>
      </c>
      <c r="F255" s="1002" t="s">
        <v>401</v>
      </c>
      <c r="G255" s="1002" t="s">
        <v>2701</v>
      </c>
      <c r="H255" s="938"/>
      <c r="I255" s="937"/>
      <c r="J255" s="937"/>
      <c r="K255" s="937"/>
      <c r="L255" s="153">
        <f t="shared" si="0"/>
        <v>6103</v>
      </c>
      <c r="M255" s="154" t="str">
        <f t="shared" si="1"/>
        <v>RELAT. A LA CLIENTELE &amp; AJUST.</v>
      </c>
      <c r="N255" s="155">
        <f>+IF(OR($Q255=Parametres!$G$2,$Q255=Parametres!$G$3),I255,C255)</f>
        <v>0</v>
      </c>
      <c r="O255" s="155">
        <f>+IF(OR($Q255=Parametres!$G$2,$Q255=Parametres!$G$3),J255,D255)</f>
        <v>423.91</v>
      </c>
      <c r="P255" s="155">
        <f>+IF(OR($Q255=Parametres!$G$2,$Q255=Parametres!$G$3),K255,E255)</f>
        <v>423.91</v>
      </c>
      <c r="Q255" s="154" t="str">
        <f t="shared" si="17"/>
        <v>7-Dépenses</v>
      </c>
      <c r="R255" s="153" t="str">
        <f t="shared" si="17"/>
        <v>6103</v>
      </c>
      <c r="S255" s="154">
        <f t="shared" si="17"/>
        <v>0</v>
      </c>
      <c r="T255" s="156">
        <f>+VLOOKUP($L255,Data_Validation!$A:$D,1,0)</f>
        <v>6103</v>
      </c>
      <c r="U255" s="156" t="str">
        <f>+VLOOKUP($L255,Data_Validation!$A:$D,3,0)</f>
        <v>Véhicules neufs</v>
      </c>
      <c r="V255" s="156" t="str">
        <f>+VLOOKUP($L255,Data_Validation!$A:$D,4,0)</f>
        <v>Service gratuit 1</v>
      </c>
      <c r="W255" s="156" t="str">
        <f>+VLOOKUP($L255,Data_Validation!$A:$E,5,0)</f>
        <v>$</v>
      </c>
      <c r="X255" s="156">
        <f>+VLOOKUP($L255,Data_Validation!$A:$F,6,0)</f>
        <v>0</v>
      </c>
    </row>
    <row r="256" spans="1:24" ht="15.75" hidden="1" customHeight="1">
      <c r="A256" s="1002" t="s">
        <v>2752</v>
      </c>
      <c r="B256" s="1145">
        <v>6106</v>
      </c>
      <c r="C256" s="1004">
        <v>0</v>
      </c>
      <c r="D256" s="1004">
        <v>169.95</v>
      </c>
      <c r="E256" s="1004">
        <v>169.95</v>
      </c>
      <c r="F256" s="1002" t="s">
        <v>401</v>
      </c>
      <c r="G256" s="1002" t="s">
        <v>2754</v>
      </c>
      <c r="H256" s="938"/>
      <c r="I256" s="937"/>
      <c r="J256" s="937"/>
      <c r="K256" s="937"/>
      <c r="L256" s="153">
        <f t="shared" si="0"/>
        <v>6106</v>
      </c>
      <c r="M256" s="154" t="str">
        <f t="shared" si="1"/>
        <v>ENTRETIEN DES STOCKS</v>
      </c>
      <c r="N256" s="155">
        <f>+IF(OR($Q256=Parametres!$G$2,$Q256=Parametres!$G$3),I256,C256)</f>
        <v>0</v>
      </c>
      <c r="O256" s="155">
        <f>+IF(OR($Q256=Parametres!$G$2,$Q256=Parametres!$G$3),J256,D256)</f>
        <v>169.95</v>
      </c>
      <c r="P256" s="155">
        <f>+IF(OR($Q256=Parametres!$G$2,$Q256=Parametres!$G$3),K256,E256)</f>
        <v>169.95</v>
      </c>
      <c r="Q256" s="154" t="str">
        <f t="shared" si="17"/>
        <v>7-Dépenses</v>
      </c>
      <c r="R256" s="153" t="str">
        <f t="shared" si="17"/>
        <v>6106</v>
      </c>
      <c r="S256" s="154">
        <f t="shared" si="17"/>
        <v>0</v>
      </c>
      <c r="T256" s="156">
        <f>+VLOOKUP($L256,Data_Validation!$A:$D,1,0)</f>
        <v>6106</v>
      </c>
      <c r="U256" s="156" t="str">
        <f>+VLOOKUP($L256,Data_Validation!$A:$D,3,0)</f>
        <v>Véhicules neufs</v>
      </c>
      <c r="V256" s="156" t="str">
        <f>+VLOOKUP($L256,Data_Validation!$A:$D,4,0)</f>
        <v>Entretien stock</v>
      </c>
      <c r="W256" s="156" t="str">
        <f>+VLOOKUP($L256,Data_Validation!$A:$E,5,0)</f>
        <v>$</v>
      </c>
      <c r="X256" s="156">
        <f>+VLOOKUP($L256,Data_Validation!$A:$F,6,0)</f>
        <v>0</v>
      </c>
    </row>
    <row r="257" spans="1:24" ht="15" hidden="1" customHeight="1">
      <c r="A257" s="1002" t="s">
        <v>938</v>
      </c>
      <c r="B257" s="1145">
        <v>6107</v>
      </c>
      <c r="C257" s="1004">
        <v>0</v>
      </c>
      <c r="D257" s="1004">
        <v>11535.44</v>
      </c>
      <c r="E257" s="1004">
        <v>11535.44</v>
      </c>
      <c r="F257" s="1002" t="s">
        <v>401</v>
      </c>
      <c r="G257" s="1002" t="s">
        <v>2607</v>
      </c>
      <c r="H257" s="938"/>
      <c r="I257" s="937"/>
      <c r="J257" s="937"/>
      <c r="K257" s="937"/>
      <c r="L257" s="153">
        <f t="shared" ref="L257:L511" si="18">+B257</f>
        <v>6107</v>
      </c>
      <c r="M257" s="154" t="str">
        <f t="shared" ref="M257:M511" si="19">+A257</f>
        <v>INTERET-PLAN DE FINANCEMENT</v>
      </c>
      <c r="N257" s="155">
        <f>+IF(OR($Q257=Parametres!$G$2,$Q257=Parametres!$G$3),I257,C257)</f>
        <v>0</v>
      </c>
      <c r="O257" s="155">
        <f>+IF(OR($Q257=Parametres!$G$2,$Q257=Parametres!$G$3),J257,D257)</f>
        <v>11535.44</v>
      </c>
      <c r="P257" s="155">
        <f>+IF(OR($Q257=Parametres!$G$2,$Q257=Parametres!$G$3),K257,E257)</f>
        <v>11535.44</v>
      </c>
      <c r="Q257" s="154" t="str">
        <f t="shared" si="17"/>
        <v>7-Dépenses</v>
      </c>
      <c r="R257" s="153" t="str">
        <f t="shared" si="17"/>
        <v>6107</v>
      </c>
      <c r="S257" s="154">
        <f t="shared" si="17"/>
        <v>0</v>
      </c>
      <c r="T257" s="156">
        <f>+VLOOKUP($L257,Data_Validation!$A:$D,1,0)</f>
        <v>6107</v>
      </c>
      <c r="U257" s="156" t="str">
        <f>+VLOOKUP($L257,Data_Validation!$A:$D,3,0)</f>
        <v>Véhicules neufs</v>
      </c>
      <c r="V257" s="156" t="str">
        <f>+VLOOKUP($L257,Data_Validation!$A:$D,4,0)</f>
        <v>Intérêt de gros</v>
      </c>
      <c r="W257" s="156" t="str">
        <f>+VLOOKUP($L257,Data_Validation!$A:$E,5,0)</f>
        <v>$</v>
      </c>
      <c r="X257" s="156">
        <f>+VLOOKUP($L257,Data_Validation!$A:$F,6,0)</f>
        <v>0</v>
      </c>
    </row>
    <row r="258" spans="1:24" ht="15" hidden="1" customHeight="1">
      <c r="A258" s="1002" t="s">
        <v>1407</v>
      </c>
      <c r="B258" s="1145">
        <v>6108</v>
      </c>
      <c r="C258" s="1004">
        <v>0</v>
      </c>
      <c r="D258" s="1004">
        <v>4798.3</v>
      </c>
      <c r="E258" s="1004">
        <v>4798.3</v>
      </c>
      <c r="F258" s="1002" t="s">
        <v>401</v>
      </c>
      <c r="G258" s="1002" t="s">
        <v>2691</v>
      </c>
      <c r="H258" s="938"/>
      <c r="I258" s="1118"/>
      <c r="J258" s="938"/>
      <c r="K258" s="1118"/>
      <c r="L258" s="153">
        <f t="shared" si="18"/>
        <v>6108</v>
      </c>
      <c r="M258" s="154" t="str">
        <f t="shared" si="19"/>
        <v>FRAIS DE LIVRAISON</v>
      </c>
      <c r="N258" s="155">
        <f>+IF(OR($Q258=Parametres!$G$2,$Q258=Parametres!$G$3),I258,C258)</f>
        <v>0</v>
      </c>
      <c r="O258" s="155">
        <f>+IF(OR($Q258=Parametres!$G$2,$Q258=Parametres!$G$3),J258,D258)</f>
        <v>4798.3</v>
      </c>
      <c r="P258" s="155">
        <f>+IF(OR($Q258=Parametres!$G$2,$Q258=Parametres!$G$3),K258,E258)</f>
        <v>4798.3</v>
      </c>
      <c r="Q258" s="154" t="str">
        <f t="shared" ref="Q258:S273" si="20">+F258</f>
        <v>7-Dépenses</v>
      </c>
      <c r="R258" s="153" t="str">
        <f t="shared" si="20"/>
        <v>6108</v>
      </c>
      <c r="S258" s="154">
        <f t="shared" si="20"/>
        <v>0</v>
      </c>
      <c r="T258" s="156">
        <f>+VLOOKUP($L258,Data_Validation!$A:$D,1,0)</f>
        <v>6108</v>
      </c>
      <c r="U258" s="156" t="str">
        <f>+VLOOKUP($L258,Data_Validation!$A:$D,3,0)</f>
        <v>Véhicules neufs</v>
      </c>
      <c r="V258" s="156" t="str">
        <f>+VLOOKUP($L258,Data_Validation!$A:$D,4,0)</f>
        <v>Frais de livraison</v>
      </c>
      <c r="W258" s="156" t="str">
        <f>+VLOOKUP($L258,Data_Validation!$A:$E,5,0)</f>
        <v>$</v>
      </c>
      <c r="X258" s="156">
        <f>+VLOOKUP($L258,Data_Validation!$A:$F,6,0)</f>
        <v>0</v>
      </c>
    </row>
    <row r="259" spans="1:24" ht="15" hidden="1" customHeight="1">
      <c r="A259" s="1002" t="s">
        <v>1374</v>
      </c>
      <c r="B259" s="1145">
        <v>6114</v>
      </c>
      <c r="C259" s="1004">
        <v>0</v>
      </c>
      <c r="D259" s="1004">
        <v>9580.1</v>
      </c>
      <c r="E259" s="1004">
        <v>9580.1</v>
      </c>
      <c r="F259" s="1002" t="s">
        <v>401</v>
      </c>
      <c r="G259" s="1002" t="s">
        <v>2110</v>
      </c>
      <c r="H259" s="938"/>
      <c r="I259" s="1118"/>
      <c r="J259" s="938"/>
      <c r="K259" s="1118"/>
      <c r="L259" s="153">
        <f t="shared" si="18"/>
        <v>6114</v>
      </c>
      <c r="M259" s="154" t="str">
        <f t="shared" si="19"/>
        <v>PUBLICITE</v>
      </c>
      <c r="N259" s="155">
        <f>+IF(OR($Q259=Parametres!$G$2,$Q259=Parametres!$G$3),I259,C259)</f>
        <v>0</v>
      </c>
      <c r="O259" s="155">
        <f>+IF(OR($Q259=Parametres!$G$2,$Q259=Parametres!$G$3),J259,D259)</f>
        <v>9580.1</v>
      </c>
      <c r="P259" s="155">
        <f>+IF(OR($Q259=Parametres!$G$2,$Q259=Parametres!$G$3),K259,E259)</f>
        <v>9580.1</v>
      </c>
      <c r="Q259" s="154" t="str">
        <f t="shared" si="20"/>
        <v>7-Dépenses</v>
      </c>
      <c r="R259" s="153" t="str">
        <f t="shared" si="20"/>
        <v>6114</v>
      </c>
      <c r="S259" s="154">
        <f t="shared" si="20"/>
        <v>0</v>
      </c>
      <c r="T259" s="156">
        <f>+VLOOKUP($L259,Data_Validation!$A:$D,1,0)</f>
        <v>6114</v>
      </c>
      <c r="U259" s="156" t="str">
        <f>+VLOOKUP($L259,Data_Validation!$A:$D,3,0)</f>
        <v>Véhicules neufs</v>
      </c>
      <c r="V259" s="156" t="str">
        <f>+VLOOKUP($L259,Data_Validation!$A:$D,4,0)</f>
        <v>Publicité 1</v>
      </c>
      <c r="W259" s="156" t="str">
        <f>+VLOOKUP($L259,Data_Validation!$A:$E,5,0)</f>
        <v>$</v>
      </c>
      <c r="X259" s="156">
        <f>+VLOOKUP($L259,Data_Validation!$A:$F,6,0)</f>
        <v>0</v>
      </c>
    </row>
    <row r="260" spans="1:24" ht="15" hidden="1" customHeight="1">
      <c r="A260" s="1002" t="s">
        <v>2108</v>
      </c>
      <c r="B260" s="1145">
        <v>6115</v>
      </c>
      <c r="C260" s="1004">
        <v>0</v>
      </c>
      <c r="D260" s="1004">
        <v>-2200</v>
      </c>
      <c r="E260" s="1004">
        <v>-2200</v>
      </c>
      <c r="F260" s="1002" t="s">
        <v>401</v>
      </c>
      <c r="G260" s="1002" t="s">
        <v>2110</v>
      </c>
      <c r="H260" s="938"/>
      <c r="I260" s="938"/>
      <c r="J260" s="938"/>
      <c r="K260" s="938"/>
      <c r="L260" s="153">
        <f t="shared" si="18"/>
        <v>6115</v>
      </c>
      <c r="M260" s="154" t="str">
        <f t="shared" si="19"/>
        <v>CREDIT PUBLICITE NEUF</v>
      </c>
      <c r="N260" s="155">
        <f>+IF(OR($Q260=Parametres!$G$2,$Q260=Parametres!$G$3),I260,C260)</f>
        <v>0</v>
      </c>
      <c r="O260" s="155">
        <f>+IF(OR($Q260=Parametres!$G$2,$Q260=Parametres!$G$3),J260,D260)</f>
        <v>-2200</v>
      </c>
      <c r="P260" s="155">
        <f>+IF(OR($Q260=Parametres!$G$2,$Q260=Parametres!$G$3),K260,E260)</f>
        <v>-2200</v>
      </c>
      <c r="Q260" s="154" t="str">
        <f t="shared" si="20"/>
        <v>7-Dépenses</v>
      </c>
      <c r="R260" s="153" t="str">
        <f t="shared" si="20"/>
        <v>6114</v>
      </c>
      <c r="S260" s="154">
        <f t="shared" si="20"/>
        <v>0</v>
      </c>
      <c r="T260" s="156">
        <f>+VLOOKUP($L260,Data_Validation!$A:$D,1,0)</f>
        <v>6115</v>
      </c>
      <c r="U260" s="156" t="str">
        <f>+VLOOKUP($L260,Data_Validation!$A:$D,3,0)</f>
        <v>Véhicules neufs</v>
      </c>
      <c r="V260" s="156" t="str">
        <f>+VLOOKUP($L260,Data_Validation!$A:$D,4,0)</f>
        <v>Publicité 1</v>
      </c>
      <c r="W260" s="156" t="str">
        <f>+VLOOKUP($L260,Data_Validation!$A:$E,5,0)</f>
        <v>$</v>
      </c>
      <c r="X260" s="156">
        <f>+VLOOKUP($L260,Data_Validation!$A:$F,6,0)</f>
        <v>0</v>
      </c>
    </row>
    <row r="261" spans="1:24" ht="15" hidden="1" customHeight="1">
      <c r="A261" s="1002" t="s">
        <v>1259</v>
      </c>
      <c r="B261" s="1145">
        <v>6121</v>
      </c>
      <c r="C261" s="1004">
        <v>0</v>
      </c>
      <c r="D261" s="1004">
        <v>933.33</v>
      </c>
      <c r="E261" s="1004">
        <v>933.33</v>
      </c>
      <c r="F261" s="1002" t="s">
        <v>401</v>
      </c>
      <c r="G261" s="1002" t="s">
        <v>2643</v>
      </c>
      <c r="H261" s="938"/>
      <c r="I261" s="1118"/>
      <c r="J261" s="938"/>
      <c r="K261" s="1118"/>
      <c r="L261" s="153">
        <f t="shared" si="18"/>
        <v>6121</v>
      </c>
      <c r="M261" s="154" t="str">
        <f t="shared" si="19"/>
        <v>SALAIRES - PROPRIETAIRES</v>
      </c>
      <c r="N261" s="155">
        <f>+IF(OR($Q261=Parametres!$G$2,$Q261=Parametres!$G$3),I261,C261)</f>
        <v>0</v>
      </c>
      <c r="O261" s="155">
        <f>+IF(OR($Q261=Parametres!$G$2,$Q261=Parametres!$G$3),J261,D261)</f>
        <v>933.33</v>
      </c>
      <c r="P261" s="155">
        <f>+IF(OR($Q261=Parametres!$G$2,$Q261=Parametres!$G$3),K261,E261)</f>
        <v>933.33</v>
      </c>
      <c r="Q261" s="154" t="str">
        <f t="shared" si="20"/>
        <v>7-Dépenses</v>
      </c>
      <c r="R261" s="153" t="str">
        <f t="shared" si="20"/>
        <v>6121</v>
      </c>
      <c r="S261" s="154">
        <f t="shared" si="20"/>
        <v>0</v>
      </c>
      <c r="T261" s="156">
        <f>+VLOOKUP($L261,Data_Validation!$A:$D,1,0)</f>
        <v>6121</v>
      </c>
      <c r="U261" s="156" t="str">
        <f>+VLOOKUP($L261,Data_Validation!$A:$D,3,0)</f>
        <v>Véhicules neufs</v>
      </c>
      <c r="V261" s="156" t="str">
        <f>+VLOOKUP($L261,Data_Validation!$A:$D,4,0)</f>
        <v>Salaires propriétaire</v>
      </c>
      <c r="W261" s="156" t="str">
        <f>+VLOOKUP($L261,Data_Validation!$A:$E,5,0)</f>
        <v>$</v>
      </c>
      <c r="X261" s="156">
        <f>+VLOOKUP($L261,Data_Validation!$A:$F,6,0)</f>
        <v>0</v>
      </c>
    </row>
    <row r="262" spans="1:24" ht="15.75" hidden="1" customHeight="1">
      <c r="A262" s="1002" t="s">
        <v>2619</v>
      </c>
      <c r="B262" s="1145">
        <v>6122</v>
      </c>
      <c r="C262" s="1004">
        <v>0</v>
      </c>
      <c r="D262" s="1004">
        <v>6384.14</v>
      </c>
      <c r="E262" s="1004">
        <v>6384.14</v>
      </c>
      <c r="F262" s="1002" t="s">
        <v>401</v>
      </c>
      <c r="G262" s="1002" t="s">
        <v>2621</v>
      </c>
      <c r="H262" s="938"/>
      <c r="I262" s="1118"/>
      <c r="J262" s="938"/>
      <c r="K262" s="1118"/>
      <c r="L262" s="153">
        <f t="shared" si="18"/>
        <v>6122</v>
      </c>
      <c r="M262" s="154" t="str">
        <f t="shared" si="19"/>
        <v>SAL SUPERVISION / GERANT</v>
      </c>
      <c r="N262" s="155">
        <f>+IF(OR($Q262=Parametres!$G$2,$Q262=Parametres!$G$3),I262,C262)</f>
        <v>0</v>
      </c>
      <c r="O262" s="155">
        <f>+IF(OR($Q262=Parametres!$G$2,$Q262=Parametres!$G$3),J262,D262)</f>
        <v>6384.14</v>
      </c>
      <c r="P262" s="155">
        <f>+IF(OR($Q262=Parametres!$G$2,$Q262=Parametres!$G$3),K262,E262)</f>
        <v>6384.14</v>
      </c>
      <c r="Q262" s="154" t="str">
        <f t="shared" si="20"/>
        <v>7-Dépenses</v>
      </c>
      <c r="R262" s="153" t="str">
        <f t="shared" si="20"/>
        <v>6122</v>
      </c>
      <c r="S262" s="154">
        <f t="shared" si="20"/>
        <v>0</v>
      </c>
      <c r="T262" s="156">
        <f>+VLOOKUP($L262,Data_Validation!$A:$D,1,0)</f>
        <v>6122</v>
      </c>
      <c r="U262" s="156" t="str">
        <f>+VLOOKUP($L262,Data_Validation!$A:$D,3,0)</f>
        <v>Véhicules neufs</v>
      </c>
      <c r="V262" s="156" t="str">
        <f>+VLOOKUP($L262,Data_Validation!$A:$D,4,0)</f>
        <v>Salaires cadres</v>
      </c>
      <c r="W262" s="156" t="str">
        <f>+VLOOKUP($L262,Data_Validation!$A:$E,5,0)</f>
        <v>$</v>
      </c>
      <c r="X262" s="156">
        <f>+VLOOKUP($L262,Data_Validation!$A:$F,6,0)</f>
        <v>0</v>
      </c>
    </row>
    <row r="263" spans="1:24" ht="15" hidden="1" customHeight="1">
      <c r="A263" s="1002" t="s">
        <v>1342</v>
      </c>
      <c r="B263" s="1145">
        <v>6123</v>
      </c>
      <c r="C263" s="1004">
        <v>0</v>
      </c>
      <c r="D263" s="1004">
        <v>5390.92</v>
      </c>
      <c r="E263" s="1004">
        <v>5390.92</v>
      </c>
      <c r="F263" s="1002" t="s">
        <v>401</v>
      </c>
      <c r="G263" s="1002" t="s">
        <v>2674</v>
      </c>
      <c r="H263" s="938"/>
      <c r="I263" s="938"/>
      <c r="J263" s="938"/>
      <c r="K263" s="938"/>
      <c r="L263" s="153">
        <f t="shared" si="18"/>
        <v>6123</v>
      </c>
      <c r="M263" s="154" t="str">
        <f t="shared" si="19"/>
        <v>SAL. &amp; RENUM. - CLERICAL</v>
      </c>
      <c r="N263" s="155">
        <f>+IF(OR($Q263=Parametres!$G$2,$Q263=Parametres!$G$3),I263,C263)</f>
        <v>0</v>
      </c>
      <c r="O263" s="155">
        <f>+IF(OR($Q263=Parametres!$G$2,$Q263=Parametres!$G$3),J263,D263)</f>
        <v>5390.92</v>
      </c>
      <c r="P263" s="155">
        <f>+IF(OR($Q263=Parametres!$G$2,$Q263=Parametres!$G$3),K263,E263)</f>
        <v>5390.92</v>
      </c>
      <c r="Q263" s="154" t="str">
        <f t="shared" si="20"/>
        <v>7-Dépenses</v>
      </c>
      <c r="R263" s="153" t="str">
        <f t="shared" si="20"/>
        <v>6123</v>
      </c>
      <c r="S263" s="154">
        <f t="shared" si="20"/>
        <v>0</v>
      </c>
      <c r="T263" s="156">
        <f>+VLOOKUP($L263,Data_Validation!$A:$D,1,0)</f>
        <v>6123</v>
      </c>
      <c r="U263" s="156" t="str">
        <f>+VLOOKUP($L263,Data_Validation!$A:$D,3,0)</f>
        <v>Véhicules neufs</v>
      </c>
      <c r="V263" s="156" t="str">
        <f>+VLOOKUP($L263,Data_Validation!$A:$D,4,0)</f>
        <v>Salaires commis</v>
      </c>
      <c r="W263" s="156" t="str">
        <f>+VLOOKUP($L263,Data_Validation!$A:$E,5,0)</f>
        <v>$</v>
      </c>
      <c r="X263" s="156">
        <f>+VLOOKUP($L263,Data_Validation!$A:$F,6,0)</f>
        <v>0</v>
      </c>
    </row>
    <row r="264" spans="1:24" ht="15" hidden="1" customHeight="1">
      <c r="A264" s="1002" t="s">
        <v>1249</v>
      </c>
      <c r="B264" s="1145">
        <v>6124</v>
      </c>
      <c r="C264" s="1004">
        <v>0</v>
      </c>
      <c r="D264" s="1004">
        <v>4197.1099999999997</v>
      </c>
      <c r="E264" s="1004">
        <v>4197.1099999999997</v>
      </c>
      <c r="F264" s="1002" t="s">
        <v>401</v>
      </c>
      <c r="G264" s="1002" t="s">
        <v>2730</v>
      </c>
      <c r="H264" s="938"/>
      <c r="I264" s="1118"/>
      <c r="J264" s="938"/>
      <c r="K264" s="1118"/>
      <c r="L264" s="153">
        <f t="shared" si="18"/>
        <v>6124</v>
      </c>
      <c r="M264" s="154" t="str">
        <f t="shared" si="19"/>
        <v>SALAIRES &amp; RENUM. - AUTRES</v>
      </c>
      <c r="N264" s="155">
        <f>+IF(OR($Q264=Parametres!$G$2,$Q264=Parametres!$G$3),I264,C264)</f>
        <v>0</v>
      </c>
      <c r="O264" s="155">
        <f>+IF(OR($Q264=Parametres!$G$2,$Q264=Parametres!$G$3),J264,D264)</f>
        <v>4197.1099999999997</v>
      </c>
      <c r="P264" s="155">
        <f>+IF(OR($Q264=Parametres!$G$2,$Q264=Parametres!$G$3),K264,E264)</f>
        <v>4197.1099999999997</v>
      </c>
      <c r="Q264" s="154" t="str">
        <f t="shared" si="20"/>
        <v>7-Dépenses</v>
      </c>
      <c r="R264" s="153" t="str">
        <f t="shared" si="20"/>
        <v>6124</v>
      </c>
      <c r="S264" s="154">
        <f t="shared" si="20"/>
        <v>0</v>
      </c>
      <c r="T264" s="156">
        <f>+VLOOKUP($L264,Data_Validation!$A:$D,1,0)</f>
        <v>6124</v>
      </c>
      <c r="U264" s="156" t="str">
        <f>+VLOOKUP($L264,Data_Validation!$A:$D,3,0)</f>
        <v>Véhicules neufs</v>
      </c>
      <c r="V264" s="156" t="str">
        <f>+VLOOKUP($L264,Data_Validation!$A:$D,4,0)</f>
        <v>Salaires autres</v>
      </c>
      <c r="W264" s="156" t="str">
        <f>+VLOOKUP($L264,Data_Validation!$A:$E,5,0)</f>
        <v>$</v>
      </c>
      <c r="X264" s="156">
        <f>+VLOOKUP($L264,Data_Validation!$A:$F,6,0)</f>
        <v>0</v>
      </c>
    </row>
    <row r="265" spans="1:24" ht="15" hidden="1" customHeight="1">
      <c r="A265" s="1002" t="s">
        <v>1445</v>
      </c>
      <c r="B265" s="1145">
        <v>6129</v>
      </c>
      <c r="C265" s="1004">
        <v>0</v>
      </c>
      <c r="D265" s="1004">
        <v>7394.06</v>
      </c>
      <c r="E265" s="1004">
        <v>7394.06</v>
      </c>
      <c r="F265" s="1002" t="s">
        <v>401</v>
      </c>
      <c r="G265" s="1002" t="s">
        <v>2636</v>
      </c>
      <c r="H265" s="938"/>
      <c r="I265" s="938"/>
      <c r="J265" s="938"/>
      <c r="K265" s="938"/>
      <c r="L265" s="153">
        <f t="shared" si="18"/>
        <v>6129</v>
      </c>
      <c r="M265" s="154" t="str">
        <f t="shared" si="19"/>
        <v>ABS., VACANCE &amp; SAL. JOURS FER</v>
      </c>
      <c r="N265" s="155">
        <f>+IF(OR($Q265=Parametres!$G$2,$Q265=Parametres!$G$3),I265,C265)</f>
        <v>0</v>
      </c>
      <c r="O265" s="155">
        <f>+IF(OR($Q265=Parametres!$G$2,$Q265=Parametres!$G$3),J265,D265)</f>
        <v>7394.06</v>
      </c>
      <c r="P265" s="155">
        <f>+IF(OR($Q265=Parametres!$G$2,$Q265=Parametres!$G$3),K265,E265)</f>
        <v>7394.06</v>
      </c>
      <c r="Q265" s="154" t="str">
        <f t="shared" si="20"/>
        <v>7-Dépenses</v>
      </c>
      <c r="R265" s="153" t="str">
        <f t="shared" si="20"/>
        <v>6129</v>
      </c>
      <c r="S265" s="154">
        <f t="shared" si="20"/>
        <v>0</v>
      </c>
      <c r="T265" s="156">
        <f>+VLOOKUP($L265,Data_Validation!$A:$D,1,0)</f>
        <v>6129</v>
      </c>
      <c r="U265" s="156" t="str">
        <f>+VLOOKUP($L265,Data_Validation!$A:$D,3,0)</f>
        <v>Véhicules neufs</v>
      </c>
      <c r="V265" s="156" t="str">
        <f>+VLOOKUP($L265,Data_Validation!$A:$D,4,0)</f>
        <v>Salaires en absences</v>
      </c>
      <c r="W265" s="156" t="str">
        <f>+VLOOKUP($L265,Data_Validation!$A:$E,5,0)</f>
        <v>$</v>
      </c>
      <c r="X265" s="156">
        <f>+VLOOKUP($L265,Data_Validation!$A:$F,6,0)</f>
        <v>0</v>
      </c>
    </row>
    <row r="266" spans="1:24" ht="15" hidden="1" customHeight="1">
      <c r="A266" s="1002" t="s">
        <v>1283</v>
      </c>
      <c r="B266" s="1145">
        <v>6132</v>
      </c>
      <c r="C266" s="1004">
        <v>0</v>
      </c>
      <c r="D266" s="1004">
        <v>14260.56</v>
      </c>
      <c r="E266" s="1004">
        <v>14260.56</v>
      </c>
      <c r="F266" s="1002" t="s">
        <v>401</v>
      </c>
      <c r="G266" s="1002" t="s">
        <v>2680</v>
      </c>
      <c r="H266" s="938"/>
      <c r="I266" s="1118"/>
      <c r="J266" s="938"/>
      <c r="K266" s="1118"/>
      <c r="L266" s="153">
        <f t="shared" si="18"/>
        <v>6132</v>
      </c>
      <c r="M266" s="154" t="str">
        <f t="shared" si="19"/>
        <v>RRQ RAMQ AC</v>
      </c>
      <c r="N266" s="155">
        <f>+IF(OR($Q266=Parametres!$G$2,$Q266=Parametres!$G$3),I266,C266)</f>
        <v>0</v>
      </c>
      <c r="O266" s="155">
        <f>+IF(OR($Q266=Parametres!$G$2,$Q266=Parametres!$G$3),J266,D266)</f>
        <v>14260.56</v>
      </c>
      <c r="P266" s="155">
        <f>+IF(OR($Q266=Parametres!$G$2,$Q266=Parametres!$G$3),K266,E266)</f>
        <v>14260.56</v>
      </c>
      <c r="Q266" s="154" t="str">
        <f t="shared" si="20"/>
        <v>7-Dépenses</v>
      </c>
      <c r="R266" s="153" t="str">
        <f t="shared" si="20"/>
        <v>6132</v>
      </c>
      <c r="S266" s="154">
        <f t="shared" si="20"/>
        <v>0</v>
      </c>
      <c r="T266" s="156">
        <f>+VLOOKUP($L266,Data_Validation!$A:$D,1,0)</f>
        <v>6132</v>
      </c>
      <c r="U266" s="156" t="str">
        <f>+VLOOKUP($L266,Data_Validation!$A:$D,3,0)</f>
        <v>Véhicules neufs</v>
      </c>
      <c r="V266" s="156" t="str">
        <f>+VLOOKUP($L266,Data_Validation!$A:$D,4,0)</f>
        <v>Déduction à la source</v>
      </c>
      <c r="W266" s="156" t="str">
        <f>+VLOOKUP($L266,Data_Validation!$A:$E,5,0)</f>
        <v>$</v>
      </c>
      <c r="X266" s="156">
        <f>+VLOOKUP($L266,Data_Validation!$A:$F,6,0)</f>
        <v>0</v>
      </c>
    </row>
    <row r="267" spans="1:24" ht="15" hidden="1" customHeight="1">
      <c r="A267" s="1002" t="s">
        <v>1414</v>
      </c>
      <c r="B267" s="1145">
        <v>6139</v>
      </c>
      <c r="C267" s="1004">
        <v>0</v>
      </c>
      <c r="D267" s="1004">
        <v>5856</v>
      </c>
      <c r="E267" s="1004">
        <v>5856</v>
      </c>
      <c r="F267" s="1002" t="s">
        <v>401</v>
      </c>
      <c r="G267" s="1002" t="s">
        <v>2689</v>
      </c>
      <c r="H267" s="938"/>
      <c r="I267" s="1118"/>
      <c r="J267" s="938"/>
      <c r="K267" s="1118"/>
      <c r="L267" s="153">
        <f t="shared" si="18"/>
        <v>6139</v>
      </c>
      <c r="M267" s="154" t="str">
        <f t="shared" si="19"/>
        <v>ASSURANCE GROUPS</v>
      </c>
      <c r="N267" s="155">
        <f>+IF(OR($Q267=Parametres!$G$2,$Q267=Parametres!$G$3),I267,C267)</f>
        <v>0</v>
      </c>
      <c r="O267" s="155">
        <f>+IF(OR($Q267=Parametres!$G$2,$Q267=Parametres!$G$3),J267,D267)</f>
        <v>5856</v>
      </c>
      <c r="P267" s="155">
        <f>+IF(OR($Q267=Parametres!$G$2,$Q267=Parametres!$G$3),K267,E267)</f>
        <v>5856</v>
      </c>
      <c r="Q267" s="154" t="str">
        <f t="shared" si="20"/>
        <v>7-Dépenses</v>
      </c>
      <c r="R267" s="153" t="str">
        <f t="shared" si="20"/>
        <v>6139</v>
      </c>
      <c r="S267" s="154">
        <f t="shared" si="20"/>
        <v>0</v>
      </c>
      <c r="T267" s="156">
        <f>+VLOOKUP($L267,Data_Validation!$A:$D,1,0)</f>
        <v>6139</v>
      </c>
      <c r="U267" s="156" t="str">
        <f>+VLOOKUP($L267,Data_Validation!$A:$D,3,0)</f>
        <v>Véhicules neufs</v>
      </c>
      <c r="V267" s="156" t="str">
        <f>+VLOOKUP($L267,Data_Validation!$A:$D,4,0)</f>
        <v>Bénéfices marginaux</v>
      </c>
      <c r="W267" s="156" t="str">
        <f>+VLOOKUP($L267,Data_Validation!$A:$E,5,0)</f>
        <v>$</v>
      </c>
      <c r="X267" s="156">
        <f>+VLOOKUP($L267,Data_Validation!$A:$F,6,0)</f>
        <v>0</v>
      </c>
    </row>
    <row r="268" spans="1:24" ht="15" hidden="1" customHeight="1">
      <c r="A268" s="1002" t="s">
        <v>934</v>
      </c>
      <c r="B268" s="1145">
        <v>6144</v>
      </c>
      <c r="C268" s="1004">
        <v>0</v>
      </c>
      <c r="D268" s="1004">
        <v>523.33000000000004</v>
      </c>
      <c r="E268" s="1004">
        <v>523.33000000000004</v>
      </c>
      <c r="F268" s="1002" t="s">
        <v>401</v>
      </c>
      <c r="G268" s="1002" t="s">
        <v>2556</v>
      </c>
      <c r="H268" s="938"/>
      <c r="I268" s="938"/>
      <c r="J268" s="938"/>
      <c r="K268" s="938"/>
      <c r="L268" s="153">
        <f t="shared" si="18"/>
        <v>6144</v>
      </c>
      <c r="M268" s="154" t="str">
        <f t="shared" si="19"/>
        <v>FORMATION</v>
      </c>
      <c r="N268" s="155">
        <f>+IF(OR($Q268=Parametres!$G$2,$Q268=Parametres!$G$3),I268,C268)</f>
        <v>0</v>
      </c>
      <c r="O268" s="155">
        <f>+IF(OR($Q268=Parametres!$G$2,$Q268=Parametres!$G$3),J268,D268)</f>
        <v>523.33000000000004</v>
      </c>
      <c r="P268" s="155">
        <f>+IF(OR($Q268=Parametres!$G$2,$Q268=Parametres!$G$3),K268,E268)</f>
        <v>523.33000000000004</v>
      </c>
      <c r="Q268" s="154" t="str">
        <f t="shared" si="20"/>
        <v>7-Dépenses</v>
      </c>
      <c r="R268" s="153" t="str">
        <f t="shared" si="20"/>
        <v>6144</v>
      </c>
      <c r="S268" s="154">
        <f t="shared" si="20"/>
        <v>0</v>
      </c>
      <c r="T268" s="156">
        <f>+VLOOKUP($L268,Data_Validation!$A:$D,1,0)</f>
        <v>6144</v>
      </c>
      <c r="U268" s="156" t="str">
        <f>+VLOOKUP($L268,Data_Validation!$A:$D,3,0)</f>
        <v>Véhicules neufs</v>
      </c>
      <c r="V268" s="156" t="str">
        <f>+VLOOKUP($L268,Data_Validation!$A:$D,4,0)</f>
        <v>Formation</v>
      </c>
      <c r="W268" s="156" t="str">
        <f>+VLOOKUP($L268,Data_Validation!$A:$E,5,0)</f>
        <v>$</v>
      </c>
      <c r="X268" s="156">
        <f>+VLOOKUP($L268,Data_Validation!$A:$F,6,0)</f>
        <v>0</v>
      </c>
    </row>
    <row r="269" spans="1:24" ht="15" hidden="1" customHeight="1">
      <c r="A269" s="1002" t="s">
        <v>1186</v>
      </c>
      <c r="B269" s="1145">
        <v>6145</v>
      </c>
      <c r="C269" s="1004">
        <v>0</v>
      </c>
      <c r="D269" s="1004">
        <v>5359.43</v>
      </c>
      <c r="E269" s="1004">
        <v>5359.43</v>
      </c>
      <c r="F269" s="1002" t="s">
        <v>401</v>
      </c>
      <c r="G269" s="1002" t="s">
        <v>2627</v>
      </c>
      <c r="H269" s="938"/>
      <c r="I269" s="1118"/>
      <c r="J269" s="938"/>
      <c r="K269" s="1118"/>
      <c r="L269" s="153">
        <f t="shared" si="18"/>
        <v>6145</v>
      </c>
      <c r="M269" s="154" t="str">
        <f t="shared" si="19"/>
        <v>VEHICULE DE COMPAGNIE - DEPENS</v>
      </c>
      <c r="N269" s="155">
        <f>+IF(OR($Q269=Parametres!$G$2,$Q269=Parametres!$G$3),I269,C269)</f>
        <v>0</v>
      </c>
      <c r="O269" s="155">
        <f>+IF(OR($Q269=Parametres!$G$2,$Q269=Parametres!$G$3),J269,D269)</f>
        <v>5359.43</v>
      </c>
      <c r="P269" s="155">
        <f>+IF(OR($Q269=Parametres!$G$2,$Q269=Parametres!$G$3),K269,E269)</f>
        <v>5359.43</v>
      </c>
      <c r="Q269" s="154" t="str">
        <f t="shared" si="20"/>
        <v>7-Dépenses</v>
      </c>
      <c r="R269" s="153" t="str">
        <f t="shared" si="20"/>
        <v>6145</v>
      </c>
      <c r="S269" s="154">
        <f t="shared" si="20"/>
        <v>0</v>
      </c>
      <c r="T269" s="156">
        <f>+VLOOKUP($L269,Data_Validation!$A:$D,1,0)</f>
        <v>6145</v>
      </c>
      <c r="U269" s="156" t="str">
        <f>+VLOOKUP($L269,Data_Validation!$A:$D,3,0)</f>
        <v>Véhicules neufs</v>
      </c>
      <c r="V269" s="156" t="str">
        <f>+VLOOKUP($L269,Data_Validation!$A:$D,4,0)</f>
        <v>Frais véhicules de cie</v>
      </c>
      <c r="W269" s="156" t="str">
        <f>+VLOOKUP($L269,Data_Validation!$A:$E,5,0)</f>
        <v>$</v>
      </c>
      <c r="X269" s="156">
        <f>+VLOOKUP($L269,Data_Validation!$A:$F,6,0)</f>
        <v>0</v>
      </c>
    </row>
    <row r="270" spans="1:24" ht="15" hidden="1" customHeight="1">
      <c r="A270" s="1002" t="s">
        <v>1180</v>
      </c>
      <c r="B270" s="1145">
        <v>6147</v>
      </c>
      <c r="C270" s="1004">
        <v>0</v>
      </c>
      <c r="D270" s="1004">
        <v>65.22</v>
      </c>
      <c r="E270" s="1004">
        <v>65.22</v>
      </c>
      <c r="F270" s="1002" t="s">
        <v>401</v>
      </c>
      <c r="G270" s="1002" t="s">
        <v>2576</v>
      </c>
      <c r="H270" s="938"/>
      <c r="I270" s="1118"/>
      <c r="J270" s="938"/>
      <c r="K270" s="1118"/>
      <c r="L270" s="153">
        <f t="shared" si="18"/>
        <v>6147</v>
      </c>
      <c r="M270" s="154" t="str">
        <f t="shared" si="19"/>
        <v>FRET/EXPRESS/TRANS. PAR CAMION</v>
      </c>
      <c r="N270" s="155">
        <f>+IF(OR($Q270=Parametres!$G$2,$Q270=Parametres!$G$3),I270,C270)</f>
        <v>0</v>
      </c>
      <c r="O270" s="575">
        <f>+IF(OR($Q270=Parametres!$G$2,$Q270=Parametres!$G$3),J270,D270)</f>
        <v>65.22</v>
      </c>
      <c r="P270" s="155">
        <f>+IF(OR($Q270=Parametres!$G$2,$Q270=Parametres!$G$3),K270,E270)</f>
        <v>65.22</v>
      </c>
      <c r="Q270" s="154" t="str">
        <f t="shared" si="20"/>
        <v>7-Dépenses</v>
      </c>
      <c r="R270" s="153" t="str">
        <f t="shared" si="20"/>
        <v>6147</v>
      </c>
      <c r="S270" s="154">
        <f t="shared" si="20"/>
        <v>0</v>
      </c>
      <c r="T270" s="156">
        <f>+VLOOKUP($L270,Data_Validation!$A:$D,1,0)</f>
        <v>6147</v>
      </c>
      <c r="U270" s="156" t="str">
        <f>+VLOOKUP($L270,Data_Validation!$A:$D,3,0)</f>
        <v>Véhicules neufs</v>
      </c>
      <c r="V270" s="156" t="str">
        <f>+VLOOKUP($L270,Data_Validation!$A:$D,4,0)</f>
        <v>Frais postaux</v>
      </c>
      <c r="W270" s="156" t="str">
        <f>+VLOOKUP($L270,Data_Validation!$A:$E,5,0)</f>
        <v>$</v>
      </c>
      <c r="X270" s="156">
        <f>+VLOOKUP($L270,Data_Validation!$A:$F,6,0)</f>
        <v>0</v>
      </c>
    </row>
    <row r="271" spans="1:24" ht="15" hidden="1" customHeight="1">
      <c r="A271" s="1002" t="s">
        <v>1286</v>
      </c>
      <c r="B271" s="1145">
        <v>6151</v>
      </c>
      <c r="C271" s="1004">
        <v>0</v>
      </c>
      <c r="D271" s="1004">
        <v>5798.14</v>
      </c>
      <c r="E271" s="1004">
        <v>5798.14</v>
      </c>
      <c r="F271" s="1002" t="s">
        <v>401</v>
      </c>
      <c r="G271" s="1002" t="s">
        <v>2697</v>
      </c>
      <c r="H271" s="938"/>
      <c r="I271" s="938"/>
      <c r="J271" s="938"/>
      <c r="K271" s="938"/>
      <c r="L271" s="153">
        <f t="shared" si="18"/>
        <v>6151</v>
      </c>
      <c r="M271" s="154" t="str">
        <f t="shared" si="19"/>
        <v>DEP. DU TRAITEMENT DES DONNEES</v>
      </c>
      <c r="N271" s="155">
        <f>+IF(OR($Q271=Parametres!$G$2,$Q271=Parametres!$G$3),I271,C271)</f>
        <v>0</v>
      </c>
      <c r="O271" s="575">
        <f>+IF(OR($Q271=Parametres!$G$2,$Q271=Parametres!$G$3),J271,D271)</f>
        <v>5798.14</v>
      </c>
      <c r="P271" s="155">
        <f>+IF(OR($Q271=Parametres!$G$2,$Q271=Parametres!$G$3),K271,E271)</f>
        <v>5798.14</v>
      </c>
      <c r="Q271" s="154" t="str">
        <f t="shared" si="20"/>
        <v>7-Dépenses</v>
      </c>
      <c r="R271" s="153" t="str">
        <f t="shared" si="20"/>
        <v>6151</v>
      </c>
      <c r="S271" s="154">
        <f t="shared" si="20"/>
        <v>0</v>
      </c>
      <c r="T271" s="156">
        <f>+VLOOKUP($L271,Data_Validation!$A:$D,1,0)</f>
        <v>6151</v>
      </c>
      <c r="U271" s="156" t="str">
        <f>+VLOOKUP($L271,Data_Validation!$A:$D,3,0)</f>
        <v>Véhicules neufs</v>
      </c>
      <c r="V271" s="156" t="str">
        <f>+VLOOKUP($L271,Data_Validation!$A:$D,4,0)</f>
        <v>Informatique</v>
      </c>
      <c r="W271" s="156" t="str">
        <f>+VLOOKUP($L271,Data_Validation!$A:$E,5,0)</f>
        <v>$</v>
      </c>
      <c r="X271" s="156">
        <f>+VLOOKUP($L271,Data_Validation!$A:$F,6,0)</f>
        <v>0</v>
      </c>
    </row>
    <row r="272" spans="1:24" ht="15.75" hidden="1" customHeight="1">
      <c r="A272" s="1002" t="s">
        <v>1206</v>
      </c>
      <c r="B272" s="1145">
        <v>6152</v>
      </c>
      <c r="C272" s="1004">
        <v>0</v>
      </c>
      <c r="D272" s="1004">
        <v>248.87</v>
      </c>
      <c r="E272" s="1004">
        <v>248.87</v>
      </c>
      <c r="F272" s="1002" t="s">
        <v>401</v>
      </c>
      <c r="G272" s="1002" t="s">
        <v>2583</v>
      </c>
      <c r="H272" s="938"/>
      <c r="I272" s="1118"/>
      <c r="J272" s="938"/>
      <c r="K272" s="1118"/>
      <c r="L272" s="153">
        <f t="shared" si="18"/>
        <v>6152</v>
      </c>
      <c r="M272" s="154" t="str">
        <f t="shared" si="19"/>
        <v>PAPETERIE</v>
      </c>
      <c r="N272" s="155">
        <f>+IF(OR($Q272=Parametres!$G$2,$Q272=Parametres!$G$3),I272,C272)</f>
        <v>0</v>
      </c>
      <c r="O272" s="575">
        <f>+IF(OR($Q272=Parametres!$G$2,$Q272=Parametres!$G$3),J272,D272)</f>
        <v>248.87</v>
      </c>
      <c r="P272" s="155">
        <f>+IF(OR($Q272=Parametres!$G$2,$Q272=Parametres!$G$3),K272,E272)</f>
        <v>248.87</v>
      </c>
      <c r="Q272" s="154" t="str">
        <f t="shared" si="20"/>
        <v>7-Dépenses</v>
      </c>
      <c r="R272" s="153" t="str">
        <f t="shared" si="20"/>
        <v>6152</v>
      </c>
      <c r="S272" s="154">
        <f t="shared" si="20"/>
        <v>0</v>
      </c>
      <c r="T272" s="156">
        <f>+VLOOKUP($L272,Data_Validation!$A:$D,1,0)</f>
        <v>6152</v>
      </c>
      <c r="U272" s="156" t="str">
        <f>+VLOOKUP($L272,Data_Validation!$A:$D,3,0)</f>
        <v>Véhicules neufs</v>
      </c>
      <c r="V272" s="156" t="str">
        <f>+VLOOKUP($L272,Data_Validation!$A:$D,4,0)</f>
        <v>Papeterie</v>
      </c>
      <c r="W272" s="156" t="str">
        <f>+VLOOKUP($L272,Data_Validation!$A:$E,5,0)</f>
        <v>$</v>
      </c>
      <c r="X272" s="156">
        <f>+VLOOKUP($L272,Data_Validation!$A:$F,6,0)</f>
        <v>0</v>
      </c>
    </row>
    <row r="273" spans="1:24" ht="15" hidden="1" customHeight="1">
      <c r="A273" s="1002" t="s">
        <v>1154</v>
      </c>
      <c r="B273" s="1145">
        <v>6153</v>
      </c>
      <c r="C273" s="1004">
        <v>0</v>
      </c>
      <c r="D273" s="1004">
        <v>456.53</v>
      </c>
      <c r="E273" s="1004">
        <v>456.53</v>
      </c>
      <c r="F273" s="1002" t="s">
        <v>401</v>
      </c>
      <c r="G273" s="1002" t="s">
        <v>2587</v>
      </c>
      <c r="H273" s="938"/>
      <c r="I273" s="937"/>
      <c r="J273" s="937"/>
      <c r="K273" s="937"/>
      <c r="L273" s="153">
        <f t="shared" si="18"/>
        <v>6153</v>
      </c>
      <c r="M273" s="154" t="str">
        <f t="shared" si="19"/>
        <v>TELEPHONE ET TELEX</v>
      </c>
      <c r="N273" s="155">
        <f>+IF(OR($Q273=Parametres!$G$2,$Q273=Parametres!$G$3),I273,C273)</f>
        <v>0</v>
      </c>
      <c r="O273" s="575">
        <f>+IF(OR($Q273=Parametres!$G$2,$Q273=Parametres!$G$3),J273,D273)</f>
        <v>456.53</v>
      </c>
      <c r="P273" s="155">
        <f>+IF(OR($Q273=Parametres!$G$2,$Q273=Parametres!$G$3),K273,E273)</f>
        <v>456.53</v>
      </c>
      <c r="Q273" s="154" t="str">
        <f t="shared" si="20"/>
        <v>7-Dépenses</v>
      </c>
      <c r="R273" s="153" t="str">
        <f t="shared" si="20"/>
        <v>6153</v>
      </c>
      <c r="S273" s="154">
        <f t="shared" si="20"/>
        <v>0</v>
      </c>
      <c r="T273" s="156">
        <f>+VLOOKUP($L273,Data_Validation!$A:$D,1,0)</f>
        <v>6153</v>
      </c>
      <c r="U273" s="156" t="str">
        <f>+VLOOKUP($L273,Data_Validation!$A:$D,3,0)</f>
        <v>Véhicules neufs</v>
      </c>
      <c r="V273" s="156" t="str">
        <f>+VLOOKUP($L273,Data_Validation!$A:$D,4,0)</f>
        <v>Téléphone</v>
      </c>
      <c r="W273" s="156" t="str">
        <f>+VLOOKUP($L273,Data_Validation!$A:$E,5,0)</f>
        <v>$</v>
      </c>
      <c r="X273" s="156">
        <f>+VLOOKUP($L273,Data_Validation!$A:$F,6,0)</f>
        <v>0</v>
      </c>
    </row>
    <row r="274" spans="1:24" ht="15" hidden="1" customHeight="1">
      <c r="A274" s="1002" t="s">
        <v>1237</v>
      </c>
      <c r="B274" s="1145">
        <v>6155</v>
      </c>
      <c r="C274" s="1004">
        <v>0</v>
      </c>
      <c r="D274" s="1004">
        <v>252.3</v>
      </c>
      <c r="E274" s="1004">
        <v>252.3</v>
      </c>
      <c r="F274" s="1002" t="s">
        <v>401</v>
      </c>
      <c r="G274" s="1002" t="s">
        <v>2632</v>
      </c>
      <c r="H274" s="938"/>
      <c r="I274" s="937"/>
      <c r="J274" s="937"/>
      <c r="K274" s="937"/>
      <c r="L274" s="153">
        <f t="shared" si="18"/>
        <v>6155</v>
      </c>
      <c r="M274" s="154" t="str">
        <f t="shared" si="19"/>
        <v>DEPENSES DIVERS</v>
      </c>
      <c r="N274" s="155">
        <f>+IF(OR($Q274=Parametres!$G$2,$Q274=Parametres!$G$3),I274,C274)</f>
        <v>0</v>
      </c>
      <c r="O274" s="575">
        <f>+IF(OR($Q274=Parametres!$G$2,$Q274=Parametres!$G$3),J274,D274)</f>
        <v>252.3</v>
      </c>
      <c r="P274" s="155">
        <f>+IF(OR($Q274=Parametres!$G$2,$Q274=Parametres!$G$3),K274,E274)</f>
        <v>252.3</v>
      </c>
      <c r="Q274" s="154" t="str">
        <f t="shared" ref="Q274:S289" si="21">+F274</f>
        <v>7-Dépenses</v>
      </c>
      <c r="R274" s="153" t="str">
        <f t="shared" si="21"/>
        <v>6155</v>
      </c>
      <c r="S274" s="154">
        <f t="shared" si="21"/>
        <v>0</v>
      </c>
      <c r="T274" s="156">
        <f>+VLOOKUP($L274,Data_Validation!$A:$D,1,0)</f>
        <v>6155</v>
      </c>
      <c r="U274" s="156" t="str">
        <f>+VLOOKUP($L274,Data_Validation!$A:$D,3,0)</f>
        <v>Véhicules neufs</v>
      </c>
      <c r="V274" s="156" t="str">
        <f>+VLOOKUP($L274,Data_Validation!$A:$D,4,0)</f>
        <v>Divers</v>
      </c>
      <c r="W274" s="156" t="str">
        <f>+VLOOKUP($L274,Data_Validation!$A:$E,5,0)</f>
        <v>$</v>
      </c>
      <c r="X274" s="156">
        <f>+VLOOKUP($L274,Data_Validation!$A:$F,6,0)</f>
        <v>0</v>
      </c>
    </row>
    <row r="275" spans="1:24" ht="15" hidden="1" customHeight="1">
      <c r="A275" s="1002" t="s">
        <v>1315</v>
      </c>
      <c r="B275" s="1145">
        <v>6156</v>
      </c>
      <c r="C275" s="1004">
        <v>0</v>
      </c>
      <c r="D275" s="1004">
        <v>98.29</v>
      </c>
      <c r="E275" s="1004">
        <v>98.29</v>
      </c>
      <c r="F275" s="1002" t="s">
        <v>401</v>
      </c>
      <c r="G275" s="1002" t="s">
        <v>2465</v>
      </c>
      <c r="H275" s="938"/>
      <c r="I275" s="937"/>
      <c r="J275" s="937"/>
      <c r="K275" s="937"/>
      <c r="L275" s="153">
        <f t="shared" si="18"/>
        <v>6156</v>
      </c>
      <c r="M275" s="154" t="str">
        <f t="shared" si="19"/>
        <v>FRAIS REPRESENTATION - NEUF</v>
      </c>
      <c r="N275" s="155">
        <f>+IF(OR($Q275=Parametres!$G$2,$Q275=Parametres!$G$3),I275,C275)</f>
        <v>0</v>
      </c>
      <c r="O275" s="575">
        <f>+IF(OR($Q275=Parametres!$G$2,$Q275=Parametres!$G$3),J275,D275)</f>
        <v>98.29</v>
      </c>
      <c r="P275" s="155">
        <f>+IF(OR($Q275=Parametres!$G$2,$Q275=Parametres!$G$3),K275,E275)</f>
        <v>98.29</v>
      </c>
      <c r="Q275" s="154" t="str">
        <f t="shared" si="21"/>
        <v>7-Dépenses</v>
      </c>
      <c r="R275" s="153" t="str">
        <f t="shared" si="21"/>
        <v>6156</v>
      </c>
      <c r="S275" s="154">
        <f t="shared" si="21"/>
        <v>0</v>
      </c>
      <c r="T275" s="156">
        <f>+VLOOKUP($L275,Data_Validation!$A:$D,1,0)</f>
        <v>6156</v>
      </c>
      <c r="U275" s="156" t="str">
        <f>+VLOOKUP($L275,Data_Validation!$A:$D,3,0)</f>
        <v>Véhicules neufs</v>
      </c>
      <c r="V275" s="156" t="str">
        <f>+VLOOKUP($L275,Data_Validation!$A:$D,4,0)</f>
        <v>Frais de déplacement</v>
      </c>
      <c r="W275" s="156" t="str">
        <f>+VLOOKUP($L275,Data_Validation!$A:$E,5,0)</f>
        <v>$</v>
      </c>
      <c r="X275" s="156">
        <f>+VLOOKUP($L275,Data_Validation!$A:$F,6,0)</f>
        <v>0</v>
      </c>
    </row>
    <row r="276" spans="1:24" ht="15" hidden="1" customHeight="1">
      <c r="A276" s="1002" t="s">
        <v>1308</v>
      </c>
      <c r="B276" s="1145">
        <v>6159</v>
      </c>
      <c r="C276" s="1004">
        <v>0</v>
      </c>
      <c r="D276" s="1004">
        <v>6042.08</v>
      </c>
      <c r="E276" s="1004">
        <v>6042.08</v>
      </c>
      <c r="F276" s="1002" t="s">
        <v>401</v>
      </c>
      <c r="G276" s="1002" t="s">
        <v>2657</v>
      </c>
      <c r="H276" s="938"/>
      <c r="I276" s="937"/>
      <c r="J276" s="937"/>
      <c r="K276" s="937"/>
      <c r="L276" s="153">
        <f t="shared" si="18"/>
        <v>6159</v>
      </c>
      <c r="M276" s="154" t="str">
        <f t="shared" si="19"/>
        <v>SERVICE EXTERIEUR</v>
      </c>
      <c r="N276" s="155">
        <f>+IF(OR($Q276=Parametres!$G$2,$Q276=Parametres!$G$3),I276,C276)</f>
        <v>0</v>
      </c>
      <c r="O276" s="575">
        <f>+IF(OR($Q276=Parametres!$G$2,$Q276=Parametres!$G$3),J276,D276)</f>
        <v>6042.08</v>
      </c>
      <c r="P276" s="155">
        <f>+IF(OR($Q276=Parametres!$G$2,$Q276=Parametres!$G$3),K276,E276)</f>
        <v>6042.08</v>
      </c>
      <c r="Q276" s="154" t="str">
        <f t="shared" si="21"/>
        <v>7-Dépenses</v>
      </c>
      <c r="R276" s="153" t="str">
        <f t="shared" si="21"/>
        <v>6159</v>
      </c>
      <c r="S276" s="154">
        <f t="shared" si="21"/>
        <v>0</v>
      </c>
      <c r="T276" s="156">
        <f>+VLOOKUP($L276,Data_Validation!$A:$D,1,0)</f>
        <v>6159</v>
      </c>
      <c r="U276" s="156" t="str">
        <f>+VLOOKUP($L276,Data_Validation!$A:$D,3,0)</f>
        <v>Véhicules neufs</v>
      </c>
      <c r="V276" s="156" t="str">
        <f>+VLOOKUP($L276,Data_Validation!$A:$D,4,0)</f>
        <v>Services extérieurs</v>
      </c>
      <c r="W276" s="156" t="str">
        <f>+VLOOKUP($L276,Data_Validation!$A:$E,5,0)</f>
        <v>$</v>
      </c>
      <c r="X276" s="156">
        <f>+VLOOKUP($L276,Data_Validation!$A:$F,6,0)</f>
        <v>0</v>
      </c>
    </row>
    <row r="277" spans="1:24" ht="15" hidden="1" customHeight="1">
      <c r="A277" s="1002" t="s">
        <v>1333</v>
      </c>
      <c r="B277" s="1145">
        <v>6161</v>
      </c>
      <c r="C277" s="1004">
        <v>0</v>
      </c>
      <c r="D277" s="1004">
        <v>2933.44</v>
      </c>
      <c r="E277" s="1004">
        <v>2933.44</v>
      </c>
      <c r="F277" s="1002" t="s">
        <v>401</v>
      </c>
      <c r="G277" s="1002" t="s">
        <v>2648</v>
      </c>
      <c r="H277" s="938"/>
      <c r="I277" s="937"/>
      <c r="J277" s="937"/>
      <c r="K277" s="937"/>
      <c r="L277" s="153">
        <f t="shared" si="18"/>
        <v>6161</v>
      </c>
      <c r="M277" s="154" t="str">
        <f t="shared" si="19"/>
        <v>DEPRECIATION EQUIP. &amp; FIXTURES</v>
      </c>
      <c r="N277" s="155">
        <f>+IF(OR($Q277=Parametres!$G$2,$Q277=Parametres!$G$3),I277,C277)</f>
        <v>0</v>
      </c>
      <c r="O277" s="575">
        <f>+IF(OR($Q277=Parametres!$G$2,$Q277=Parametres!$G$3),J277,D277)</f>
        <v>2933.44</v>
      </c>
      <c r="P277" s="155">
        <f>+IF(OR($Q277=Parametres!$G$2,$Q277=Parametres!$G$3),K277,E277)</f>
        <v>2933.44</v>
      </c>
      <c r="Q277" s="154" t="str">
        <f t="shared" si="21"/>
        <v>7-Dépenses</v>
      </c>
      <c r="R277" s="153" t="str">
        <f t="shared" si="21"/>
        <v>6161</v>
      </c>
      <c r="S277" s="154">
        <f t="shared" si="21"/>
        <v>0</v>
      </c>
      <c r="T277" s="156">
        <f>+VLOOKUP($L277,Data_Validation!$A:$D,1,0)</f>
        <v>6161</v>
      </c>
      <c r="U277" s="156" t="str">
        <f>+VLOOKUP($L277,Data_Validation!$A:$D,3,0)</f>
        <v>Véhicules neufs</v>
      </c>
      <c r="V277" s="156" t="str">
        <f>+VLOOKUP($L277,Data_Validation!$A:$D,4,0)</f>
        <v>Amortissement</v>
      </c>
      <c r="W277" s="156" t="str">
        <f>+VLOOKUP($L277,Data_Validation!$A:$E,5,0)</f>
        <v>$</v>
      </c>
      <c r="X277" s="156">
        <f>+VLOOKUP($L277,Data_Validation!$A:$F,6,0)</f>
        <v>0</v>
      </c>
    </row>
    <row r="278" spans="1:24" ht="15" hidden="1" customHeight="1">
      <c r="A278" s="1002" t="s">
        <v>1332</v>
      </c>
      <c r="B278" s="1145">
        <v>6181</v>
      </c>
      <c r="C278" s="1004">
        <v>0</v>
      </c>
      <c r="D278" s="1004">
        <v>542.64</v>
      </c>
      <c r="E278" s="1004">
        <v>542.64</v>
      </c>
      <c r="F278" s="1002" t="s">
        <v>401</v>
      </c>
      <c r="G278" s="1002" t="s">
        <v>2599</v>
      </c>
      <c r="H278" s="938"/>
      <c r="I278" s="937"/>
      <c r="J278" s="937"/>
      <c r="K278" s="937"/>
      <c r="L278" s="153">
        <f t="shared" si="18"/>
        <v>6181</v>
      </c>
      <c r="M278" s="154" t="str">
        <f t="shared" si="19"/>
        <v>ELECTRICITE CHAUFFAGE</v>
      </c>
      <c r="N278" s="155">
        <f>+IF(OR($Q278=Parametres!$G$2,$Q278=Parametres!$G$3),I278,C278)</f>
        <v>0</v>
      </c>
      <c r="O278" s="575">
        <f>+IF(OR($Q278=Parametres!$G$2,$Q278=Parametres!$G$3),J278,D278)</f>
        <v>542.64</v>
      </c>
      <c r="P278" s="155">
        <f>+IF(OR($Q278=Parametres!$G$2,$Q278=Parametres!$G$3),K278,E278)</f>
        <v>542.64</v>
      </c>
      <c r="Q278" s="154" t="str">
        <f t="shared" si="21"/>
        <v>7-Dépenses</v>
      </c>
      <c r="R278" s="153" t="str">
        <f t="shared" si="21"/>
        <v>6181</v>
      </c>
      <c r="S278" s="154">
        <f t="shared" si="21"/>
        <v>0</v>
      </c>
      <c r="T278" s="156">
        <f>+VLOOKUP($L278,Data_Validation!$A:$D,1,0)</f>
        <v>6181</v>
      </c>
      <c r="U278" s="156" t="str">
        <f>+VLOOKUP($L278,Data_Validation!$A:$D,3,0)</f>
        <v>Véhicules neufs</v>
      </c>
      <c r="V278" s="156" t="str">
        <f>+VLOOKUP($L278,Data_Validation!$A:$D,4,0)</f>
        <v>Chauffage, éclairage</v>
      </c>
      <c r="W278" s="156" t="str">
        <f>+VLOOKUP($L278,Data_Validation!$A:$E,5,0)</f>
        <v>$</v>
      </c>
      <c r="X278" s="156">
        <f>+VLOOKUP($L278,Data_Validation!$A:$F,6,0)</f>
        <v>0</v>
      </c>
    </row>
    <row r="279" spans="1:24" ht="15.75" hidden="1" customHeight="1">
      <c r="A279" s="1002" t="s">
        <v>1469</v>
      </c>
      <c r="B279" s="1145">
        <v>6182</v>
      </c>
      <c r="C279" s="1004">
        <v>0</v>
      </c>
      <c r="D279" s="1004">
        <v>8320</v>
      </c>
      <c r="E279" s="1004">
        <v>8320</v>
      </c>
      <c r="F279" s="1002" t="s">
        <v>401</v>
      </c>
      <c r="G279" s="1002" t="s">
        <v>2704</v>
      </c>
      <c r="H279" s="938"/>
      <c r="I279" s="937"/>
      <c r="J279" s="937"/>
      <c r="K279" s="937"/>
      <c r="L279" s="153">
        <f t="shared" si="18"/>
        <v>6182</v>
      </c>
      <c r="M279" s="154" t="str">
        <f t="shared" si="19"/>
        <v>LOYER NEUFS</v>
      </c>
      <c r="N279" s="155">
        <f>+IF(OR($Q279=Parametres!$G$2,$Q279=Parametres!$G$3),I279,C279)</f>
        <v>0</v>
      </c>
      <c r="O279" s="575">
        <f>+IF(OR($Q279=Parametres!$G$2,$Q279=Parametres!$G$3),J279,D279)</f>
        <v>8320</v>
      </c>
      <c r="P279" s="155">
        <f>+IF(OR($Q279=Parametres!$G$2,$Q279=Parametres!$G$3),K279,E279)</f>
        <v>8320</v>
      </c>
      <c r="Q279" s="154" t="str">
        <f t="shared" si="21"/>
        <v>7-Dépenses</v>
      </c>
      <c r="R279" s="153" t="str">
        <f t="shared" si="21"/>
        <v>6182</v>
      </c>
      <c r="S279" s="154">
        <f t="shared" si="21"/>
        <v>0</v>
      </c>
      <c r="T279" s="156">
        <f>+VLOOKUP($L279,Data_Validation!$A:$D,1,0)</f>
        <v>6182</v>
      </c>
      <c r="U279" s="156" t="str">
        <f>+VLOOKUP($L279,Data_Validation!$A:$D,3,0)</f>
        <v>Véhicules neufs</v>
      </c>
      <c r="V279" s="156" t="str">
        <f>+VLOOKUP($L279,Data_Validation!$A:$D,4,0)</f>
        <v>Loyer</v>
      </c>
      <c r="W279" s="156" t="str">
        <f>+VLOOKUP($L279,Data_Validation!$A:$E,5,0)</f>
        <v>$</v>
      </c>
      <c r="X279" s="156">
        <f>+VLOOKUP($L279,Data_Validation!$A:$F,6,0)</f>
        <v>0</v>
      </c>
    </row>
    <row r="280" spans="1:24" ht="15" hidden="1" customHeight="1">
      <c r="A280" s="1002" t="s">
        <v>1366</v>
      </c>
      <c r="B280" s="1145">
        <v>6186</v>
      </c>
      <c r="C280" s="1004">
        <v>0</v>
      </c>
      <c r="D280" s="1004">
        <v>1186.5999999999999</v>
      </c>
      <c r="E280" s="1004">
        <v>1186.5999999999999</v>
      </c>
      <c r="F280" s="1002" t="s">
        <v>401</v>
      </c>
      <c r="G280" s="1002" t="s">
        <v>2589</v>
      </c>
      <c r="H280" s="938"/>
      <c r="I280" s="937"/>
      <c r="J280" s="937"/>
      <c r="K280" s="937"/>
      <c r="L280" s="153">
        <f t="shared" si="18"/>
        <v>6186</v>
      </c>
      <c r="M280" s="154" t="str">
        <f t="shared" si="19"/>
        <v>ASSURANCE BATIMENT</v>
      </c>
      <c r="N280" s="155">
        <f>+IF(OR($Q280=Parametres!$G$2,$Q280=Parametres!$G$3),I280,C280)</f>
        <v>0</v>
      </c>
      <c r="O280" s="575">
        <f>+IF(OR($Q280=Parametres!$G$2,$Q280=Parametres!$G$3),J280,D280)</f>
        <v>1186.5999999999999</v>
      </c>
      <c r="P280" s="155">
        <f>+IF(OR($Q280=Parametres!$G$2,$Q280=Parametres!$G$3),K280,E280)</f>
        <v>1186.5999999999999</v>
      </c>
      <c r="Q280" s="154" t="str">
        <f t="shared" si="21"/>
        <v>7-Dépenses</v>
      </c>
      <c r="R280" s="153" t="str">
        <f t="shared" si="21"/>
        <v>6186</v>
      </c>
      <c r="S280" s="154">
        <f t="shared" si="21"/>
        <v>0</v>
      </c>
      <c r="T280" s="156">
        <f>+VLOOKUP($L280,Data_Validation!$A:$D,1,0)</f>
        <v>6186</v>
      </c>
      <c r="U280" s="156" t="str">
        <f>+VLOOKUP($L280,Data_Validation!$A:$D,3,0)</f>
        <v>Véhicules neufs</v>
      </c>
      <c r="V280" s="156" t="str">
        <f>+VLOOKUP($L280,Data_Validation!$A:$D,4,0)</f>
        <v>Assurances</v>
      </c>
      <c r="W280" s="156" t="str">
        <f>+VLOOKUP($L280,Data_Validation!$A:$E,5,0)</f>
        <v>$</v>
      </c>
      <c r="X280" s="156">
        <f>+VLOOKUP($L280,Data_Validation!$A:$F,6,0)</f>
        <v>0</v>
      </c>
    </row>
    <row r="281" spans="1:24" ht="15" hidden="1" customHeight="1">
      <c r="A281" s="1002" t="s">
        <v>1362</v>
      </c>
      <c r="B281" s="1145">
        <v>6187</v>
      </c>
      <c r="C281" s="1004">
        <v>0</v>
      </c>
      <c r="D281" s="1004">
        <v>1539.2</v>
      </c>
      <c r="E281" s="1004">
        <v>1539.2</v>
      </c>
      <c r="F281" s="1002" t="s">
        <v>401</v>
      </c>
      <c r="G281" s="1002" t="s">
        <v>2609</v>
      </c>
      <c r="H281" s="938"/>
      <c r="I281" s="937"/>
      <c r="J281" s="937"/>
      <c r="K281" s="937"/>
      <c r="L281" s="153">
        <f t="shared" si="18"/>
        <v>6187</v>
      </c>
      <c r="M281" s="154" t="str">
        <f t="shared" si="19"/>
        <v>TAXE SUR PROPRIETE</v>
      </c>
      <c r="N281" s="155">
        <f>+IF(OR($Q281=Parametres!$G$2,$Q281=Parametres!$G$3),I281,C281)</f>
        <v>0</v>
      </c>
      <c r="O281" s="575">
        <f>+IF(OR($Q281=Parametres!$G$2,$Q281=Parametres!$G$3),J281,D281)</f>
        <v>1539.2</v>
      </c>
      <c r="P281" s="155">
        <f>+IF(OR($Q281=Parametres!$G$2,$Q281=Parametres!$G$3),K281,E281)</f>
        <v>1539.2</v>
      </c>
      <c r="Q281" s="154" t="str">
        <f t="shared" si="21"/>
        <v>7-Dépenses</v>
      </c>
      <c r="R281" s="153" t="str">
        <f t="shared" si="21"/>
        <v>6187</v>
      </c>
      <c r="S281" s="154">
        <f t="shared" si="21"/>
        <v>0</v>
      </c>
      <c r="T281" s="156">
        <f>+VLOOKUP($L281,Data_Validation!$A:$D,1,0)</f>
        <v>6187</v>
      </c>
      <c r="U281" s="156" t="str">
        <f>+VLOOKUP($L281,Data_Validation!$A:$D,3,0)</f>
        <v>Véhicules neufs</v>
      </c>
      <c r="V281" s="156" t="str">
        <f>+VLOOKUP($L281,Data_Validation!$A:$D,4,0)</f>
        <v>Taxes foncières</v>
      </c>
      <c r="W281" s="156" t="str">
        <f>+VLOOKUP($L281,Data_Validation!$A:$E,5,0)</f>
        <v>$</v>
      </c>
      <c r="X281" s="156">
        <f>+VLOOKUP($L281,Data_Validation!$A:$F,6,0)</f>
        <v>0</v>
      </c>
    </row>
    <row r="282" spans="1:24" ht="15" hidden="1" customHeight="1">
      <c r="A282" s="1002" t="s">
        <v>1296</v>
      </c>
      <c r="B282" s="1145">
        <v>6193</v>
      </c>
      <c r="C282" s="1004">
        <v>0</v>
      </c>
      <c r="D282" s="1004">
        <v>1024</v>
      </c>
      <c r="E282" s="1004">
        <v>1024</v>
      </c>
      <c r="F282" s="1002" t="s">
        <v>401</v>
      </c>
      <c r="G282" s="1002" t="s">
        <v>2592</v>
      </c>
      <c r="H282" s="938"/>
      <c r="I282" s="938"/>
      <c r="J282" s="938"/>
      <c r="K282" s="938"/>
      <c r="L282" s="153">
        <f t="shared" si="18"/>
        <v>6193</v>
      </c>
      <c r="M282" s="154" t="str">
        <f t="shared" si="19"/>
        <v>TAXES AUTRES PERMIS LICENCE</v>
      </c>
      <c r="N282" s="155">
        <f>+IF(OR($Q282=Parametres!$G$2,$Q282=Parametres!$G$3),I282,C282)</f>
        <v>0</v>
      </c>
      <c r="O282" s="575">
        <f>+IF(OR($Q282=Parametres!$G$2,$Q282=Parametres!$G$3),J282,D282)</f>
        <v>1024</v>
      </c>
      <c r="P282" s="155">
        <f>+IF(OR($Q282=Parametres!$G$2,$Q282=Parametres!$G$3),K282,E282)</f>
        <v>1024</v>
      </c>
      <c r="Q282" s="154" t="str">
        <f t="shared" si="21"/>
        <v>7-Dépenses</v>
      </c>
      <c r="R282" s="153" t="str">
        <f t="shared" si="21"/>
        <v>6193</v>
      </c>
      <c r="S282" s="154">
        <f t="shared" si="21"/>
        <v>0</v>
      </c>
      <c r="T282" s="156">
        <f>+VLOOKUP($L282,Data_Validation!$A:$D,1,0)</f>
        <v>6193</v>
      </c>
      <c r="U282" s="156" t="str">
        <f>+VLOOKUP($L282,Data_Validation!$A:$D,3,0)</f>
        <v>Véhicules neufs</v>
      </c>
      <c r="V282" s="156" t="str">
        <f>+VLOOKUP($L282,Data_Validation!$A:$D,4,0)</f>
        <v>Taxes d`affaires</v>
      </c>
      <c r="W282" s="156" t="str">
        <f>+VLOOKUP($L282,Data_Validation!$A:$E,5,0)</f>
        <v>$</v>
      </c>
      <c r="X282" s="156">
        <f>+VLOOKUP($L282,Data_Validation!$A:$F,6,0)</f>
        <v>0</v>
      </c>
    </row>
    <row r="283" spans="1:24" ht="15.75" hidden="1" customHeight="1">
      <c r="A283" s="1002" t="s">
        <v>1395</v>
      </c>
      <c r="B283" s="1145">
        <v>6194</v>
      </c>
      <c r="C283" s="1004">
        <v>0</v>
      </c>
      <c r="D283" s="1004">
        <v>1989.47</v>
      </c>
      <c r="E283" s="1004">
        <v>1989.47</v>
      </c>
      <c r="F283" s="1002" t="s">
        <v>401</v>
      </c>
      <c r="G283" s="1002" t="s">
        <v>2630</v>
      </c>
      <c r="H283" s="938"/>
      <c r="I283" s="938"/>
      <c r="J283" s="938"/>
      <c r="K283" s="938"/>
      <c r="L283" s="153">
        <f t="shared" si="18"/>
        <v>6194</v>
      </c>
      <c r="M283" s="154" t="str">
        <f t="shared" si="19"/>
        <v>HONORAIRES PROFESSIONNELS</v>
      </c>
      <c r="N283" s="155">
        <f>+IF(OR($Q283=Parametres!$G$2,$Q283=Parametres!$G$3),I283,C283)</f>
        <v>0</v>
      </c>
      <c r="O283" s="575">
        <f>+IF(OR($Q283=Parametres!$G$2,$Q283=Parametres!$G$3),J283,D283)</f>
        <v>1989.47</v>
      </c>
      <c r="P283" s="155">
        <f>+IF(OR($Q283=Parametres!$G$2,$Q283=Parametres!$G$3),K283,E283)</f>
        <v>1989.47</v>
      </c>
      <c r="Q283" s="154" t="str">
        <f t="shared" si="21"/>
        <v>7-Dépenses</v>
      </c>
      <c r="R283" s="153" t="str">
        <f t="shared" si="21"/>
        <v>6194</v>
      </c>
      <c r="S283" s="154">
        <f t="shared" si="21"/>
        <v>0</v>
      </c>
      <c r="T283" s="156">
        <f>+VLOOKUP($L283,Data_Validation!$A:$D,1,0)</f>
        <v>6194</v>
      </c>
      <c r="U283" s="156" t="str">
        <f>+VLOOKUP($L283,Data_Validation!$A:$D,3,0)</f>
        <v>Véhicules neufs</v>
      </c>
      <c r="V283" s="156" t="str">
        <f>+VLOOKUP($L283,Data_Validation!$A:$D,4,0)</f>
        <v>Honoraires</v>
      </c>
      <c r="W283" s="156" t="str">
        <f>+VLOOKUP($L283,Data_Validation!$A:$E,5,0)</f>
        <v>$</v>
      </c>
      <c r="X283" s="156">
        <f>+VLOOKUP($L283,Data_Validation!$A:$F,6,0)</f>
        <v>0</v>
      </c>
    </row>
    <row r="284" spans="1:24" ht="15" hidden="1" customHeight="1">
      <c r="A284" s="1002" t="s">
        <v>1483</v>
      </c>
      <c r="B284" s="1145">
        <v>6201</v>
      </c>
      <c r="C284" s="1004">
        <v>0</v>
      </c>
      <c r="D284" s="1004">
        <v>7775.77</v>
      </c>
      <c r="E284" s="1004">
        <v>7775.77</v>
      </c>
      <c r="F284" s="1002" t="s">
        <v>401</v>
      </c>
      <c r="G284" s="1002" t="s">
        <v>2776</v>
      </c>
      <c r="H284" s="938"/>
      <c r="I284" s="938"/>
      <c r="J284" s="938"/>
      <c r="K284" s="938"/>
      <c r="L284" s="153">
        <f t="shared" si="18"/>
        <v>6201</v>
      </c>
      <c r="M284" s="154" t="str">
        <f t="shared" si="19"/>
        <v>COMMISSION USAGES</v>
      </c>
      <c r="N284" s="155">
        <f>+IF(OR($Q284=Parametres!$G$2,$Q284=Parametres!$G$3),I284,C284)</f>
        <v>0</v>
      </c>
      <c r="O284" s="575">
        <f>+IF(OR($Q284=Parametres!$G$2,$Q284=Parametres!$G$3),J284,D284)</f>
        <v>7775.77</v>
      </c>
      <c r="P284" s="155">
        <f>+IF(OR($Q284=Parametres!$G$2,$Q284=Parametres!$G$3),K284,E284)</f>
        <v>7775.77</v>
      </c>
      <c r="Q284" s="154" t="str">
        <f t="shared" si="21"/>
        <v>7-Dépenses</v>
      </c>
      <c r="R284" s="153" t="str">
        <f t="shared" si="21"/>
        <v>6101</v>
      </c>
      <c r="S284" s="154">
        <f t="shared" si="21"/>
        <v>0</v>
      </c>
      <c r="T284" s="156">
        <f>+VLOOKUP($L284,Data_Validation!$A:$D,1,0)</f>
        <v>6201</v>
      </c>
      <c r="U284" s="156" t="str">
        <f>+VLOOKUP($L284,Data_Validation!$A:$D,3,0)</f>
        <v>Véhicules usagés</v>
      </c>
      <c r="V284" s="156" t="str">
        <f>+VLOOKUP($L284,Data_Validation!$A:$D,4,0)</f>
        <v>Comm. vendeurs</v>
      </c>
      <c r="W284" s="156" t="str">
        <f>+VLOOKUP($L284,Data_Validation!$A:$E,5,0)</f>
        <v>$</v>
      </c>
      <c r="X284" s="156">
        <f>+VLOOKUP($L284,Data_Validation!$A:$F,6,0)</f>
        <v>0</v>
      </c>
    </row>
    <row r="285" spans="1:24" ht="15" hidden="1" customHeight="1">
      <c r="A285" s="1002" t="s">
        <v>1442</v>
      </c>
      <c r="B285" s="1145">
        <v>6202</v>
      </c>
      <c r="C285" s="1004">
        <v>0</v>
      </c>
      <c r="D285" s="1004">
        <v>7393.7</v>
      </c>
      <c r="E285" s="1004">
        <v>7393.7</v>
      </c>
      <c r="F285" s="1002" t="s">
        <v>401</v>
      </c>
      <c r="G285" s="1002" t="s">
        <v>2765</v>
      </c>
      <c r="H285" s="938"/>
      <c r="I285" s="938"/>
      <c r="J285" s="938"/>
      <c r="K285" s="938"/>
      <c r="L285" s="153">
        <f t="shared" si="18"/>
        <v>6202</v>
      </c>
      <c r="M285" s="154" t="str">
        <f t="shared" si="19"/>
        <v>RENUMERATION F &amp; I</v>
      </c>
      <c r="N285" s="155">
        <f>+IF(OR($Q285=Parametres!$G$2,$Q285=Parametres!$G$3),I285,C285)</f>
        <v>0</v>
      </c>
      <c r="O285" s="575">
        <f>+IF(OR($Q285=Parametres!$G$2,$Q285=Parametres!$G$3),J285,D285)</f>
        <v>7393.7</v>
      </c>
      <c r="P285" s="155">
        <f>+IF(OR($Q285=Parametres!$G$2,$Q285=Parametres!$G$3),K285,E285)</f>
        <v>7393.7</v>
      </c>
      <c r="Q285" s="154" t="str">
        <f t="shared" si="21"/>
        <v>7-Dépenses</v>
      </c>
      <c r="R285" s="153" t="str">
        <f t="shared" si="21"/>
        <v>6102</v>
      </c>
      <c r="S285" s="154">
        <f t="shared" si="21"/>
        <v>0</v>
      </c>
      <c r="T285" s="156">
        <f>+VLOOKUP($L285,Data_Validation!$A:$D,1,0)</f>
        <v>6202</v>
      </c>
      <c r="U285" s="156" t="str">
        <f>+VLOOKUP($L285,Data_Validation!$A:$D,3,0)</f>
        <v>Véhicules usagés</v>
      </c>
      <c r="V285" s="156" t="str">
        <f>+VLOOKUP($L285,Data_Validation!$A:$D,4,0)</f>
        <v>Comm. F&amp;I</v>
      </c>
      <c r="W285" s="156" t="str">
        <f>+VLOOKUP($L285,Data_Validation!$A:$E,5,0)</f>
        <v>$</v>
      </c>
      <c r="X285" s="156">
        <f>+VLOOKUP($L285,Data_Validation!$A:$F,6,0)</f>
        <v>0</v>
      </c>
    </row>
    <row r="286" spans="1:24" ht="15" hidden="1" customHeight="1">
      <c r="A286" s="1002" t="s">
        <v>1230</v>
      </c>
      <c r="B286" s="1145">
        <v>6203</v>
      </c>
      <c r="C286" s="1004">
        <v>0</v>
      </c>
      <c r="D286" s="1004">
        <v>2025.93</v>
      </c>
      <c r="E286" s="1004">
        <v>2025.93</v>
      </c>
      <c r="F286" s="1002" t="s">
        <v>401</v>
      </c>
      <c r="G286" s="1002" t="s">
        <v>2701</v>
      </c>
      <c r="H286" s="938"/>
      <c r="I286" s="938"/>
      <c r="J286" s="938"/>
      <c r="K286" s="938"/>
      <c r="L286" s="153">
        <f t="shared" si="18"/>
        <v>6203</v>
      </c>
      <c r="M286" s="154" t="str">
        <f t="shared" si="19"/>
        <v>RELAT. A LA CLIENTELLE &amp; AJUST</v>
      </c>
      <c r="N286" s="155">
        <f>+IF(OR($Q286=Parametres!$G$2,$Q286=Parametres!$G$3),I286,C286)</f>
        <v>0</v>
      </c>
      <c r="O286" s="575">
        <f>+IF(OR($Q286=Parametres!$G$2,$Q286=Parametres!$G$3),J286,D286)</f>
        <v>2025.93</v>
      </c>
      <c r="P286" s="155">
        <f>+IF(OR($Q286=Parametres!$G$2,$Q286=Parametres!$G$3),K286,E286)</f>
        <v>2025.93</v>
      </c>
      <c r="Q286" s="154" t="str">
        <f t="shared" si="21"/>
        <v>7-Dépenses</v>
      </c>
      <c r="R286" s="153" t="str">
        <f t="shared" si="21"/>
        <v>6103</v>
      </c>
      <c r="S286" s="154">
        <f t="shared" si="21"/>
        <v>0</v>
      </c>
      <c r="T286" s="156">
        <f>+VLOOKUP($L286,Data_Validation!$A:$D,1,0)</f>
        <v>6203</v>
      </c>
      <c r="U286" s="156" t="str">
        <f>+VLOOKUP($L286,Data_Validation!$A:$D,3,0)</f>
        <v>Véhicules usagés</v>
      </c>
      <c r="V286" s="156" t="str">
        <f>+VLOOKUP($L286,Data_Validation!$A:$D,4,0)</f>
        <v>Service gratuit 1</v>
      </c>
      <c r="W286" s="156" t="str">
        <f>+VLOOKUP($L286,Data_Validation!$A:$E,5,0)</f>
        <v>$</v>
      </c>
      <c r="X286" s="156">
        <f>+VLOOKUP($L286,Data_Validation!$A:$F,6,0)</f>
        <v>0</v>
      </c>
    </row>
    <row r="287" spans="1:24" ht="15.75" hidden="1" customHeight="1">
      <c r="A287" s="1002" t="s">
        <v>2752</v>
      </c>
      <c r="B287" s="1145">
        <v>6206</v>
      </c>
      <c r="C287" s="1004">
        <v>0</v>
      </c>
      <c r="D287" s="1004">
        <v>1915</v>
      </c>
      <c r="E287" s="1004">
        <v>1915</v>
      </c>
      <c r="F287" s="1002" t="s">
        <v>401</v>
      </c>
      <c r="G287" s="1002" t="s">
        <v>2754</v>
      </c>
      <c r="H287" s="938"/>
      <c r="I287" s="938"/>
      <c r="J287" s="938"/>
      <c r="K287" s="938"/>
      <c r="L287" s="153">
        <f t="shared" si="18"/>
        <v>6206</v>
      </c>
      <c r="M287" s="154" t="str">
        <f t="shared" si="19"/>
        <v>ENTRETIEN DES STOCKS</v>
      </c>
      <c r="N287" s="155">
        <f>+IF(OR($Q287=Parametres!$G$2,$Q287=Parametres!$G$3),I287,C287)</f>
        <v>0</v>
      </c>
      <c r="O287" s="575">
        <f>+IF(OR($Q287=Parametres!$G$2,$Q287=Parametres!$G$3),J287,D287)</f>
        <v>1915</v>
      </c>
      <c r="P287" s="155">
        <f>+IF(OR($Q287=Parametres!$G$2,$Q287=Parametres!$G$3),K287,E287)</f>
        <v>1915</v>
      </c>
      <c r="Q287" s="154" t="str">
        <f t="shared" si="21"/>
        <v>7-Dépenses</v>
      </c>
      <c r="R287" s="153" t="str">
        <f t="shared" si="21"/>
        <v>6106</v>
      </c>
      <c r="S287" s="154">
        <f t="shared" si="21"/>
        <v>0</v>
      </c>
      <c r="T287" s="156">
        <f>+VLOOKUP($L287,Data_Validation!$A:$D,1,0)</f>
        <v>6206</v>
      </c>
      <c r="U287" s="156" t="str">
        <f>+VLOOKUP($L287,Data_Validation!$A:$D,3,0)</f>
        <v>Véhicules usagés</v>
      </c>
      <c r="V287" s="156" t="str">
        <f>+VLOOKUP($L287,Data_Validation!$A:$D,4,0)</f>
        <v>Entretien stock</v>
      </c>
      <c r="W287" s="156" t="str">
        <f>+VLOOKUP($L287,Data_Validation!$A:$E,5,0)</f>
        <v>$</v>
      </c>
      <c r="X287" s="156">
        <f>+VLOOKUP($L287,Data_Validation!$A:$F,6,0)</f>
        <v>0</v>
      </c>
    </row>
    <row r="288" spans="1:24" ht="15" hidden="1" customHeight="1">
      <c r="A288" s="1002" t="s">
        <v>938</v>
      </c>
      <c r="B288" s="1145">
        <v>6207</v>
      </c>
      <c r="C288" s="1004">
        <v>0</v>
      </c>
      <c r="D288" s="1004">
        <v>529.13</v>
      </c>
      <c r="E288" s="1004">
        <v>529.13</v>
      </c>
      <c r="F288" s="1002" t="s">
        <v>401</v>
      </c>
      <c r="G288" s="1002" t="s">
        <v>2607</v>
      </c>
      <c r="H288" s="938"/>
      <c r="I288" s="938"/>
      <c r="J288" s="938"/>
      <c r="K288" s="938"/>
      <c r="L288" s="153">
        <f t="shared" si="18"/>
        <v>6207</v>
      </c>
      <c r="M288" s="154" t="str">
        <f t="shared" si="19"/>
        <v>INTERET-PLAN DE FINANCEMENT</v>
      </c>
      <c r="N288" s="155">
        <f>+IF(OR($Q288=Parametres!$G$2,$Q288=Parametres!$G$3),I288,C288)</f>
        <v>0</v>
      </c>
      <c r="O288" s="575">
        <f>+IF(OR($Q288=Parametres!$G$2,$Q288=Parametres!$G$3),J288,D288)</f>
        <v>529.13</v>
      </c>
      <c r="P288" s="155">
        <f>+IF(OR($Q288=Parametres!$G$2,$Q288=Parametres!$G$3),K288,E288)</f>
        <v>529.13</v>
      </c>
      <c r="Q288" s="154" t="str">
        <f t="shared" si="21"/>
        <v>7-Dépenses</v>
      </c>
      <c r="R288" s="153" t="str">
        <f t="shared" si="21"/>
        <v>6107</v>
      </c>
      <c r="S288" s="154">
        <f t="shared" si="21"/>
        <v>0</v>
      </c>
      <c r="T288" s="156">
        <f>+VLOOKUP($L288,Data_Validation!$A:$D,1,0)</f>
        <v>6207</v>
      </c>
      <c r="U288" s="156" t="str">
        <f>+VLOOKUP($L288,Data_Validation!$A:$D,3,0)</f>
        <v>Véhicules usagés</v>
      </c>
      <c r="V288" s="156" t="str">
        <f>+VLOOKUP($L288,Data_Validation!$A:$D,4,0)</f>
        <v>Intérêt de gros</v>
      </c>
      <c r="W288" s="156" t="str">
        <f>+VLOOKUP($L288,Data_Validation!$A:$E,5,0)</f>
        <v>$</v>
      </c>
      <c r="X288" s="156">
        <f>+VLOOKUP($L288,Data_Validation!$A:$F,6,0)</f>
        <v>0</v>
      </c>
    </row>
    <row r="289" spans="1:24" ht="15" hidden="1" customHeight="1">
      <c r="A289" s="1002" t="s">
        <v>1407</v>
      </c>
      <c r="B289" s="1145">
        <v>6208</v>
      </c>
      <c r="C289" s="1004">
        <v>0</v>
      </c>
      <c r="D289" s="1004">
        <v>554.42999999999995</v>
      </c>
      <c r="E289" s="1004">
        <v>554.42999999999995</v>
      </c>
      <c r="F289" s="1002" t="s">
        <v>401</v>
      </c>
      <c r="G289" s="1002" t="s">
        <v>2691</v>
      </c>
      <c r="H289" s="961"/>
      <c r="I289" s="962"/>
      <c r="J289" s="962"/>
      <c r="K289" s="962"/>
      <c r="L289" s="153">
        <f t="shared" si="18"/>
        <v>6208</v>
      </c>
      <c r="M289" s="154" t="str">
        <f t="shared" si="19"/>
        <v>FRAIS DE LIVRAISON</v>
      </c>
      <c r="N289" s="155">
        <f>+IF(OR($Q289=Parametres!$G$2,$Q289=Parametres!$G$3),I289,C289)</f>
        <v>0</v>
      </c>
      <c r="O289" s="575">
        <f>+IF(OR($Q289=Parametres!$G$2,$Q289=Parametres!$G$3),J289,D289)</f>
        <v>554.42999999999995</v>
      </c>
      <c r="P289" s="155">
        <f>+IF(OR($Q289=Parametres!$G$2,$Q289=Parametres!$G$3),K289,E289)</f>
        <v>554.42999999999995</v>
      </c>
      <c r="Q289" s="154" t="str">
        <f t="shared" si="21"/>
        <v>7-Dépenses</v>
      </c>
      <c r="R289" s="153" t="str">
        <f t="shared" si="21"/>
        <v>6108</v>
      </c>
      <c r="S289" s="154">
        <f t="shared" si="21"/>
        <v>0</v>
      </c>
      <c r="T289" s="156">
        <f>+VLOOKUP($L289,Data_Validation!$A:$D,1,0)</f>
        <v>6208</v>
      </c>
      <c r="U289" s="156" t="str">
        <f>+VLOOKUP($L289,Data_Validation!$A:$D,3,0)</f>
        <v>Véhicules usagés</v>
      </c>
      <c r="V289" s="156" t="str">
        <f>+VLOOKUP($L289,Data_Validation!$A:$D,4,0)</f>
        <v>Frais de livraison</v>
      </c>
      <c r="W289" s="156" t="str">
        <f>+VLOOKUP($L289,Data_Validation!$A:$E,5,0)</f>
        <v>$</v>
      </c>
      <c r="X289" s="156">
        <f>+VLOOKUP($L289,Data_Validation!$A:$F,6,0)</f>
        <v>0</v>
      </c>
    </row>
    <row r="290" spans="1:24" ht="15" hidden="1" customHeight="1">
      <c r="A290" s="1002" t="s">
        <v>1374</v>
      </c>
      <c r="B290" s="1145">
        <v>6214</v>
      </c>
      <c r="C290" s="1004">
        <v>0</v>
      </c>
      <c r="D290" s="1004">
        <v>4219.5200000000004</v>
      </c>
      <c r="E290" s="1004">
        <v>4219.5200000000004</v>
      </c>
      <c r="F290" s="1002" t="s">
        <v>401</v>
      </c>
      <c r="G290" s="1002" t="s">
        <v>2110</v>
      </c>
      <c r="H290" s="961"/>
      <c r="I290" s="962"/>
      <c r="J290" s="962"/>
      <c r="K290" s="962"/>
      <c r="L290" s="153">
        <f t="shared" si="18"/>
        <v>6214</v>
      </c>
      <c r="M290" s="154" t="str">
        <f t="shared" si="19"/>
        <v>PUBLICITE</v>
      </c>
      <c r="N290" s="155">
        <f>+IF(OR($Q290=Parametres!$G$2,$Q290=Parametres!$G$3),I290,C290)</f>
        <v>0</v>
      </c>
      <c r="O290" s="575">
        <f>+IF(OR($Q290=Parametres!$G$2,$Q290=Parametres!$G$3),J290,D290)</f>
        <v>4219.5200000000004</v>
      </c>
      <c r="P290" s="155">
        <f>+IF(OR($Q290=Parametres!$G$2,$Q290=Parametres!$G$3),K290,E290)</f>
        <v>4219.5200000000004</v>
      </c>
      <c r="Q290" s="154" t="str">
        <f t="shared" ref="Q290:S305" si="22">+F290</f>
        <v>7-Dépenses</v>
      </c>
      <c r="R290" s="153" t="str">
        <f t="shared" si="22"/>
        <v>6114</v>
      </c>
      <c r="S290" s="154">
        <f t="shared" si="22"/>
        <v>0</v>
      </c>
      <c r="T290" s="156">
        <f>+VLOOKUP($L290,Data_Validation!$A:$D,1,0)</f>
        <v>6214</v>
      </c>
      <c r="U290" s="156" t="str">
        <f>+VLOOKUP($L290,Data_Validation!$A:$D,3,0)</f>
        <v>Véhicules usagés</v>
      </c>
      <c r="V290" s="156" t="str">
        <f>+VLOOKUP($L290,Data_Validation!$A:$D,4,0)</f>
        <v>Publicité 1</v>
      </c>
      <c r="W290" s="156" t="str">
        <f>+VLOOKUP($L290,Data_Validation!$A:$E,5,0)</f>
        <v>$</v>
      </c>
      <c r="X290" s="156">
        <f>+VLOOKUP($L290,Data_Validation!$A:$F,6,0)</f>
        <v>0</v>
      </c>
    </row>
    <row r="291" spans="1:24" ht="15.75" hidden="1" customHeight="1">
      <c r="A291" s="1002" t="s">
        <v>2145</v>
      </c>
      <c r="B291" s="1145">
        <v>6215</v>
      </c>
      <c r="C291" s="1004">
        <v>0</v>
      </c>
      <c r="D291" s="1004">
        <v>-1400</v>
      </c>
      <c r="E291" s="1004">
        <v>-1400</v>
      </c>
      <c r="F291" s="1002" t="s">
        <v>401</v>
      </c>
      <c r="G291" s="1002" t="s">
        <v>2110</v>
      </c>
      <c r="H291" s="961"/>
      <c r="I291" s="962"/>
      <c r="J291" s="962"/>
      <c r="K291" s="962"/>
      <c r="L291" s="153">
        <f t="shared" si="18"/>
        <v>6215</v>
      </c>
      <c r="M291" s="154" t="str">
        <f t="shared" si="19"/>
        <v>CREDIT PUBLICITE USAGES</v>
      </c>
      <c r="N291" s="155">
        <f>+IF(OR($Q291=Parametres!$G$2,$Q291=Parametres!$G$3),I291,C291)</f>
        <v>0</v>
      </c>
      <c r="O291" s="575">
        <f>+IF(OR($Q291=Parametres!$G$2,$Q291=Parametres!$G$3),J291,D291)</f>
        <v>-1400</v>
      </c>
      <c r="P291" s="155">
        <f>+IF(OR($Q291=Parametres!$G$2,$Q291=Parametres!$G$3),K291,E291)</f>
        <v>-1400</v>
      </c>
      <c r="Q291" s="154" t="str">
        <f t="shared" si="22"/>
        <v>7-Dépenses</v>
      </c>
      <c r="R291" s="153" t="str">
        <f t="shared" si="22"/>
        <v>6114</v>
      </c>
      <c r="S291" s="154">
        <f t="shared" si="22"/>
        <v>0</v>
      </c>
      <c r="T291" s="156">
        <f>+VLOOKUP($L291,Data_Validation!$A:$D,1,0)</f>
        <v>6215</v>
      </c>
      <c r="U291" s="156" t="str">
        <f>+VLOOKUP($L291,Data_Validation!$A:$D,3,0)</f>
        <v>Véhicules usagés</v>
      </c>
      <c r="V291" s="156" t="str">
        <f>+VLOOKUP($L291,Data_Validation!$A:$D,4,0)</f>
        <v>Publicité 1</v>
      </c>
      <c r="W291" s="156" t="str">
        <f>+VLOOKUP($L291,Data_Validation!$A:$E,5,0)</f>
        <v>$</v>
      </c>
      <c r="X291" s="156">
        <f>+VLOOKUP($L291,Data_Validation!$A:$F,6,0)</f>
        <v>0</v>
      </c>
    </row>
    <row r="292" spans="1:24" ht="15" hidden="1" customHeight="1">
      <c r="A292" s="1002" t="s">
        <v>1259</v>
      </c>
      <c r="B292" s="1145">
        <v>6221</v>
      </c>
      <c r="C292" s="1004">
        <v>0</v>
      </c>
      <c r="D292" s="1004">
        <v>350</v>
      </c>
      <c r="E292" s="1004">
        <v>350</v>
      </c>
      <c r="F292" s="1002" t="s">
        <v>401</v>
      </c>
      <c r="G292" s="1002" t="s">
        <v>2643</v>
      </c>
      <c r="H292" s="961"/>
      <c r="I292" s="962"/>
      <c r="J292" s="962"/>
      <c r="K292" s="962"/>
      <c r="L292" s="153">
        <f t="shared" si="18"/>
        <v>6221</v>
      </c>
      <c r="M292" s="154" t="str">
        <f t="shared" si="19"/>
        <v>SALAIRES - PROPRIETAIRES</v>
      </c>
      <c r="N292" s="155">
        <f>+IF(OR($Q292=Parametres!$G$2,$Q292=Parametres!$G$3),I292,C292)</f>
        <v>0</v>
      </c>
      <c r="O292" s="155">
        <f>+IF(OR($Q292=Parametres!$G$2,$Q292=Parametres!$G$3),J292,D292)</f>
        <v>350</v>
      </c>
      <c r="P292" s="155">
        <f>+IF(OR($Q292=Parametres!$G$2,$Q292=Parametres!$G$3),K292,E292)</f>
        <v>350</v>
      </c>
      <c r="Q292" s="154" t="str">
        <f t="shared" si="22"/>
        <v>7-Dépenses</v>
      </c>
      <c r="R292" s="153" t="str">
        <f t="shared" si="22"/>
        <v>6121</v>
      </c>
      <c r="S292" s="154">
        <f t="shared" si="22"/>
        <v>0</v>
      </c>
      <c r="T292" s="156">
        <f>+VLOOKUP($L292,Data_Validation!$A:$D,1,0)</f>
        <v>6221</v>
      </c>
      <c r="U292" s="156" t="str">
        <f>+VLOOKUP($L292,Data_Validation!$A:$D,3,0)</f>
        <v>Véhicules usagés</v>
      </c>
      <c r="V292" s="156" t="str">
        <f>+VLOOKUP($L292,Data_Validation!$A:$D,4,0)</f>
        <v>Salaires propriétaire</v>
      </c>
      <c r="W292" s="156" t="str">
        <f>+VLOOKUP($L292,Data_Validation!$A:$E,5,0)</f>
        <v>$</v>
      </c>
      <c r="X292" s="156">
        <f>+VLOOKUP($L292,Data_Validation!$A:$F,6,0)</f>
        <v>0</v>
      </c>
    </row>
    <row r="293" spans="1:24" ht="15" hidden="1" customHeight="1">
      <c r="A293" s="1002" t="s">
        <v>2619</v>
      </c>
      <c r="B293" s="1145">
        <v>6222</v>
      </c>
      <c r="C293" s="1004">
        <v>0</v>
      </c>
      <c r="D293" s="1004">
        <v>11571</v>
      </c>
      <c r="E293" s="1004">
        <v>11571</v>
      </c>
      <c r="F293" s="1002" t="s">
        <v>401</v>
      </c>
      <c r="G293" s="1002" t="s">
        <v>2621</v>
      </c>
      <c r="H293" s="961"/>
      <c r="I293" s="962"/>
      <c r="J293" s="962"/>
      <c r="K293" s="962"/>
      <c r="L293" s="153">
        <f t="shared" si="18"/>
        <v>6222</v>
      </c>
      <c r="M293" s="154" t="str">
        <f t="shared" si="19"/>
        <v>SAL SUPERVISION / GERANT</v>
      </c>
      <c r="N293" s="155">
        <f>+IF(OR($Q293=Parametres!$G$2,$Q293=Parametres!$G$3),I293,C293)</f>
        <v>0</v>
      </c>
      <c r="O293" s="155">
        <f>+IF(OR($Q293=Parametres!$G$2,$Q293=Parametres!$G$3),J293,D293)</f>
        <v>11571</v>
      </c>
      <c r="P293" s="155">
        <f>+IF(OR($Q293=Parametres!$G$2,$Q293=Parametres!$G$3),K293,E293)</f>
        <v>11571</v>
      </c>
      <c r="Q293" s="154" t="str">
        <f t="shared" si="22"/>
        <v>7-Dépenses</v>
      </c>
      <c r="R293" s="153" t="str">
        <f t="shared" si="22"/>
        <v>6122</v>
      </c>
      <c r="S293" s="154">
        <f t="shared" si="22"/>
        <v>0</v>
      </c>
      <c r="T293" s="156">
        <f>+VLOOKUP($L293,Data_Validation!$A:$D,1,0)</f>
        <v>6222</v>
      </c>
      <c r="U293" s="156" t="str">
        <f>+VLOOKUP($L293,Data_Validation!$A:$D,3,0)</f>
        <v>Véhicules usagés</v>
      </c>
      <c r="V293" s="156" t="str">
        <f>+VLOOKUP($L293,Data_Validation!$A:$D,4,0)</f>
        <v>Salaires cadres</v>
      </c>
      <c r="W293" s="156" t="str">
        <f>+VLOOKUP($L293,Data_Validation!$A:$E,5,0)</f>
        <v>$</v>
      </c>
      <c r="X293" s="156">
        <f>+VLOOKUP($L293,Data_Validation!$A:$F,6,0)</f>
        <v>0</v>
      </c>
    </row>
    <row r="294" spans="1:24" ht="15" hidden="1" customHeight="1">
      <c r="A294" s="1002" t="s">
        <v>1342</v>
      </c>
      <c r="B294" s="1145">
        <v>6223</v>
      </c>
      <c r="C294" s="1004">
        <v>0</v>
      </c>
      <c r="D294" s="1004">
        <v>2021.59</v>
      </c>
      <c r="E294" s="1004">
        <v>2021.59</v>
      </c>
      <c r="F294" s="1002" t="s">
        <v>401</v>
      </c>
      <c r="G294" s="1002" t="s">
        <v>2674</v>
      </c>
      <c r="H294" s="961"/>
      <c r="I294" s="962"/>
      <c r="J294" s="962"/>
      <c r="K294" s="962"/>
      <c r="L294" s="153">
        <f t="shared" si="18"/>
        <v>6223</v>
      </c>
      <c r="M294" s="154" t="str">
        <f t="shared" si="19"/>
        <v>SAL. &amp; RENUM. - CLERICAL</v>
      </c>
      <c r="N294" s="155">
        <f>+IF(OR($Q294=Parametres!$G$2,$Q294=Parametres!$G$3),I294,C294)</f>
        <v>0</v>
      </c>
      <c r="O294" s="155">
        <f>+IF(OR($Q294=Parametres!$G$2,$Q294=Parametres!$G$3),J294,D294)</f>
        <v>2021.59</v>
      </c>
      <c r="P294" s="155">
        <f>+IF(OR($Q294=Parametres!$G$2,$Q294=Parametres!$G$3),K294,E294)</f>
        <v>2021.59</v>
      </c>
      <c r="Q294" s="154" t="str">
        <f t="shared" si="22"/>
        <v>7-Dépenses</v>
      </c>
      <c r="R294" s="153" t="str">
        <f t="shared" si="22"/>
        <v>6123</v>
      </c>
      <c r="S294" s="154">
        <f t="shared" si="22"/>
        <v>0</v>
      </c>
      <c r="T294" s="156">
        <f>+VLOOKUP($L294,Data_Validation!$A:$D,1,0)</f>
        <v>6223</v>
      </c>
      <c r="U294" s="156" t="str">
        <f>+VLOOKUP($L294,Data_Validation!$A:$D,3,0)</f>
        <v>Véhicules usagés</v>
      </c>
      <c r="V294" s="156" t="str">
        <f>+VLOOKUP($L294,Data_Validation!$A:$D,4,0)</f>
        <v>Salaires commis</v>
      </c>
      <c r="W294" s="156" t="str">
        <f>+VLOOKUP($L294,Data_Validation!$A:$E,5,0)</f>
        <v>$</v>
      </c>
      <c r="X294" s="156">
        <f>+VLOOKUP($L294,Data_Validation!$A:$F,6,0)</f>
        <v>0</v>
      </c>
    </row>
    <row r="295" spans="1:24" ht="15" hidden="1" customHeight="1">
      <c r="A295" s="1002" t="s">
        <v>1412</v>
      </c>
      <c r="B295" s="1145">
        <v>6224</v>
      </c>
      <c r="C295" s="1004">
        <v>0</v>
      </c>
      <c r="D295" s="1004">
        <v>5454.29</v>
      </c>
      <c r="E295" s="1004">
        <v>5454.29</v>
      </c>
      <c r="F295" s="1002" t="s">
        <v>401</v>
      </c>
      <c r="G295" s="1002" t="s">
        <v>2730</v>
      </c>
      <c r="H295" s="961"/>
      <c r="I295" s="962"/>
      <c r="J295" s="962"/>
      <c r="K295" s="962"/>
      <c r="L295" s="153">
        <f t="shared" si="18"/>
        <v>6224</v>
      </c>
      <c r="M295" s="154" t="str">
        <f t="shared" si="19"/>
        <v>SALAIRE &amp; RENUM. - AUTRES</v>
      </c>
      <c r="N295" s="155">
        <f>+IF(OR($Q295=Parametres!$G$2,$Q295=Parametres!$G$3),I295,C295)</f>
        <v>0</v>
      </c>
      <c r="O295" s="155">
        <f>+IF(OR($Q295=Parametres!$G$2,$Q295=Parametres!$G$3),J295,D295)</f>
        <v>5454.29</v>
      </c>
      <c r="P295" s="155">
        <f>+IF(OR($Q295=Parametres!$G$2,$Q295=Parametres!$G$3),K295,E295)</f>
        <v>5454.29</v>
      </c>
      <c r="Q295" s="154" t="str">
        <f t="shared" si="22"/>
        <v>7-Dépenses</v>
      </c>
      <c r="R295" s="153" t="str">
        <f t="shared" si="22"/>
        <v>6124</v>
      </c>
      <c r="S295" s="154">
        <f t="shared" si="22"/>
        <v>0</v>
      </c>
      <c r="T295" s="156">
        <f>+VLOOKUP($L295,Data_Validation!$A:$D,1,0)</f>
        <v>6224</v>
      </c>
      <c r="U295" s="156" t="str">
        <f>+VLOOKUP($L295,Data_Validation!$A:$D,3,0)</f>
        <v>Véhicules usagés</v>
      </c>
      <c r="V295" s="156" t="str">
        <f>+VLOOKUP($L295,Data_Validation!$A:$D,4,0)</f>
        <v>Salaires autres</v>
      </c>
      <c r="W295" s="156" t="str">
        <f>+VLOOKUP($L295,Data_Validation!$A:$E,5,0)</f>
        <v>$</v>
      </c>
      <c r="X295" s="156">
        <f>+VLOOKUP($L295,Data_Validation!$A:$F,6,0)</f>
        <v>0</v>
      </c>
    </row>
    <row r="296" spans="1:24" ht="15" hidden="1" customHeight="1">
      <c r="A296" s="1002" t="s">
        <v>1211</v>
      </c>
      <c r="B296" s="1145">
        <v>6229</v>
      </c>
      <c r="C296" s="1004">
        <v>0</v>
      </c>
      <c r="D296" s="1004">
        <v>2069.35</v>
      </c>
      <c r="E296" s="1004">
        <v>2069.35</v>
      </c>
      <c r="F296" s="1002" t="s">
        <v>401</v>
      </c>
      <c r="G296" s="1002" t="s">
        <v>2636</v>
      </c>
      <c r="H296" s="961"/>
      <c r="I296" s="962"/>
      <c r="J296" s="962"/>
      <c r="K296" s="962"/>
      <c r="L296" s="153">
        <f t="shared" si="18"/>
        <v>6229</v>
      </c>
      <c r="M296" s="154" t="str">
        <f t="shared" si="19"/>
        <v>ABS.,VACANCES &amp; SAL. JOURS FER</v>
      </c>
      <c r="N296" s="155">
        <f>+IF(OR($Q296=Parametres!$G$2,$Q296=Parametres!$G$3),I296,C296)</f>
        <v>0</v>
      </c>
      <c r="O296" s="155">
        <f>+IF(OR($Q296=Parametres!$G$2,$Q296=Parametres!$G$3),J296,D296)</f>
        <v>2069.35</v>
      </c>
      <c r="P296" s="155">
        <f>+IF(OR($Q296=Parametres!$G$2,$Q296=Parametres!$G$3),K296,E296)</f>
        <v>2069.35</v>
      </c>
      <c r="Q296" s="154" t="str">
        <f t="shared" si="22"/>
        <v>7-Dépenses</v>
      </c>
      <c r="R296" s="153" t="str">
        <f t="shared" si="22"/>
        <v>6129</v>
      </c>
      <c r="S296" s="154">
        <f t="shared" si="22"/>
        <v>0</v>
      </c>
      <c r="T296" s="156">
        <f>+VLOOKUP($L296,Data_Validation!$A:$D,1,0)</f>
        <v>6229</v>
      </c>
      <c r="U296" s="156" t="str">
        <f>+VLOOKUP($L296,Data_Validation!$A:$D,3,0)</f>
        <v>Véhicules usagés</v>
      </c>
      <c r="V296" s="156" t="str">
        <f>+VLOOKUP($L296,Data_Validation!$A:$D,4,0)</f>
        <v>Salaires en absences</v>
      </c>
      <c r="W296" s="156" t="str">
        <f>+VLOOKUP($L296,Data_Validation!$A:$E,5,0)</f>
        <v>$</v>
      </c>
      <c r="X296" s="156">
        <f>+VLOOKUP($L296,Data_Validation!$A:$F,6,0)</f>
        <v>0</v>
      </c>
    </row>
    <row r="297" spans="1:24" ht="15.75" hidden="1" customHeight="1">
      <c r="A297" s="1002" t="s">
        <v>1283</v>
      </c>
      <c r="B297" s="1145">
        <v>6232</v>
      </c>
      <c r="C297" s="1004">
        <v>0</v>
      </c>
      <c r="D297" s="1004">
        <v>2743.13</v>
      </c>
      <c r="E297" s="1004">
        <v>2743.13</v>
      </c>
      <c r="F297" s="1002" t="s">
        <v>401</v>
      </c>
      <c r="G297" s="1002" t="s">
        <v>2680</v>
      </c>
      <c r="H297" s="961"/>
      <c r="I297" s="962"/>
      <c r="J297" s="962"/>
      <c r="K297" s="962"/>
      <c r="L297" s="153">
        <f t="shared" si="18"/>
        <v>6232</v>
      </c>
      <c r="M297" s="154" t="str">
        <f t="shared" si="19"/>
        <v>RRQ RAMQ AC</v>
      </c>
      <c r="N297" s="155">
        <f>+IF(OR($Q297=Parametres!$G$2,$Q297=Parametres!$G$3),I297,C297)</f>
        <v>0</v>
      </c>
      <c r="O297" s="155">
        <f>+IF(OR($Q297=Parametres!$G$2,$Q297=Parametres!$G$3),J297,D297)</f>
        <v>2743.13</v>
      </c>
      <c r="P297" s="155">
        <f>+IF(OR($Q297=Parametres!$G$2,$Q297=Parametres!$G$3),K297,E297)</f>
        <v>2743.13</v>
      </c>
      <c r="Q297" s="154" t="str">
        <f t="shared" si="22"/>
        <v>7-Dépenses</v>
      </c>
      <c r="R297" s="153" t="str">
        <f t="shared" si="22"/>
        <v>6132</v>
      </c>
      <c r="S297" s="154">
        <f t="shared" si="22"/>
        <v>0</v>
      </c>
      <c r="T297" s="156">
        <f>+VLOOKUP($L297,Data_Validation!$A:$D,1,0)</f>
        <v>6232</v>
      </c>
      <c r="U297" s="156" t="str">
        <f>+VLOOKUP($L297,Data_Validation!$A:$D,3,0)</f>
        <v>Véhicules usagés</v>
      </c>
      <c r="V297" s="156" t="str">
        <f>+VLOOKUP($L297,Data_Validation!$A:$D,4,0)</f>
        <v>Déduction à la source</v>
      </c>
      <c r="W297" s="156" t="str">
        <f>+VLOOKUP($L297,Data_Validation!$A:$E,5,0)</f>
        <v>$</v>
      </c>
      <c r="X297" s="156">
        <f>+VLOOKUP($L297,Data_Validation!$A:$F,6,0)</f>
        <v>0</v>
      </c>
    </row>
    <row r="298" spans="1:24" ht="15" hidden="1" customHeight="1">
      <c r="A298" s="1002" t="s">
        <v>1305</v>
      </c>
      <c r="B298" s="1145">
        <v>6239</v>
      </c>
      <c r="C298" s="1004">
        <v>0</v>
      </c>
      <c r="D298" s="1004">
        <v>2196</v>
      </c>
      <c r="E298" s="1004">
        <v>2196</v>
      </c>
      <c r="F298" s="1002" t="s">
        <v>401</v>
      </c>
      <c r="G298" s="1002" t="s">
        <v>2689</v>
      </c>
      <c r="H298" s="961"/>
      <c r="I298" s="962"/>
      <c r="J298" s="962"/>
      <c r="K298" s="962"/>
      <c r="L298" s="153">
        <f t="shared" si="18"/>
        <v>6239</v>
      </c>
      <c r="M298" s="154" t="str">
        <f t="shared" si="19"/>
        <v>ASSURANCE GROUPE</v>
      </c>
      <c r="N298" s="155">
        <f>+IF(OR($Q298=Parametres!$G$2,$Q298=Parametres!$G$3),I298,C298)</f>
        <v>0</v>
      </c>
      <c r="O298" s="155">
        <f>+IF(OR($Q298=Parametres!$G$2,$Q298=Parametres!$G$3),J298,D298)</f>
        <v>2196</v>
      </c>
      <c r="P298" s="155">
        <f>+IF(OR($Q298=Parametres!$G$2,$Q298=Parametres!$G$3),K298,E298)</f>
        <v>2196</v>
      </c>
      <c r="Q298" s="154" t="str">
        <f t="shared" si="22"/>
        <v>7-Dépenses</v>
      </c>
      <c r="R298" s="153" t="str">
        <f t="shared" si="22"/>
        <v>6139</v>
      </c>
      <c r="S298" s="154">
        <f t="shared" si="22"/>
        <v>0</v>
      </c>
      <c r="T298" s="156">
        <f>+VLOOKUP($L298,Data_Validation!$A:$D,1,0)</f>
        <v>6239</v>
      </c>
      <c r="U298" s="156" t="str">
        <f>+VLOOKUP($L298,Data_Validation!$A:$D,3,0)</f>
        <v>Véhicules usagés</v>
      </c>
      <c r="V298" s="156" t="str">
        <f>+VLOOKUP($L298,Data_Validation!$A:$D,4,0)</f>
        <v>Bénéfices marginaux</v>
      </c>
      <c r="W298" s="156" t="str">
        <f>+VLOOKUP($L298,Data_Validation!$A:$E,5,0)</f>
        <v>$</v>
      </c>
      <c r="X298" s="156">
        <f>+VLOOKUP($L298,Data_Validation!$A:$F,6,0)</f>
        <v>0</v>
      </c>
    </row>
    <row r="299" spans="1:24" ht="15" hidden="1" customHeight="1">
      <c r="A299" s="1002" t="s">
        <v>934</v>
      </c>
      <c r="B299" s="1145">
        <v>6244</v>
      </c>
      <c r="C299" s="1004">
        <v>0</v>
      </c>
      <c r="D299" s="1004">
        <v>10.62</v>
      </c>
      <c r="E299" s="1004">
        <v>10.62</v>
      </c>
      <c r="F299" s="1002" t="s">
        <v>401</v>
      </c>
      <c r="G299" s="1002" t="s">
        <v>2556</v>
      </c>
      <c r="H299" s="961"/>
      <c r="I299" s="962"/>
      <c r="J299" s="962"/>
      <c r="K299" s="962"/>
      <c r="L299" s="153">
        <f t="shared" si="18"/>
        <v>6244</v>
      </c>
      <c r="M299" s="154" t="str">
        <f t="shared" si="19"/>
        <v>FORMATION</v>
      </c>
      <c r="N299" s="155">
        <f>+IF(OR($Q299=Parametres!$G$2,$Q299=Parametres!$G$3),I299,C299)</f>
        <v>0</v>
      </c>
      <c r="O299" s="155">
        <f>+IF(OR($Q299=Parametres!$G$2,$Q299=Parametres!$G$3),J299,D299)</f>
        <v>10.62</v>
      </c>
      <c r="P299" s="155">
        <f>+IF(OR($Q299=Parametres!$G$2,$Q299=Parametres!$G$3),K299,E299)</f>
        <v>10.62</v>
      </c>
      <c r="Q299" s="154" t="str">
        <f t="shared" si="22"/>
        <v>7-Dépenses</v>
      </c>
      <c r="R299" s="153" t="str">
        <f t="shared" si="22"/>
        <v>6144</v>
      </c>
      <c r="S299" s="154">
        <f t="shared" si="22"/>
        <v>0</v>
      </c>
      <c r="T299" s="156">
        <f>+VLOOKUP($L299,Data_Validation!$A:$D,1,0)</f>
        <v>6244</v>
      </c>
      <c r="U299" s="156" t="str">
        <f>+VLOOKUP($L299,Data_Validation!$A:$D,3,0)</f>
        <v>Véhicules usagés</v>
      </c>
      <c r="V299" s="156" t="str">
        <f>+VLOOKUP($L299,Data_Validation!$A:$D,4,0)</f>
        <v>Formation</v>
      </c>
      <c r="W299" s="156" t="str">
        <f>+VLOOKUP($L299,Data_Validation!$A:$E,5,0)</f>
        <v>$</v>
      </c>
      <c r="X299" s="156">
        <f>+VLOOKUP($L299,Data_Validation!$A:$F,6,0)</f>
        <v>0</v>
      </c>
    </row>
    <row r="300" spans="1:24" ht="15" hidden="1" customHeight="1">
      <c r="A300" s="1002" t="s">
        <v>1186</v>
      </c>
      <c r="B300" s="1145">
        <v>6245</v>
      </c>
      <c r="C300" s="1004">
        <v>0</v>
      </c>
      <c r="D300" s="1004">
        <v>-409.62</v>
      </c>
      <c r="E300" s="1004">
        <v>-409.62</v>
      </c>
      <c r="F300" s="1002" t="s">
        <v>401</v>
      </c>
      <c r="G300" s="1002" t="s">
        <v>2627</v>
      </c>
      <c r="H300" s="961"/>
      <c r="I300" s="962"/>
      <c r="J300" s="962"/>
      <c r="K300" s="962"/>
      <c r="L300" s="153">
        <f t="shared" si="18"/>
        <v>6245</v>
      </c>
      <c r="M300" s="154" t="str">
        <f t="shared" si="19"/>
        <v>VEHICULE DE COMPAGNIE - DEPENS</v>
      </c>
      <c r="N300" s="155">
        <f>+IF(OR($Q300=Parametres!$G$2,$Q300=Parametres!$G$3),I300,C300)</f>
        <v>0</v>
      </c>
      <c r="O300" s="155">
        <f>+IF(OR($Q300=Parametres!$G$2,$Q300=Parametres!$G$3),J300,D300)</f>
        <v>-409.62</v>
      </c>
      <c r="P300" s="155">
        <f>+IF(OR($Q300=Parametres!$G$2,$Q300=Parametres!$G$3),K300,E300)</f>
        <v>-409.62</v>
      </c>
      <c r="Q300" s="154" t="str">
        <f t="shared" si="22"/>
        <v>7-Dépenses</v>
      </c>
      <c r="R300" s="153" t="str">
        <f t="shared" si="22"/>
        <v>6145</v>
      </c>
      <c r="S300" s="154">
        <f t="shared" si="22"/>
        <v>0</v>
      </c>
      <c r="T300" s="156">
        <f>+VLOOKUP($L300,Data_Validation!$A:$D,1,0)</f>
        <v>6245</v>
      </c>
      <c r="U300" s="156" t="str">
        <f>+VLOOKUP($L300,Data_Validation!$A:$D,3,0)</f>
        <v>Véhicules usagés</v>
      </c>
      <c r="V300" s="156" t="str">
        <f>+VLOOKUP($L300,Data_Validation!$A:$D,4,0)</f>
        <v>Frais véhicules de cie</v>
      </c>
      <c r="W300" s="156" t="str">
        <f>+VLOOKUP($L300,Data_Validation!$A:$E,5,0)</f>
        <v>$</v>
      </c>
      <c r="X300" s="156">
        <f>+VLOOKUP($L300,Data_Validation!$A:$F,6,0)</f>
        <v>0</v>
      </c>
    </row>
    <row r="301" spans="1:24" ht="15.75" hidden="1" customHeight="1">
      <c r="A301" s="1002" t="s">
        <v>1180</v>
      </c>
      <c r="B301" s="1145">
        <v>6247</v>
      </c>
      <c r="C301" s="1004">
        <v>0</v>
      </c>
      <c r="D301" s="1004">
        <v>38.65</v>
      </c>
      <c r="E301" s="1004">
        <v>38.65</v>
      </c>
      <c r="F301" s="1002" t="s">
        <v>401</v>
      </c>
      <c r="G301" s="1002" t="s">
        <v>2576</v>
      </c>
      <c r="H301" s="961"/>
      <c r="I301" s="962"/>
      <c r="J301" s="962"/>
      <c r="K301" s="962"/>
      <c r="L301" s="153">
        <f t="shared" si="18"/>
        <v>6247</v>
      </c>
      <c r="M301" s="154" t="str">
        <f t="shared" si="19"/>
        <v>FRET/EXPRESS/TRANS. PAR CAMION</v>
      </c>
      <c r="N301" s="155">
        <f>+IF(OR($Q301=Parametres!$G$2,$Q301=Parametres!$G$3),I301,C301)</f>
        <v>0</v>
      </c>
      <c r="O301" s="155">
        <f>+IF(OR($Q301=Parametres!$G$2,$Q301=Parametres!$G$3),J301,D301)</f>
        <v>38.65</v>
      </c>
      <c r="P301" s="155">
        <f>+IF(OR($Q301=Parametres!$G$2,$Q301=Parametres!$G$3),K301,E301)</f>
        <v>38.65</v>
      </c>
      <c r="Q301" s="154" t="str">
        <f t="shared" si="22"/>
        <v>7-Dépenses</v>
      </c>
      <c r="R301" s="153" t="str">
        <f t="shared" si="22"/>
        <v>6147</v>
      </c>
      <c r="S301" s="154">
        <f t="shared" si="22"/>
        <v>0</v>
      </c>
      <c r="T301" s="156">
        <f>+VLOOKUP($L301,Data_Validation!$A:$D,1,0)</f>
        <v>6247</v>
      </c>
      <c r="U301" s="156" t="str">
        <f>+VLOOKUP($L301,Data_Validation!$A:$D,3,0)</f>
        <v>Véhicules usagés</v>
      </c>
      <c r="V301" s="156" t="str">
        <f>+VLOOKUP($L301,Data_Validation!$A:$D,4,0)</f>
        <v>Frais postaux</v>
      </c>
      <c r="W301" s="156" t="str">
        <f>+VLOOKUP($L301,Data_Validation!$A:$E,5,0)</f>
        <v>$</v>
      </c>
      <c r="X301" s="156">
        <f>+VLOOKUP($L301,Data_Validation!$A:$F,6,0)</f>
        <v>0</v>
      </c>
    </row>
    <row r="302" spans="1:24" ht="15" hidden="1" customHeight="1">
      <c r="A302" s="1002" t="s">
        <v>1286</v>
      </c>
      <c r="B302" s="1145">
        <v>6251</v>
      </c>
      <c r="C302" s="1004">
        <v>0</v>
      </c>
      <c r="D302" s="1004">
        <v>2438.41</v>
      </c>
      <c r="E302" s="1004">
        <v>2438.41</v>
      </c>
      <c r="F302" s="1002" t="s">
        <v>401</v>
      </c>
      <c r="G302" s="1002" t="s">
        <v>2697</v>
      </c>
      <c r="H302" s="961"/>
      <c r="I302" s="962"/>
      <c r="J302" s="962"/>
      <c r="K302" s="962"/>
      <c r="L302" s="153">
        <f t="shared" si="18"/>
        <v>6251</v>
      </c>
      <c r="M302" s="154" t="str">
        <f t="shared" si="19"/>
        <v>DEP. DU TRAITEMENT DES DONNEES</v>
      </c>
      <c r="N302" s="155">
        <f>+IF(OR($Q302=Parametres!$G$2,$Q302=Parametres!$G$3),I302,C302)</f>
        <v>0</v>
      </c>
      <c r="O302" s="155">
        <f>+IF(OR($Q302=Parametres!$G$2,$Q302=Parametres!$G$3),J302,D302)</f>
        <v>2438.41</v>
      </c>
      <c r="P302" s="155">
        <f>+IF(OR($Q302=Parametres!$G$2,$Q302=Parametres!$G$3),K302,E302)</f>
        <v>2438.41</v>
      </c>
      <c r="Q302" s="154" t="str">
        <f t="shared" si="22"/>
        <v>7-Dépenses</v>
      </c>
      <c r="R302" s="153" t="str">
        <f t="shared" si="22"/>
        <v>6151</v>
      </c>
      <c r="S302" s="154">
        <f t="shared" si="22"/>
        <v>0</v>
      </c>
      <c r="T302" s="156">
        <f>+VLOOKUP($L302,Data_Validation!$A:$D,1,0)</f>
        <v>6251</v>
      </c>
      <c r="U302" s="156" t="str">
        <f>+VLOOKUP($L302,Data_Validation!$A:$D,3,0)</f>
        <v>Véhicules usagés</v>
      </c>
      <c r="V302" s="156" t="str">
        <f>+VLOOKUP($L302,Data_Validation!$A:$D,4,0)</f>
        <v>Informatique</v>
      </c>
      <c r="W302" s="156" t="str">
        <f>+VLOOKUP($L302,Data_Validation!$A:$E,5,0)</f>
        <v>$</v>
      </c>
      <c r="X302" s="156">
        <f>+VLOOKUP($L302,Data_Validation!$A:$F,6,0)</f>
        <v>0</v>
      </c>
    </row>
    <row r="303" spans="1:24" ht="15" hidden="1" customHeight="1">
      <c r="A303" s="1002" t="s">
        <v>1206</v>
      </c>
      <c r="B303" s="1145">
        <v>6252</v>
      </c>
      <c r="C303" s="1004">
        <v>0</v>
      </c>
      <c r="D303" s="1004">
        <v>93.33</v>
      </c>
      <c r="E303" s="1004">
        <v>93.33</v>
      </c>
      <c r="F303" s="1002" t="s">
        <v>401</v>
      </c>
      <c r="G303" s="1002" t="s">
        <v>2583</v>
      </c>
      <c r="H303" s="961"/>
      <c r="I303" s="962"/>
      <c r="J303" s="962"/>
      <c r="K303" s="962"/>
      <c r="L303" s="153">
        <f t="shared" si="18"/>
        <v>6252</v>
      </c>
      <c r="M303" s="154" t="str">
        <f t="shared" si="19"/>
        <v>PAPETERIE</v>
      </c>
      <c r="N303" s="155">
        <f>+IF(OR($Q303=Parametres!$G$2,$Q303=Parametres!$G$3),I303,C303)</f>
        <v>0</v>
      </c>
      <c r="O303" s="155">
        <f>+IF(OR($Q303=Parametres!$G$2,$Q303=Parametres!$G$3),J303,D303)</f>
        <v>93.33</v>
      </c>
      <c r="P303" s="155">
        <f>+IF(OR($Q303=Parametres!$G$2,$Q303=Parametres!$G$3),K303,E303)</f>
        <v>93.33</v>
      </c>
      <c r="Q303" s="154" t="str">
        <f t="shared" si="22"/>
        <v>7-Dépenses</v>
      </c>
      <c r="R303" s="153" t="str">
        <f t="shared" si="22"/>
        <v>6152</v>
      </c>
      <c r="S303" s="154">
        <f t="shared" si="22"/>
        <v>0</v>
      </c>
      <c r="T303" s="156">
        <f>+VLOOKUP($L303,Data_Validation!$A:$D,1,0)</f>
        <v>6252</v>
      </c>
      <c r="U303" s="156" t="str">
        <f>+VLOOKUP($L303,Data_Validation!$A:$D,3,0)</f>
        <v>Véhicules usagés</v>
      </c>
      <c r="V303" s="156" t="str">
        <f>+VLOOKUP($L303,Data_Validation!$A:$D,4,0)</f>
        <v>Papeterie</v>
      </c>
      <c r="W303" s="156" t="str">
        <f>+VLOOKUP($L303,Data_Validation!$A:$E,5,0)</f>
        <v>$</v>
      </c>
      <c r="X303" s="156">
        <f>+VLOOKUP($L303,Data_Validation!$A:$F,6,0)</f>
        <v>0</v>
      </c>
    </row>
    <row r="304" spans="1:24" ht="15" hidden="1" customHeight="1">
      <c r="A304" s="1002" t="s">
        <v>1154</v>
      </c>
      <c r="B304" s="1145">
        <v>6253</v>
      </c>
      <c r="C304" s="1004">
        <v>0</v>
      </c>
      <c r="D304" s="1004">
        <v>123.27</v>
      </c>
      <c r="E304" s="1004">
        <v>123.27</v>
      </c>
      <c r="F304" s="1002" t="s">
        <v>401</v>
      </c>
      <c r="G304" s="1002" t="s">
        <v>2587</v>
      </c>
      <c r="H304" s="961"/>
      <c r="I304" s="962"/>
      <c r="J304" s="962"/>
      <c r="K304" s="962"/>
      <c r="L304" s="153">
        <f t="shared" si="18"/>
        <v>6253</v>
      </c>
      <c r="M304" s="154" t="str">
        <f t="shared" si="19"/>
        <v>TELEPHONE ET TELEX</v>
      </c>
      <c r="N304" s="155">
        <f>+IF(OR($Q304=Parametres!$G$2,$Q304=Parametres!$G$3),I304,C304)</f>
        <v>0</v>
      </c>
      <c r="O304" s="155">
        <f>+IF(OR($Q304=Parametres!$G$2,$Q304=Parametres!$G$3),J304,D304)</f>
        <v>123.27</v>
      </c>
      <c r="P304" s="155">
        <f>+IF(OR($Q304=Parametres!$G$2,$Q304=Parametres!$G$3),K304,E304)</f>
        <v>123.27</v>
      </c>
      <c r="Q304" s="154" t="str">
        <f t="shared" si="22"/>
        <v>7-Dépenses</v>
      </c>
      <c r="R304" s="153" t="str">
        <f t="shared" si="22"/>
        <v>6153</v>
      </c>
      <c r="S304" s="154">
        <f t="shared" si="22"/>
        <v>0</v>
      </c>
      <c r="T304" s="156">
        <f>+VLOOKUP($L304,Data_Validation!$A:$D,1,0)</f>
        <v>6253</v>
      </c>
      <c r="U304" s="156" t="str">
        <f>+VLOOKUP($L304,Data_Validation!$A:$D,3,0)</f>
        <v>Véhicules usagés</v>
      </c>
      <c r="V304" s="156" t="str">
        <f>+VLOOKUP($L304,Data_Validation!$A:$D,4,0)</f>
        <v>Téléphone</v>
      </c>
      <c r="W304" s="156" t="str">
        <f>+VLOOKUP($L304,Data_Validation!$A:$E,5,0)</f>
        <v>$</v>
      </c>
      <c r="X304" s="156">
        <f>+VLOOKUP($L304,Data_Validation!$A:$F,6,0)</f>
        <v>0</v>
      </c>
    </row>
    <row r="305" spans="1:24" ht="15.75" hidden="1" customHeight="1">
      <c r="A305" s="1002" t="s">
        <v>1237</v>
      </c>
      <c r="B305" s="1145">
        <v>6255</v>
      </c>
      <c r="C305" s="1004">
        <v>0</v>
      </c>
      <c r="D305" s="1004">
        <v>94.62</v>
      </c>
      <c r="E305" s="1004">
        <v>94.62</v>
      </c>
      <c r="F305" s="1002" t="s">
        <v>401</v>
      </c>
      <c r="G305" s="1002" t="s">
        <v>2632</v>
      </c>
      <c r="H305" s="961"/>
      <c r="I305" s="962"/>
      <c r="J305" s="962"/>
      <c r="K305" s="962"/>
      <c r="L305" s="153">
        <f t="shared" si="18"/>
        <v>6255</v>
      </c>
      <c r="M305" s="154" t="str">
        <f t="shared" si="19"/>
        <v>DEPENSES DIVERS</v>
      </c>
      <c r="N305" s="155">
        <f>+IF(OR($Q305=Parametres!$G$2,$Q305=Parametres!$G$3),I305,C305)</f>
        <v>0</v>
      </c>
      <c r="O305" s="155">
        <f>+IF(OR($Q305=Parametres!$G$2,$Q305=Parametres!$G$3),J305,D305)</f>
        <v>94.62</v>
      </c>
      <c r="P305" s="155">
        <f>+IF(OR($Q305=Parametres!$G$2,$Q305=Parametres!$G$3),K305,E305)</f>
        <v>94.62</v>
      </c>
      <c r="Q305" s="154" t="str">
        <f t="shared" si="22"/>
        <v>7-Dépenses</v>
      </c>
      <c r="R305" s="153" t="str">
        <f t="shared" si="22"/>
        <v>6155</v>
      </c>
      <c r="S305" s="154">
        <f t="shared" si="22"/>
        <v>0</v>
      </c>
      <c r="T305" s="156">
        <f>+VLOOKUP($L305,Data_Validation!$A:$D,1,0)</f>
        <v>6255</v>
      </c>
      <c r="U305" s="156" t="str">
        <f>+VLOOKUP($L305,Data_Validation!$A:$D,3,0)</f>
        <v>Véhicules usagés</v>
      </c>
      <c r="V305" s="156" t="str">
        <f>+VLOOKUP($L305,Data_Validation!$A:$D,4,0)</f>
        <v>Divers</v>
      </c>
      <c r="W305" s="156" t="str">
        <f>+VLOOKUP($L305,Data_Validation!$A:$E,5,0)</f>
        <v>$</v>
      </c>
      <c r="X305" s="156">
        <f>+VLOOKUP($L305,Data_Validation!$A:$F,6,0)</f>
        <v>0</v>
      </c>
    </row>
    <row r="306" spans="1:24" ht="15" hidden="1" customHeight="1">
      <c r="A306" s="1002" t="s">
        <v>1247</v>
      </c>
      <c r="B306" s="1145">
        <v>6256</v>
      </c>
      <c r="C306" s="1004">
        <v>0</v>
      </c>
      <c r="D306" s="1004">
        <v>23.26</v>
      </c>
      <c r="E306" s="1004">
        <v>23.26</v>
      </c>
      <c r="F306" s="1002" t="s">
        <v>401</v>
      </c>
      <c r="G306" s="1002" t="s">
        <v>2465</v>
      </c>
      <c r="H306" s="961"/>
      <c r="I306" s="962"/>
      <c r="J306" s="962"/>
      <c r="K306" s="962"/>
      <c r="L306" s="153">
        <f t="shared" si="18"/>
        <v>6256</v>
      </c>
      <c r="M306" s="154" t="str">
        <f t="shared" si="19"/>
        <v>FRAIS REPRESENTATION - USAGE</v>
      </c>
      <c r="N306" s="155">
        <f>+IF(OR($Q306=Parametres!$G$2,$Q306=Parametres!$G$3),I306,C306)</f>
        <v>0</v>
      </c>
      <c r="O306" s="155">
        <f>+IF(OR($Q306=Parametres!$G$2,$Q306=Parametres!$G$3),J306,D306)</f>
        <v>23.26</v>
      </c>
      <c r="P306" s="155">
        <f>+IF(OR($Q306=Parametres!$G$2,$Q306=Parametres!$G$3),K306,E306)</f>
        <v>23.26</v>
      </c>
      <c r="Q306" s="154" t="str">
        <f t="shared" ref="Q306:S321" si="23">+F306</f>
        <v>7-Dépenses</v>
      </c>
      <c r="R306" s="153" t="str">
        <f t="shared" si="23"/>
        <v>6156</v>
      </c>
      <c r="S306" s="154">
        <f t="shared" si="23"/>
        <v>0</v>
      </c>
      <c r="T306" s="156">
        <f>+VLOOKUP($L306,Data_Validation!$A:$D,1,0)</f>
        <v>6256</v>
      </c>
      <c r="U306" s="156" t="str">
        <f>+VLOOKUP($L306,Data_Validation!$A:$D,3,0)</f>
        <v>Véhicules usagés</v>
      </c>
      <c r="V306" s="156" t="str">
        <f>+VLOOKUP($L306,Data_Validation!$A:$D,4,0)</f>
        <v>Frais de déplacement</v>
      </c>
      <c r="W306" s="156" t="str">
        <f>+VLOOKUP($L306,Data_Validation!$A:$E,5,0)</f>
        <v>$</v>
      </c>
      <c r="X306" s="156">
        <f>+VLOOKUP($L306,Data_Validation!$A:$F,6,0)</f>
        <v>0</v>
      </c>
    </row>
    <row r="307" spans="1:24" ht="15" hidden="1" customHeight="1">
      <c r="A307" s="1002" t="s">
        <v>1308</v>
      </c>
      <c r="B307" s="1145">
        <v>6259</v>
      </c>
      <c r="C307" s="1004">
        <v>0</v>
      </c>
      <c r="D307" s="1004">
        <v>798.93</v>
      </c>
      <c r="E307" s="1004">
        <v>798.93</v>
      </c>
      <c r="F307" s="1002" t="s">
        <v>401</v>
      </c>
      <c r="G307" s="1002" t="s">
        <v>2657</v>
      </c>
      <c r="H307" s="961"/>
      <c r="I307" s="962"/>
      <c r="J307" s="962"/>
      <c r="K307" s="962"/>
      <c r="L307" s="153">
        <f t="shared" si="18"/>
        <v>6259</v>
      </c>
      <c r="M307" s="154" t="str">
        <f t="shared" si="19"/>
        <v>SERVICE EXTERIEUR</v>
      </c>
      <c r="N307" s="155">
        <f>+IF(OR($Q307=Parametres!$G$2,$Q307=Parametres!$G$3),I307,C307)</f>
        <v>0</v>
      </c>
      <c r="O307" s="155">
        <f>+IF(OR($Q307=Parametres!$G$2,$Q307=Parametres!$G$3),J307,D307)</f>
        <v>798.93</v>
      </c>
      <c r="P307" s="155">
        <f>+IF(OR($Q307=Parametres!$G$2,$Q307=Parametres!$G$3),K307,E307)</f>
        <v>798.93</v>
      </c>
      <c r="Q307" s="154" t="str">
        <f t="shared" si="23"/>
        <v>7-Dépenses</v>
      </c>
      <c r="R307" s="153" t="str">
        <f t="shared" si="23"/>
        <v>6159</v>
      </c>
      <c r="S307" s="154">
        <f t="shared" si="23"/>
        <v>0</v>
      </c>
      <c r="T307" s="156">
        <f>+VLOOKUP($L307,Data_Validation!$A:$D,1,0)</f>
        <v>6259</v>
      </c>
      <c r="U307" s="156" t="str">
        <f>+VLOOKUP($L307,Data_Validation!$A:$D,3,0)</f>
        <v>Véhicules usagés</v>
      </c>
      <c r="V307" s="156" t="str">
        <f>+VLOOKUP($L307,Data_Validation!$A:$D,4,0)</f>
        <v>Services extérieurs</v>
      </c>
      <c r="W307" s="156" t="str">
        <f>+VLOOKUP($L307,Data_Validation!$A:$E,5,0)</f>
        <v>$</v>
      </c>
      <c r="X307" s="156">
        <f>+VLOOKUP($L307,Data_Validation!$A:$F,6,0)</f>
        <v>0</v>
      </c>
    </row>
    <row r="308" spans="1:24" ht="15" hidden="1" customHeight="1">
      <c r="A308" s="1002" t="s">
        <v>1333</v>
      </c>
      <c r="B308" s="1145">
        <v>6261</v>
      </c>
      <c r="C308" s="1004">
        <v>0</v>
      </c>
      <c r="D308" s="1004">
        <v>1100.04</v>
      </c>
      <c r="E308" s="1004">
        <v>1100.04</v>
      </c>
      <c r="F308" s="1002" t="s">
        <v>401</v>
      </c>
      <c r="G308" s="1002" t="s">
        <v>2648</v>
      </c>
      <c r="H308" s="961"/>
      <c r="I308" s="962"/>
      <c r="J308" s="962"/>
      <c r="K308" s="962"/>
      <c r="L308" s="153">
        <f t="shared" si="18"/>
        <v>6261</v>
      </c>
      <c r="M308" s="154" t="str">
        <f t="shared" si="19"/>
        <v>DEPRECIATION EQUIP. &amp; FIXTURES</v>
      </c>
      <c r="N308" s="155">
        <f>+IF(OR($Q308=Parametres!$G$2,$Q308=Parametres!$G$3),I308,C308)</f>
        <v>0</v>
      </c>
      <c r="O308" s="155">
        <f>+IF(OR($Q308=Parametres!$G$2,$Q308=Parametres!$G$3),J308,D308)</f>
        <v>1100.04</v>
      </c>
      <c r="P308" s="155">
        <f>+IF(OR($Q308=Parametres!$G$2,$Q308=Parametres!$G$3),K308,E308)</f>
        <v>1100.04</v>
      </c>
      <c r="Q308" s="154" t="str">
        <f t="shared" si="23"/>
        <v>7-Dépenses</v>
      </c>
      <c r="R308" s="153" t="str">
        <f t="shared" si="23"/>
        <v>6161</v>
      </c>
      <c r="S308" s="154">
        <f t="shared" si="23"/>
        <v>0</v>
      </c>
      <c r="T308" s="156">
        <f>+VLOOKUP($L308,Data_Validation!$A:$D,1,0)</f>
        <v>6261</v>
      </c>
      <c r="U308" s="156" t="str">
        <f>+VLOOKUP($L308,Data_Validation!$A:$D,3,0)</f>
        <v>Véhicules usagés</v>
      </c>
      <c r="V308" s="156" t="str">
        <f>+VLOOKUP($L308,Data_Validation!$A:$D,4,0)</f>
        <v>Amortissement</v>
      </c>
      <c r="W308" s="156" t="str">
        <f>+VLOOKUP($L308,Data_Validation!$A:$E,5,0)</f>
        <v>$</v>
      </c>
      <c r="X308" s="156">
        <f>+VLOOKUP($L308,Data_Validation!$A:$F,6,0)</f>
        <v>0</v>
      </c>
    </row>
    <row r="309" spans="1:24" ht="15.75" hidden="1" customHeight="1">
      <c r="A309" s="1002" t="s">
        <v>1380</v>
      </c>
      <c r="B309" s="1145">
        <v>6281</v>
      </c>
      <c r="C309" s="1004">
        <v>0</v>
      </c>
      <c r="D309" s="1004">
        <v>203.49</v>
      </c>
      <c r="E309" s="1004">
        <v>203.49</v>
      </c>
      <c r="F309" s="1002" t="s">
        <v>401</v>
      </c>
      <c r="G309" s="1002" t="s">
        <v>2599</v>
      </c>
      <c r="H309" s="961"/>
      <c r="I309" s="962"/>
      <c r="J309" s="962"/>
      <c r="K309" s="962"/>
      <c r="L309" s="153">
        <f t="shared" si="18"/>
        <v>6281</v>
      </c>
      <c r="M309" s="154" t="str">
        <f t="shared" si="19"/>
        <v>CHAUFFAGE,ELECTRICITE,EAU-USAGE</v>
      </c>
      <c r="N309" s="155">
        <f>+IF(OR($Q309=Parametres!$G$2,$Q309=Parametres!$G$3),I309,C309)</f>
        <v>0</v>
      </c>
      <c r="O309" s="155">
        <f>+IF(OR($Q309=Parametres!$G$2,$Q309=Parametres!$G$3),J309,D309)</f>
        <v>203.49</v>
      </c>
      <c r="P309" s="155">
        <f>+IF(OR($Q309=Parametres!$G$2,$Q309=Parametres!$G$3),K309,E309)</f>
        <v>203.49</v>
      </c>
      <c r="Q309" s="154" t="str">
        <f t="shared" si="23"/>
        <v>7-Dépenses</v>
      </c>
      <c r="R309" s="153" t="str">
        <f t="shared" si="23"/>
        <v>6181</v>
      </c>
      <c r="S309" s="154">
        <f t="shared" si="23"/>
        <v>0</v>
      </c>
      <c r="T309" s="156">
        <f>+VLOOKUP($L309,Data_Validation!$A:$D,1,0)</f>
        <v>6281</v>
      </c>
      <c r="U309" s="156" t="str">
        <f>+VLOOKUP($L309,Data_Validation!$A:$D,3,0)</f>
        <v>Véhicules usagés</v>
      </c>
      <c r="V309" s="156" t="str">
        <f>+VLOOKUP($L309,Data_Validation!$A:$D,4,0)</f>
        <v>Chauffage, éclairage</v>
      </c>
      <c r="W309" s="156" t="str">
        <f>+VLOOKUP($L309,Data_Validation!$A:$E,5,0)</f>
        <v>$</v>
      </c>
      <c r="X309" s="156">
        <f>+VLOOKUP($L309,Data_Validation!$A:$F,6,0)</f>
        <v>0</v>
      </c>
    </row>
    <row r="310" spans="1:24" ht="15" hidden="1" customHeight="1">
      <c r="A310" s="1002" t="s">
        <v>1462</v>
      </c>
      <c r="B310" s="1145">
        <v>6282</v>
      </c>
      <c r="C310" s="1004">
        <v>0</v>
      </c>
      <c r="D310" s="1004">
        <v>3120</v>
      </c>
      <c r="E310" s="1004">
        <v>3120</v>
      </c>
      <c r="F310" s="1002" t="s">
        <v>401</v>
      </c>
      <c r="G310" s="1002" t="s">
        <v>2704</v>
      </c>
      <c r="H310" s="961"/>
      <c r="I310" s="962"/>
      <c r="J310" s="962"/>
      <c r="K310" s="962"/>
      <c r="L310" s="153">
        <f t="shared" si="18"/>
        <v>6282</v>
      </c>
      <c r="M310" s="154" t="str">
        <f t="shared" si="19"/>
        <v>LOYER - USAGE</v>
      </c>
      <c r="N310" s="155">
        <f>+IF(OR($Q310=Parametres!$G$2,$Q310=Parametres!$G$3),I310,C310)</f>
        <v>0</v>
      </c>
      <c r="O310" s="155">
        <f>+IF(OR($Q310=Parametres!$G$2,$Q310=Parametres!$G$3),J310,D310)</f>
        <v>3120</v>
      </c>
      <c r="P310" s="155">
        <f>+IF(OR($Q310=Parametres!$G$2,$Q310=Parametres!$G$3),K310,E310)</f>
        <v>3120</v>
      </c>
      <c r="Q310" s="154" t="str">
        <f t="shared" si="23"/>
        <v>7-Dépenses</v>
      </c>
      <c r="R310" s="153" t="str">
        <f t="shared" si="23"/>
        <v>6182</v>
      </c>
      <c r="S310" s="154">
        <f t="shared" si="23"/>
        <v>0</v>
      </c>
      <c r="T310" s="156">
        <f>+VLOOKUP($L310,Data_Validation!$A:$D,1,0)</f>
        <v>6282</v>
      </c>
      <c r="U310" s="156" t="str">
        <f>+VLOOKUP($L310,Data_Validation!$A:$D,3,0)</f>
        <v>Véhicules usagés</v>
      </c>
      <c r="V310" s="156" t="str">
        <f>+VLOOKUP($L310,Data_Validation!$A:$D,4,0)</f>
        <v>Loyer</v>
      </c>
      <c r="W310" s="156" t="str">
        <f>+VLOOKUP($L310,Data_Validation!$A:$E,5,0)</f>
        <v>$</v>
      </c>
      <c r="X310" s="156">
        <f>+VLOOKUP($L310,Data_Validation!$A:$F,6,0)</f>
        <v>0</v>
      </c>
    </row>
    <row r="311" spans="1:24" ht="15" hidden="1" customHeight="1">
      <c r="A311" s="1002" t="s">
        <v>1290</v>
      </c>
      <c r="B311" s="1145">
        <v>6286</v>
      </c>
      <c r="C311" s="1004">
        <v>0</v>
      </c>
      <c r="D311" s="1004">
        <v>444.97</v>
      </c>
      <c r="E311" s="1004">
        <v>444.97</v>
      </c>
      <c r="F311" s="1002" t="s">
        <v>401</v>
      </c>
      <c r="G311" s="1002" t="s">
        <v>2589</v>
      </c>
      <c r="H311" s="961"/>
      <c r="I311" s="962"/>
      <c r="J311" s="962"/>
      <c r="K311" s="962"/>
      <c r="L311" s="153">
        <f t="shared" si="18"/>
        <v>6286</v>
      </c>
      <c r="M311" s="154" t="str">
        <f t="shared" si="19"/>
        <v>ASSURANCE BATISSE &amp; AMEL.-USAGE</v>
      </c>
      <c r="N311" s="155">
        <f>+IF(OR($Q311=Parametres!$G$2,$Q311=Parametres!$G$3),I311,C311)</f>
        <v>0</v>
      </c>
      <c r="O311" s="155">
        <f>+IF(OR($Q311=Parametres!$G$2,$Q311=Parametres!$G$3),J311,D311)</f>
        <v>444.97</v>
      </c>
      <c r="P311" s="155">
        <f>+IF(OR($Q311=Parametres!$G$2,$Q311=Parametres!$G$3),K311,E311)</f>
        <v>444.97</v>
      </c>
      <c r="Q311" s="154" t="str">
        <f t="shared" si="23"/>
        <v>7-Dépenses</v>
      </c>
      <c r="R311" s="153" t="str">
        <f t="shared" si="23"/>
        <v>6186</v>
      </c>
      <c r="S311" s="154">
        <f t="shared" si="23"/>
        <v>0</v>
      </c>
      <c r="T311" s="156">
        <f>+VLOOKUP($L311,Data_Validation!$A:$D,1,0)</f>
        <v>6286</v>
      </c>
      <c r="U311" s="156" t="str">
        <f>+VLOOKUP($L311,Data_Validation!$A:$D,3,0)</f>
        <v>Véhicules usagés</v>
      </c>
      <c r="V311" s="156" t="str">
        <f>+VLOOKUP($L311,Data_Validation!$A:$D,4,0)</f>
        <v>Assurances</v>
      </c>
      <c r="W311" s="156" t="str">
        <f>+VLOOKUP($L311,Data_Validation!$A:$E,5,0)</f>
        <v>$</v>
      </c>
      <c r="X311" s="156">
        <f>+VLOOKUP($L311,Data_Validation!$A:$F,6,0)</f>
        <v>0</v>
      </c>
    </row>
    <row r="312" spans="1:24" ht="15" hidden="1" customHeight="1">
      <c r="A312" s="1002" t="s">
        <v>1203</v>
      </c>
      <c r="B312" s="1145">
        <v>6287</v>
      </c>
      <c r="C312" s="1004">
        <v>0</v>
      </c>
      <c r="D312" s="1004">
        <v>577.20000000000005</v>
      </c>
      <c r="E312" s="1004">
        <v>577.20000000000005</v>
      </c>
      <c r="F312" s="1002" t="s">
        <v>401</v>
      </c>
      <c r="G312" s="1002" t="s">
        <v>2609</v>
      </c>
      <c r="H312" s="961"/>
      <c r="I312" s="962"/>
      <c r="J312" s="962"/>
      <c r="K312" s="962"/>
      <c r="L312" s="153">
        <f t="shared" si="18"/>
        <v>6287</v>
      </c>
      <c r="M312" s="154" t="str">
        <f t="shared" si="19"/>
        <v>TAXES FONCIERES - USAGE</v>
      </c>
      <c r="N312" s="155">
        <f>+IF(OR($Q312=Parametres!$G$2,$Q312=Parametres!$G$3),I312,C312)</f>
        <v>0</v>
      </c>
      <c r="O312" s="155">
        <f>+IF(OR($Q312=Parametres!$G$2,$Q312=Parametres!$G$3),J312,D312)</f>
        <v>577.20000000000005</v>
      </c>
      <c r="P312" s="155">
        <f>+IF(OR($Q312=Parametres!$G$2,$Q312=Parametres!$G$3),K312,E312)</f>
        <v>577.20000000000005</v>
      </c>
      <c r="Q312" s="154" t="str">
        <f t="shared" si="23"/>
        <v>7-Dépenses</v>
      </c>
      <c r="R312" s="153" t="str">
        <f t="shared" si="23"/>
        <v>6187</v>
      </c>
      <c r="S312" s="154">
        <f t="shared" si="23"/>
        <v>0</v>
      </c>
      <c r="T312" s="156">
        <f>+VLOOKUP($L312,Data_Validation!$A:$D,1,0)</f>
        <v>6287</v>
      </c>
      <c r="U312" s="156" t="str">
        <f>+VLOOKUP($L312,Data_Validation!$A:$D,3,0)</f>
        <v>Véhicules usagés</v>
      </c>
      <c r="V312" s="156" t="str">
        <f>+VLOOKUP($L312,Data_Validation!$A:$D,4,0)</f>
        <v>Taxes foncières</v>
      </c>
      <c r="W312" s="156" t="str">
        <f>+VLOOKUP($L312,Data_Validation!$A:$E,5,0)</f>
        <v>$</v>
      </c>
      <c r="X312" s="156">
        <f>+VLOOKUP($L312,Data_Validation!$A:$F,6,0)</f>
        <v>0</v>
      </c>
    </row>
    <row r="313" spans="1:24" ht="15" hidden="1" customHeight="1">
      <c r="A313" s="1002" t="s">
        <v>1393</v>
      </c>
      <c r="B313" s="1145">
        <v>6293</v>
      </c>
      <c r="C313" s="1004">
        <v>0</v>
      </c>
      <c r="D313" s="1004">
        <v>384</v>
      </c>
      <c r="E313" s="1004">
        <v>384</v>
      </c>
      <c r="F313" s="1002" t="s">
        <v>401</v>
      </c>
      <c r="G313" s="1002" t="s">
        <v>2592</v>
      </c>
      <c r="H313" s="961"/>
      <c r="I313" s="962"/>
      <c r="J313" s="962"/>
      <c r="K313" s="962"/>
      <c r="L313" s="153">
        <f t="shared" si="18"/>
        <v>6293</v>
      </c>
      <c r="M313" s="154" t="str">
        <f t="shared" si="19"/>
        <v>AUTRE TAXES - USAGES</v>
      </c>
      <c r="N313" s="155">
        <f>+IF(OR($Q313=Parametres!$G$2,$Q313=Parametres!$G$3),I313,C313)</f>
        <v>0</v>
      </c>
      <c r="O313" s="155">
        <f>+IF(OR($Q313=Parametres!$G$2,$Q313=Parametres!$G$3),J313,D313)</f>
        <v>384</v>
      </c>
      <c r="P313" s="155">
        <f>+IF(OR($Q313=Parametres!$G$2,$Q313=Parametres!$G$3),K313,E313)</f>
        <v>384</v>
      </c>
      <c r="Q313" s="154" t="str">
        <f t="shared" si="23"/>
        <v>7-Dépenses</v>
      </c>
      <c r="R313" s="153" t="str">
        <f t="shared" si="23"/>
        <v>6193</v>
      </c>
      <c r="S313" s="154">
        <f t="shared" si="23"/>
        <v>0</v>
      </c>
      <c r="T313" s="156">
        <f>+VLOOKUP($L313,Data_Validation!$A:$D,1,0)</f>
        <v>6293</v>
      </c>
      <c r="U313" s="156" t="str">
        <f>+VLOOKUP($L313,Data_Validation!$A:$D,3,0)</f>
        <v>Véhicules usagés</v>
      </c>
      <c r="V313" s="156" t="str">
        <f>+VLOOKUP($L313,Data_Validation!$A:$D,4,0)</f>
        <v>Taxes d`affaires</v>
      </c>
      <c r="W313" s="156" t="str">
        <f>+VLOOKUP($L313,Data_Validation!$A:$E,5,0)</f>
        <v>$</v>
      </c>
      <c r="X313" s="156">
        <f>+VLOOKUP($L313,Data_Validation!$A:$F,6,0)</f>
        <v>0</v>
      </c>
    </row>
    <row r="314" spans="1:24" ht="15" hidden="1" customHeight="1">
      <c r="A314" s="1002" t="s">
        <v>1318</v>
      </c>
      <c r="B314" s="1145">
        <v>6294</v>
      </c>
      <c r="C314" s="1004">
        <v>0</v>
      </c>
      <c r="D314" s="1004">
        <v>746.06</v>
      </c>
      <c r="E314" s="1004">
        <v>746.06</v>
      </c>
      <c r="F314" s="1002" t="s">
        <v>401</v>
      </c>
      <c r="G314" s="1002" t="s">
        <v>2630</v>
      </c>
      <c r="H314" s="961"/>
      <c r="I314" s="962"/>
      <c r="J314" s="962"/>
      <c r="K314" s="962"/>
      <c r="L314" s="153">
        <f t="shared" si="18"/>
        <v>6294</v>
      </c>
      <c r="M314" s="154" t="str">
        <f t="shared" si="19"/>
        <v>FRAIS PROFESSIONNEL-USAGE</v>
      </c>
      <c r="N314" s="155">
        <f>+IF(OR($Q314=Parametres!$G$2,$Q314=Parametres!$G$3),I314,C314)</f>
        <v>0</v>
      </c>
      <c r="O314" s="155">
        <f>+IF(OR($Q314=Parametres!$G$2,$Q314=Parametres!$G$3),J314,D314)</f>
        <v>746.06</v>
      </c>
      <c r="P314" s="155">
        <f>+IF(OR($Q314=Parametres!$G$2,$Q314=Parametres!$G$3),K314,E314)</f>
        <v>746.06</v>
      </c>
      <c r="Q314" s="154" t="str">
        <f t="shared" si="23"/>
        <v>7-Dépenses</v>
      </c>
      <c r="R314" s="153" t="str">
        <f t="shared" si="23"/>
        <v>6194</v>
      </c>
      <c r="S314" s="154">
        <f t="shared" si="23"/>
        <v>0</v>
      </c>
      <c r="T314" s="156">
        <f>+VLOOKUP($L314,Data_Validation!$A:$D,1,0)</f>
        <v>6294</v>
      </c>
      <c r="U314" s="156" t="str">
        <f>+VLOOKUP($L314,Data_Validation!$A:$D,3,0)</f>
        <v>Véhicules usagés</v>
      </c>
      <c r="V314" s="156" t="str">
        <f>+VLOOKUP($L314,Data_Validation!$A:$D,4,0)</f>
        <v>Honoraires</v>
      </c>
      <c r="W314" s="156" t="str">
        <f>+VLOOKUP($L314,Data_Validation!$A:$E,5,0)</f>
        <v>$</v>
      </c>
      <c r="X314" s="156">
        <f>+VLOOKUP($L314,Data_Validation!$A:$F,6,0)</f>
        <v>0</v>
      </c>
    </row>
    <row r="315" spans="1:24" ht="15" hidden="1" customHeight="1">
      <c r="A315" s="1002" t="s">
        <v>1403</v>
      </c>
      <c r="B315" s="1145">
        <v>6403</v>
      </c>
      <c r="C315" s="1004">
        <v>0</v>
      </c>
      <c r="D315" s="1004">
        <v>191.96</v>
      </c>
      <c r="E315" s="1004">
        <v>191.96</v>
      </c>
      <c r="F315" s="1002" t="s">
        <v>401</v>
      </c>
      <c r="G315" s="1002" t="s">
        <v>2462</v>
      </c>
      <c r="H315" s="961"/>
      <c r="I315" s="962"/>
      <c r="J315" s="962"/>
      <c r="K315" s="962"/>
      <c r="L315" s="153">
        <f t="shared" si="18"/>
        <v>6403</v>
      </c>
      <c r="M315" s="154" t="str">
        <f t="shared" si="19"/>
        <v>RELAT. A LA CLIENTELE &amp; AJUST</v>
      </c>
      <c r="N315" s="155">
        <f>+IF(OR($Q315=Parametres!$G$2,$Q315=Parametres!$G$3),I315,C315)</f>
        <v>0</v>
      </c>
      <c r="O315" s="155">
        <f>+IF(OR($Q315=Parametres!$G$2,$Q315=Parametres!$G$3),J315,D315)</f>
        <v>191.96</v>
      </c>
      <c r="P315" s="155">
        <f>+IF(OR($Q315=Parametres!$G$2,$Q315=Parametres!$G$3),K315,E315)</f>
        <v>191.96</v>
      </c>
      <c r="Q315" s="154" t="str">
        <f t="shared" si="23"/>
        <v>7-Dépenses</v>
      </c>
      <c r="R315" s="153" t="str">
        <f t="shared" si="23"/>
        <v>6112</v>
      </c>
      <c r="S315" s="154">
        <f t="shared" si="23"/>
        <v>0</v>
      </c>
      <c r="T315" s="156">
        <f>+VLOOKUP($L315,Data_Validation!$A:$D,1,0)</f>
        <v>6403</v>
      </c>
      <c r="U315" s="156" t="str">
        <f>+VLOOKUP($L315,Data_Validation!$A:$D,3,0)</f>
        <v>Service</v>
      </c>
      <c r="V315" s="156" t="str">
        <f>+VLOOKUP($L315,Data_Validation!$A:$D,4,0)</f>
        <v>Service gratuit 2</v>
      </c>
      <c r="W315" s="156" t="str">
        <f>+VLOOKUP($L315,Data_Validation!$A:$E,5,0)</f>
        <v>$</v>
      </c>
      <c r="X315" s="156">
        <f>+VLOOKUP($L315,Data_Validation!$A:$F,6,0)</f>
        <v>0</v>
      </c>
    </row>
    <row r="316" spans="1:24" ht="15" hidden="1" customHeight="1">
      <c r="A316" s="1002" t="s">
        <v>1450</v>
      </c>
      <c r="B316" s="1145">
        <v>6412</v>
      </c>
      <c r="C316" s="1004">
        <v>0</v>
      </c>
      <c r="D316" s="1004">
        <v>-24.97</v>
      </c>
      <c r="E316" s="1004">
        <v>-24.97</v>
      </c>
      <c r="F316" s="1002" t="s">
        <v>401</v>
      </c>
      <c r="G316" s="1002" t="s">
        <v>2462</v>
      </c>
      <c r="H316" s="961"/>
      <c r="I316" s="962"/>
      <c r="J316" s="962"/>
      <c r="K316" s="962"/>
      <c r="L316" s="153">
        <f t="shared" si="18"/>
        <v>6412</v>
      </c>
      <c r="M316" s="154" t="str">
        <f t="shared" si="19"/>
        <v>AUTORISATION &amp; GAR./VEH. USA</v>
      </c>
      <c r="N316" s="155">
        <f>+IF(OR($Q316=Parametres!$G$2,$Q316=Parametres!$G$3),I316,C316)</f>
        <v>0</v>
      </c>
      <c r="O316" s="155">
        <f>+IF(OR($Q316=Parametres!$G$2,$Q316=Parametres!$G$3),J316,D316)</f>
        <v>-24.97</v>
      </c>
      <c r="P316" s="155">
        <f>+IF(OR($Q316=Parametres!$G$2,$Q316=Parametres!$G$3),K316,E316)</f>
        <v>-24.97</v>
      </c>
      <c r="Q316" s="154" t="str">
        <f t="shared" si="23"/>
        <v>7-Dépenses</v>
      </c>
      <c r="R316" s="153" t="str">
        <f t="shared" si="23"/>
        <v>6112</v>
      </c>
      <c r="S316" s="154">
        <f t="shared" si="23"/>
        <v>0</v>
      </c>
      <c r="T316" s="156">
        <f>+VLOOKUP($L316,Data_Validation!$A:$D,1,0)</f>
        <v>6412</v>
      </c>
      <c r="U316" s="156" t="str">
        <f>+VLOOKUP($L316,Data_Validation!$A:$D,3,0)</f>
        <v>Service</v>
      </c>
      <c r="V316" s="156" t="str">
        <f>+VLOOKUP($L316,Data_Validation!$A:$D,4,0)</f>
        <v>Service gratuit 2</v>
      </c>
      <c r="W316" s="156" t="str">
        <f>+VLOOKUP($L316,Data_Validation!$A:$E,5,0)</f>
        <v>$</v>
      </c>
      <c r="X316" s="156">
        <f>+VLOOKUP($L316,Data_Validation!$A:$F,6,0)</f>
        <v>0</v>
      </c>
    </row>
    <row r="317" spans="1:24" ht="15" hidden="1" customHeight="1">
      <c r="A317" s="1002" t="s">
        <v>1374</v>
      </c>
      <c r="B317" s="1145">
        <v>6414</v>
      </c>
      <c r="C317" s="1004">
        <v>0</v>
      </c>
      <c r="D317" s="1004">
        <v>5848.16</v>
      </c>
      <c r="E317" s="1004">
        <v>5848.16</v>
      </c>
      <c r="F317" s="1002" t="s">
        <v>401</v>
      </c>
      <c r="G317" s="1002" t="s">
        <v>2110</v>
      </c>
      <c r="H317" s="961"/>
      <c r="I317" s="962"/>
      <c r="J317" s="962"/>
      <c r="K317" s="962"/>
      <c r="L317" s="153">
        <f t="shared" si="18"/>
        <v>6414</v>
      </c>
      <c r="M317" s="154" t="str">
        <f t="shared" si="19"/>
        <v>PUBLICITE</v>
      </c>
      <c r="N317" s="155">
        <f>+IF(OR($Q317=Parametres!$G$2,$Q317=Parametres!$G$3),I317,C317)</f>
        <v>0</v>
      </c>
      <c r="O317" s="155">
        <f>+IF(OR($Q317=Parametres!$G$2,$Q317=Parametres!$G$3),J317,D317)</f>
        <v>5848.16</v>
      </c>
      <c r="P317" s="155">
        <f>+IF(OR($Q317=Parametres!$G$2,$Q317=Parametres!$G$3),K317,E317)</f>
        <v>5848.16</v>
      </c>
      <c r="Q317" s="154" t="str">
        <f t="shared" si="23"/>
        <v>7-Dépenses</v>
      </c>
      <c r="R317" s="153" t="str">
        <f t="shared" si="23"/>
        <v>6114</v>
      </c>
      <c r="S317" s="154">
        <f t="shared" si="23"/>
        <v>0</v>
      </c>
      <c r="T317" s="156">
        <f>+VLOOKUP($L317,Data_Validation!$A:$D,1,0)</f>
        <v>6414</v>
      </c>
      <c r="U317" s="156" t="str">
        <f>+VLOOKUP($L317,Data_Validation!$A:$D,3,0)</f>
        <v>Service</v>
      </c>
      <c r="V317" s="156" t="str">
        <f>+VLOOKUP($L317,Data_Validation!$A:$D,4,0)</f>
        <v>Publicité 2</v>
      </c>
      <c r="W317" s="156" t="str">
        <f>+VLOOKUP($L317,Data_Validation!$A:$E,5,0)</f>
        <v>$</v>
      </c>
      <c r="X317" s="156">
        <f>+VLOOKUP($L317,Data_Validation!$A:$F,6,0)</f>
        <v>0</v>
      </c>
    </row>
    <row r="318" spans="1:24" ht="15.75" hidden="1" customHeight="1">
      <c r="A318" s="1002" t="s">
        <v>1259</v>
      </c>
      <c r="B318" s="1145">
        <v>6421</v>
      </c>
      <c r="C318" s="1004">
        <v>0</v>
      </c>
      <c r="D318" s="1004">
        <v>700</v>
      </c>
      <c r="E318" s="1004">
        <v>700</v>
      </c>
      <c r="F318" s="1002" t="s">
        <v>401</v>
      </c>
      <c r="G318" s="1002" t="s">
        <v>2643</v>
      </c>
      <c r="H318" s="961"/>
      <c r="I318" s="962"/>
      <c r="J318" s="962"/>
      <c r="K318" s="962"/>
      <c r="L318" s="153">
        <f t="shared" si="18"/>
        <v>6421</v>
      </c>
      <c r="M318" s="154" t="str">
        <f t="shared" si="19"/>
        <v>SALAIRES - PROPRIETAIRES</v>
      </c>
      <c r="N318" s="155">
        <f>+IF(OR($Q318=Parametres!$G$2,$Q318=Parametres!$G$3),I318,C318)</f>
        <v>0</v>
      </c>
      <c r="O318" s="155">
        <f>+IF(OR($Q318=Parametres!$G$2,$Q318=Parametres!$G$3),J318,D318)</f>
        <v>700</v>
      </c>
      <c r="P318" s="155">
        <f>+IF(OR($Q318=Parametres!$G$2,$Q318=Parametres!$G$3),K318,E318)</f>
        <v>700</v>
      </c>
      <c r="Q318" s="154" t="str">
        <f t="shared" si="23"/>
        <v>7-Dépenses</v>
      </c>
      <c r="R318" s="153" t="str">
        <f t="shared" si="23"/>
        <v>6121</v>
      </c>
      <c r="S318" s="154">
        <f t="shared" si="23"/>
        <v>0</v>
      </c>
      <c r="T318" s="156">
        <f>+VLOOKUP($L318,Data_Validation!$A:$D,1,0)</f>
        <v>6421</v>
      </c>
      <c r="U318" s="156" t="str">
        <f>+VLOOKUP($L318,Data_Validation!$A:$D,3,0)</f>
        <v>Service</v>
      </c>
      <c r="V318" s="156" t="str">
        <f>+VLOOKUP($L318,Data_Validation!$A:$D,4,0)</f>
        <v>Salaires propriétaire</v>
      </c>
      <c r="W318" s="156" t="str">
        <f>+VLOOKUP($L318,Data_Validation!$A:$E,5,0)</f>
        <v>$</v>
      </c>
      <c r="X318" s="156">
        <f>+VLOOKUP($L318,Data_Validation!$A:$F,6,0)</f>
        <v>0</v>
      </c>
    </row>
    <row r="319" spans="1:24" ht="15" hidden="1" customHeight="1">
      <c r="A319" s="1002" t="s">
        <v>2619</v>
      </c>
      <c r="B319" s="1145">
        <v>6422</v>
      </c>
      <c r="C319" s="1004">
        <v>0</v>
      </c>
      <c r="D319" s="1004">
        <v>12230.15</v>
      </c>
      <c r="E319" s="1004">
        <v>12230.15</v>
      </c>
      <c r="F319" s="1002" t="s">
        <v>401</v>
      </c>
      <c r="G319" s="1002" t="s">
        <v>2621</v>
      </c>
      <c r="H319" s="961"/>
      <c r="I319" s="962"/>
      <c r="J319" s="962"/>
      <c r="K319" s="962"/>
      <c r="L319" s="153">
        <f t="shared" si="18"/>
        <v>6422</v>
      </c>
      <c r="M319" s="154" t="str">
        <f t="shared" si="19"/>
        <v>SAL SUPERVISION / GERANT</v>
      </c>
      <c r="N319" s="155">
        <f>+IF(OR($Q319=Parametres!$G$2,$Q319=Parametres!$G$3),I319,C319)</f>
        <v>0</v>
      </c>
      <c r="O319" s="155">
        <f>+IF(OR($Q319=Parametres!$G$2,$Q319=Parametres!$G$3),J319,D319)</f>
        <v>12230.15</v>
      </c>
      <c r="P319" s="155">
        <f>+IF(OR($Q319=Parametres!$G$2,$Q319=Parametres!$G$3),K319,E319)</f>
        <v>12230.15</v>
      </c>
      <c r="Q319" s="154" t="str">
        <f t="shared" si="23"/>
        <v>7-Dépenses</v>
      </c>
      <c r="R319" s="153" t="str">
        <f t="shared" si="23"/>
        <v>6122</v>
      </c>
      <c r="S319" s="154">
        <f t="shared" si="23"/>
        <v>0</v>
      </c>
      <c r="T319" s="156">
        <f>+VLOOKUP($L319,Data_Validation!$A:$D,1,0)</f>
        <v>6422</v>
      </c>
      <c r="U319" s="156" t="str">
        <f>+VLOOKUP($L319,Data_Validation!$A:$D,3,0)</f>
        <v>Service</v>
      </c>
      <c r="V319" s="156" t="str">
        <f>+VLOOKUP($L319,Data_Validation!$A:$D,4,0)</f>
        <v>Salaires cadres</v>
      </c>
      <c r="W319" s="156" t="str">
        <f>+VLOOKUP($L319,Data_Validation!$A:$E,5,0)</f>
        <v>$</v>
      </c>
      <c r="X319" s="156">
        <f>+VLOOKUP($L319,Data_Validation!$A:$F,6,0)</f>
        <v>0</v>
      </c>
    </row>
    <row r="320" spans="1:24" ht="15" hidden="1" customHeight="1">
      <c r="A320" s="1002" t="s">
        <v>1266</v>
      </c>
      <c r="B320" s="1145">
        <v>6423</v>
      </c>
      <c r="C320" s="1004">
        <v>0</v>
      </c>
      <c r="D320" s="1004">
        <v>8211.75</v>
      </c>
      <c r="E320" s="1004">
        <v>8211.75</v>
      </c>
      <c r="F320" s="1002" t="s">
        <v>401</v>
      </c>
      <c r="G320" s="1002" t="s">
        <v>2674</v>
      </c>
      <c r="H320" s="961"/>
      <c r="I320" s="962"/>
      <c r="J320" s="962"/>
      <c r="K320" s="962"/>
      <c r="L320" s="153">
        <f t="shared" si="18"/>
        <v>6423</v>
      </c>
      <c r="M320" s="154" t="str">
        <f t="shared" si="19"/>
        <v>SAL. &amp; RENUM. CLERICAL</v>
      </c>
      <c r="N320" s="155">
        <f>+IF(OR($Q320=Parametres!$G$2,$Q320=Parametres!$G$3),I320,C320)</f>
        <v>0</v>
      </c>
      <c r="O320" s="155">
        <f>+IF(OR($Q320=Parametres!$G$2,$Q320=Parametres!$G$3),J320,D320)</f>
        <v>8211.75</v>
      </c>
      <c r="P320" s="155">
        <f>+IF(OR($Q320=Parametres!$G$2,$Q320=Parametres!$G$3),K320,E320)</f>
        <v>8211.75</v>
      </c>
      <c r="Q320" s="154" t="str">
        <f t="shared" si="23"/>
        <v>7-Dépenses</v>
      </c>
      <c r="R320" s="153" t="str">
        <f t="shared" si="23"/>
        <v>6123</v>
      </c>
      <c r="S320" s="154">
        <f t="shared" si="23"/>
        <v>0</v>
      </c>
      <c r="T320" s="156">
        <f>+VLOOKUP($L320,Data_Validation!$A:$D,1,0)</f>
        <v>6423</v>
      </c>
      <c r="U320" s="156" t="str">
        <f>+VLOOKUP($L320,Data_Validation!$A:$D,3,0)</f>
        <v>Service</v>
      </c>
      <c r="V320" s="156" t="str">
        <f>+VLOOKUP($L320,Data_Validation!$A:$D,4,0)</f>
        <v>Salaires commis</v>
      </c>
      <c r="W320" s="156" t="str">
        <f>+VLOOKUP($L320,Data_Validation!$A:$E,5,0)</f>
        <v>$</v>
      </c>
      <c r="X320" s="156">
        <f>+VLOOKUP($L320,Data_Validation!$A:$F,6,0)</f>
        <v>0</v>
      </c>
    </row>
    <row r="321" spans="1:24" ht="15" hidden="1" customHeight="1">
      <c r="A321" s="1002" t="s">
        <v>1249</v>
      </c>
      <c r="B321" s="1145">
        <v>6424</v>
      </c>
      <c r="C321" s="1004">
        <v>0</v>
      </c>
      <c r="D321" s="1004">
        <v>14193.45</v>
      </c>
      <c r="E321" s="1004">
        <v>14193.45</v>
      </c>
      <c r="F321" s="1002" t="s">
        <v>401</v>
      </c>
      <c r="G321" s="1002" t="s">
        <v>2730</v>
      </c>
      <c r="H321" s="961"/>
      <c r="I321" s="962"/>
      <c r="J321" s="962"/>
      <c r="K321" s="962"/>
      <c r="L321" s="153">
        <f t="shared" si="18"/>
        <v>6424</v>
      </c>
      <c r="M321" s="154" t="str">
        <f t="shared" si="19"/>
        <v>SALAIRES &amp; RENUM. - AUTRES</v>
      </c>
      <c r="N321" s="155">
        <f>+IF(OR($Q321=Parametres!$G$2,$Q321=Parametres!$G$3),I321,C321)</f>
        <v>0</v>
      </c>
      <c r="O321" s="155">
        <f>+IF(OR($Q321=Parametres!$G$2,$Q321=Parametres!$G$3),J321,D321)</f>
        <v>14193.45</v>
      </c>
      <c r="P321" s="155">
        <f>+IF(OR($Q321=Parametres!$G$2,$Q321=Parametres!$G$3),K321,E321)</f>
        <v>14193.45</v>
      </c>
      <c r="Q321" s="154" t="str">
        <f t="shared" si="23"/>
        <v>7-Dépenses</v>
      </c>
      <c r="R321" s="153" t="str">
        <f t="shared" si="23"/>
        <v>6124</v>
      </c>
      <c r="S321" s="154">
        <f t="shared" si="23"/>
        <v>0</v>
      </c>
      <c r="T321" s="156">
        <f>+VLOOKUP($L321,Data_Validation!$A:$D,1,0)</f>
        <v>6424</v>
      </c>
      <c r="U321" s="156" t="str">
        <f>+VLOOKUP($L321,Data_Validation!$A:$D,3,0)</f>
        <v>Service</v>
      </c>
      <c r="V321" s="156" t="str">
        <f>+VLOOKUP($L321,Data_Validation!$A:$D,4,0)</f>
        <v>Salaires autres</v>
      </c>
      <c r="W321" s="156" t="str">
        <f>+VLOOKUP($L321,Data_Validation!$A:$E,5,0)</f>
        <v>$</v>
      </c>
      <c r="X321" s="156">
        <f>+VLOOKUP($L321,Data_Validation!$A:$F,6,0)</f>
        <v>0</v>
      </c>
    </row>
    <row r="322" spans="1:24" ht="15.75" hidden="1" customHeight="1">
      <c r="A322" s="1002" t="s">
        <v>1330</v>
      </c>
      <c r="B322" s="1145">
        <v>6425</v>
      </c>
      <c r="C322" s="1004">
        <v>0</v>
      </c>
      <c r="D322" s="1004">
        <v>21182.68</v>
      </c>
      <c r="E322" s="1004">
        <v>21182.68</v>
      </c>
      <c r="F322" s="1002" t="s">
        <v>401</v>
      </c>
      <c r="G322" s="1002" t="s">
        <v>2716</v>
      </c>
      <c r="H322" s="961"/>
      <c r="I322" s="962"/>
      <c r="J322" s="962"/>
      <c r="K322" s="962"/>
      <c r="L322" s="153">
        <f t="shared" si="18"/>
        <v>6425</v>
      </c>
      <c r="M322" s="154" t="str">
        <f t="shared" si="19"/>
        <v>SALAIRE SPECIALISTES</v>
      </c>
      <c r="N322" s="155">
        <f>+IF(OR($Q322=Parametres!$G$2,$Q322=Parametres!$G$3),I322,C322)</f>
        <v>0</v>
      </c>
      <c r="O322" s="155">
        <f>+IF(OR($Q322=Parametres!$G$2,$Q322=Parametres!$G$3),J322,D322)</f>
        <v>21182.68</v>
      </c>
      <c r="P322" s="155">
        <f>+IF(OR($Q322=Parametres!$G$2,$Q322=Parametres!$G$3),K322,E322)</f>
        <v>21182.68</v>
      </c>
      <c r="Q322" s="154" t="str">
        <f t="shared" ref="Q322:S337" si="24">+F322</f>
        <v>7-Dépenses</v>
      </c>
      <c r="R322" s="153" t="str">
        <f t="shared" si="24"/>
        <v>6125</v>
      </c>
      <c r="S322" s="154">
        <f t="shared" si="24"/>
        <v>0</v>
      </c>
      <c r="T322" s="156">
        <f>+VLOOKUP($L322,Data_Validation!$A:$D,1,0)</f>
        <v>6425</v>
      </c>
      <c r="U322" s="156" t="str">
        <f>+VLOOKUP($L322,Data_Validation!$A:$D,3,0)</f>
        <v>Service</v>
      </c>
      <c r="V322" s="156" t="str">
        <f>+VLOOKUP($L322,Data_Validation!$A:$D,4,0)</f>
        <v>Salaires spécialistes</v>
      </c>
      <c r="W322" s="156" t="str">
        <f>+VLOOKUP($L322,Data_Validation!$A:$E,5,0)</f>
        <v>$</v>
      </c>
      <c r="X322" s="156">
        <f>+VLOOKUP($L322,Data_Validation!$A:$F,6,0)</f>
        <v>0</v>
      </c>
    </row>
    <row r="323" spans="1:24" ht="15" hidden="1" customHeight="1">
      <c r="A323" s="1002" t="s">
        <v>1448</v>
      </c>
      <c r="B323" s="1145">
        <v>6429</v>
      </c>
      <c r="C323" s="1004">
        <v>0</v>
      </c>
      <c r="D323" s="1004">
        <v>9419.06</v>
      </c>
      <c r="E323" s="1004">
        <v>9419.06</v>
      </c>
      <c r="F323" s="1002" t="s">
        <v>401</v>
      </c>
      <c r="G323" s="1002" t="s">
        <v>2636</v>
      </c>
      <c r="H323" s="961"/>
      <c r="I323" s="962"/>
      <c r="J323" s="962"/>
      <c r="K323" s="962"/>
      <c r="L323" s="153">
        <f t="shared" si="18"/>
        <v>6429</v>
      </c>
      <c r="M323" s="154" t="str">
        <f t="shared" si="19"/>
        <v>SAL.,VACANCE, &amp; SAL. JOURS FER</v>
      </c>
      <c r="N323" s="155">
        <f>+IF(OR($Q323=Parametres!$G$2,$Q323=Parametres!$G$3),I323,C323)</f>
        <v>0</v>
      </c>
      <c r="O323" s="155">
        <f>+IF(OR($Q323=Parametres!$G$2,$Q323=Parametres!$G$3),J323,D323)</f>
        <v>9419.06</v>
      </c>
      <c r="P323" s="155">
        <f>+IF(OR($Q323=Parametres!$G$2,$Q323=Parametres!$G$3),K323,E323)</f>
        <v>9419.06</v>
      </c>
      <c r="Q323" s="154" t="str">
        <f t="shared" si="24"/>
        <v>7-Dépenses</v>
      </c>
      <c r="R323" s="153" t="str">
        <f t="shared" si="24"/>
        <v>6129</v>
      </c>
      <c r="S323" s="154">
        <f t="shared" si="24"/>
        <v>0</v>
      </c>
      <c r="T323" s="156">
        <f>+VLOOKUP($L323,Data_Validation!$A:$D,1,0)</f>
        <v>6429</v>
      </c>
      <c r="U323" s="156" t="str">
        <f>+VLOOKUP($L323,Data_Validation!$A:$D,3,0)</f>
        <v>Service</v>
      </c>
      <c r="V323" s="156" t="str">
        <f>+VLOOKUP($L323,Data_Validation!$A:$D,4,0)</f>
        <v>Salaires en absences</v>
      </c>
      <c r="W323" s="156" t="str">
        <f>+VLOOKUP($L323,Data_Validation!$A:$E,5,0)</f>
        <v>$</v>
      </c>
      <c r="X323" s="156">
        <f>+VLOOKUP($L323,Data_Validation!$A:$F,6,0)</f>
        <v>0</v>
      </c>
    </row>
    <row r="324" spans="1:24" ht="15" hidden="1" customHeight="1">
      <c r="A324" s="1002" t="s">
        <v>1283</v>
      </c>
      <c r="B324" s="1145">
        <v>6432</v>
      </c>
      <c r="C324" s="1004">
        <v>0</v>
      </c>
      <c r="D324" s="1004">
        <v>13265.27</v>
      </c>
      <c r="E324" s="1004">
        <v>13265.27</v>
      </c>
      <c r="F324" s="1002" t="s">
        <v>401</v>
      </c>
      <c r="G324" s="1002" t="s">
        <v>2680</v>
      </c>
      <c r="H324" s="961"/>
      <c r="I324" s="962"/>
      <c r="J324" s="962"/>
      <c r="K324" s="962"/>
      <c r="L324" s="153">
        <f t="shared" si="18"/>
        <v>6432</v>
      </c>
      <c r="M324" s="154" t="str">
        <f t="shared" si="19"/>
        <v>RRQ RAMQ AC</v>
      </c>
      <c r="N324" s="155">
        <f>+IF(OR($Q324=Parametres!$G$2,$Q324=Parametres!$G$3),I324,C324)</f>
        <v>0</v>
      </c>
      <c r="O324" s="155">
        <f>+IF(OR($Q324=Parametres!$G$2,$Q324=Parametres!$G$3),J324,D324)</f>
        <v>13265.27</v>
      </c>
      <c r="P324" s="155">
        <f>+IF(OR($Q324=Parametres!$G$2,$Q324=Parametres!$G$3),K324,E324)</f>
        <v>13265.27</v>
      </c>
      <c r="Q324" s="154" t="str">
        <f t="shared" si="24"/>
        <v>7-Dépenses</v>
      </c>
      <c r="R324" s="153" t="str">
        <f t="shared" si="24"/>
        <v>6132</v>
      </c>
      <c r="S324" s="154">
        <f t="shared" si="24"/>
        <v>0</v>
      </c>
      <c r="T324" s="156">
        <f>+VLOOKUP($L324,Data_Validation!$A:$D,1,0)</f>
        <v>6432</v>
      </c>
      <c r="U324" s="156" t="str">
        <f>+VLOOKUP($L324,Data_Validation!$A:$D,3,0)</f>
        <v>Service</v>
      </c>
      <c r="V324" s="156" t="str">
        <f>+VLOOKUP($L324,Data_Validation!$A:$D,4,0)</f>
        <v>Déduction à la source</v>
      </c>
      <c r="W324" s="156" t="str">
        <f>+VLOOKUP($L324,Data_Validation!$A:$E,5,0)</f>
        <v>$</v>
      </c>
      <c r="X324" s="156">
        <f>+VLOOKUP($L324,Data_Validation!$A:$F,6,0)</f>
        <v>0</v>
      </c>
    </row>
    <row r="325" spans="1:24" ht="15" hidden="1" customHeight="1">
      <c r="A325" s="1002" t="s">
        <v>1220</v>
      </c>
      <c r="B325" s="1145">
        <v>6433</v>
      </c>
      <c r="C325" s="1004">
        <v>0</v>
      </c>
      <c r="D325" s="1004">
        <v>205.86</v>
      </c>
      <c r="E325" s="1004">
        <v>205.86</v>
      </c>
      <c r="F325" s="1002" t="s">
        <v>401</v>
      </c>
      <c r="G325" s="1002" t="s">
        <v>2574</v>
      </c>
      <c r="H325" s="961"/>
      <c r="I325" s="962"/>
      <c r="J325" s="962"/>
      <c r="K325" s="962"/>
      <c r="L325" s="153">
        <f t="shared" si="18"/>
        <v>6433</v>
      </c>
      <c r="M325" s="154" t="str">
        <f t="shared" si="19"/>
        <v>FOND PENSION - SERVICE</v>
      </c>
      <c r="N325" s="155">
        <f>+IF(OR($Q325=Parametres!$G$2,$Q325=Parametres!$G$3),I325,C325)</f>
        <v>0</v>
      </c>
      <c r="O325" s="155">
        <f>+IF(OR($Q325=Parametres!$G$2,$Q325=Parametres!$G$3),J325,D325)</f>
        <v>205.86</v>
      </c>
      <c r="P325" s="155">
        <f>+IF(OR($Q325=Parametres!$G$2,$Q325=Parametres!$G$3),K325,E325)</f>
        <v>205.86</v>
      </c>
      <c r="Q325" s="154" t="str">
        <f t="shared" si="24"/>
        <v>7-Dépenses</v>
      </c>
      <c r="R325" s="153" t="str">
        <f t="shared" si="24"/>
        <v>6133</v>
      </c>
      <c r="S325" s="154">
        <f t="shared" si="24"/>
        <v>0</v>
      </c>
      <c r="T325" s="156">
        <f>+VLOOKUP($L325,Data_Validation!$A:$D,1,0)</f>
        <v>6433</v>
      </c>
      <c r="U325" s="156" t="str">
        <f>+VLOOKUP($L325,Data_Validation!$A:$D,3,0)</f>
        <v>Service</v>
      </c>
      <c r="V325" s="156" t="str">
        <f>+VLOOKUP($L325,Data_Validation!$A:$D,4,0)</f>
        <v>Bénéfices marginaux</v>
      </c>
      <c r="W325" s="156" t="str">
        <f>+VLOOKUP($L325,Data_Validation!$A:$E,5,0)</f>
        <v>$</v>
      </c>
      <c r="X325" s="156">
        <f>+VLOOKUP($L325,Data_Validation!$A:$F,6,0)</f>
        <v>0</v>
      </c>
    </row>
    <row r="326" spans="1:24" ht="15" hidden="1" customHeight="1">
      <c r="A326" s="1002" t="s">
        <v>1305</v>
      </c>
      <c r="B326" s="1145">
        <v>6439</v>
      </c>
      <c r="C326" s="1004">
        <v>0</v>
      </c>
      <c r="D326" s="1004">
        <v>4391.99</v>
      </c>
      <c r="E326" s="1004">
        <v>4391.99</v>
      </c>
      <c r="F326" s="1002" t="s">
        <v>401</v>
      </c>
      <c r="G326" s="1002" t="s">
        <v>2689</v>
      </c>
      <c r="H326" s="961"/>
      <c r="I326" s="962"/>
      <c r="J326" s="962"/>
      <c r="K326" s="962"/>
      <c r="L326" s="153">
        <f t="shared" si="18"/>
        <v>6439</v>
      </c>
      <c r="M326" s="154" t="str">
        <f t="shared" si="19"/>
        <v>ASSURANCE GROUPE</v>
      </c>
      <c r="N326" s="155">
        <f>+IF(OR($Q326=Parametres!$G$2,$Q326=Parametres!$G$3),I326,C326)</f>
        <v>0</v>
      </c>
      <c r="O326" s="155">
        <f>+IF(OR($Q326=Parametres!$G$2,$Q326=Parametres!$G$3),J326,D326)</f>
        <v>4391.99</v>
      </c>
      <c r="P326" s="155">
        <f>+IF(OR($Q326=Parametres!$G$2,$Q326=Parametres!$G$3),K326,E326)</f>
        <v>4391.99</v>
      </c>
      <c r="Q326" s="154" t="str">
        <f t="shared" si="24"/>
        <v>7-Dépenses</v>
      </c>
      <c r="R326" s="153" t="str">
        <f t="shared" si="24"/>
        <v>6139</v>
      </c>
      <c r="S326" s="154">
        <f t="shared" si="24"/>
        <v>0</v>
      </c>
      <c r="T326" s="156">
        <f>+VLOOKUP($L326,Data_Validation!$A:$D,1,0)</f>
        <v>6439</v>
      </c>
      <c r="U326" s="156" t="str">
        <f>+VLOOKUP($L326,Data_Validation!$A:$D,3,0)</f>
        <v>Service</v>
      </c>
      <c r="V326" s="156" t="str">
        <f>+VLOOKUP($L326,Data_Validation!$A:$D,4,0)</f>
        <v>Bénéfices marginaux</v>
      </c>
      <c r="W326" s="156" t="str">
        <f>+VLOOKUP($L326,Data_Validation!$A:$E,5,0)</f>
        <v>$</v>
      </c>
      <c r="X326" s="156">
        <f>+VLOOKUP($L326,Data_Validation!$A:$F,6,0)</f>
        <v>0</v>
      </c>
    </row>
    <row r="327" spans="1:24" ht="15.75" hidden="1" customHeight="1">
      <c r="A327" s="1002" t="s">
        <v>1157</v>
      </c>
      <c r="B327" s="1145">
        <v>6442</v>
      </c>
      <c r="C327" s="1004">
        <v>0</v>
      </c>
      <c r="D327" s="1004">
        <v>2168.02</v>
      </c>
      <c r="E327" s="1004">
        <v>2168.02</v>
      </c>
      <c r="F327" s="1002" t="s">
        <v>401</v>
      </c>
      <c r="G327" s="1002" t="s">
        <v>2558</v>
      </c>
      <c r="H327" s="961"/>
      <c r="I327" s="962"/>
      <c r="J327" s="962"/>
      <c r="K327" s="962"/>
      <c r="L327" s="153">
        <f t="shared" si="18"/>
        <v>6442</v>
      </c>
      <c r="M327" s="154" t="str">
        <f t="shared" si="19"/>
        <v>FOURNITURES &amp; PETITS OUTILS</v>
      </c>
      <c r="N327" s="155">
        <f>+IF(OR($Q327=Parametres!$G$2,$Q327=Parametres!$G$3),I327,C327)</f>
        <v>0</v>
      </c>
      <c r="O327" s="155">
        <f>+IF(OR($Q327=Parametres!$G$2,$Q327=Parametres!$G$3),J327,D327)</f>
        <v>2168.02</v>
      </c>
      <c r="P327" s="155">
        <f>+IF(OR($Q327=Parametres!$G$2,$Q327=Parametres!$G$3),K327,E327)</f>
        <v>2168.02</v>
      </c>
      <c r="Q327" s="154" t="str">
        <f t="shared" si="24"/>
        <v>7-Dépenses</v>
      </c>
      <c r="R327" s="153" t="str">
        <f t="shared" si="24"/>
        <v>6142</v>
      </c>
      <c r="S327" s="154">
        <f t="shared" si="24"/>
        <v>0</v>
      </c>
      <c r="T327" s="156">
        <f>+VLOOKUP($L327,Data_Validation!$A:$D,1,0)</f>
        <v>6442</v>
      </c>
      <c r="U327" s="156" t="str">
        <f>+VLOOKUP($L327,Data_Validation!$A:$D,3,0)</f>
        <v>Service</v>
      </c>
      <c r="V327" s="156" t="str">
        <f>+VLOOKUP($L327,Data_Validation!$A:$D,4,0)</f>
        <v>Fournitures autres</v>
      </c>
      <c r="W327" s="156" t="str">
        <f>+VLOOKUP($L327,Data_Validation!$A:$E,5,0)</f>
        <v>$</v>
      </c>
      <c r="X327" s="156">
        <f>+VLOOKUP($L327,Data_Validation!$A:$F,6,0)</f>
        <v>0</v>
      </c>
    </row>
    <row r="328" spans="1:24" ht="15" hidden="1" customHeight="1">
      <c r="A328" s="1002" t="s">
        <v>932</v>
      </c>
      <c r="B328" s="1145">
        <v>6443</v>
      </c>
      <c r="C328" s="1004">
        <v>0</v>
      </c>
      <c r="D328" s="1004">
        <v>509.73</v>
      </c>
      <c r="E328" s="1004">
        <v>509.73</v>
      </c>
      <c r="F328" s="1002" t="s">
        <v>401</v>
      </c>
      <c r="G328" s="1002" t="s">
        <v>2156</v>
      </c>
      <c r="H328" s="961"/>
      <c r="I328" s="962"/>
      <c r="J328" s="962"/>
      <c r="K328" s="962"/>
      <c r="L328" s="153">
        <f t="shared" si="18"/>
        <v>6443</v>
      </c>
      <c r="M328" s="154" t="str">
        <f t="shared" si="19"/>
        <v>UNIFORMES &amp; LESSIVE</v>
      </c>
      <c r="N328" s="155">
        <f>+IF(OR($Q328=Parametres!$G$2,$Q328=Parametres!$G$3),I328,C328)</f>
        <v>0</v>
      </c>
      <c r="O328" s="155">
        <f>+IF(OR($Q328=Parametres!$G$2,$Q328=Parametres!$G$3),J328,D328)</f>
        <v>509.73</v>
      </c>
      <c r="P328" s="155">
        <f>+IF(OR($Q328=Parametres!$G$2,$Q328=Parametres!$G$3),K328,E328)</f>
        <v>509.73</v>
      </c>
      <c r="Q328" s="154" t="str">
        <f t="shared" si="24"/>
        <v>7-Dépenses</v>
      </c>
      <c r="R328" s="153" t="str">
        <f t="shared" si="24"/>
        <v>6143</v>
      </c>
      <c r="S328" s="154">
        <f t="shared" si="24"/>
        <v>0</v>
      </c>
      <c r="T328" s="156">
        <f>+VLOOKUP($L328,Data_Validation!$A:$D,1,0)</f>
        <v>6443</v>
      </c>
      <c r="U328" s="156" t="str">
        <f>+VLOOKUP($L328,Data_Validation!$A:$D,3,0)</f>
        <v>Service</v>
      </c>
      <c r="V328" s="156" t="str">
        <f>+VLOOKUP($L328,Data_Validation!$A:$D,4,0)</f>
        <v>Uniformes</v>
      </c>
      <c r="W328" s="156" t="str">
        <f>+VLOOKUP($L328,Data_Validation!$A:$E,5,0)</f>
        <v>$</v>
      </c>
      <c r="X328" s="156">
        <f>+VLOOKUP($L328,Data_Validation!$A:$F,6,0)</f>
        <v>0</v>
      </c>
    </row>
    <row r="329" spans="1:24" ht="15" hidden="1" customHeight="1">
      <c r="A329" s="1002" t="s">
        <v>934</v>
      </c>
      <c r="B329" s="1145">
        <v>6444</v>
      </c>
      <c r="C329" s="1004">
        <v>0</v>
      </c>
      <c r="D329" s="1004">
        <v>708.75</v>
      </c>
      <c r="E329" s="1004">
        <v>708.75</v>
      </c>
      <c r="F329" s="1002" t="s">
        <v>401</v>
      </c>
      <c r="G329" s="1002" t="s">
        <v>2556</v>
      </c>
      <c r="H329" s="961"/>
      <c r="I329" s="962"/>
      <c r="J329" s="962"/>
      <c r="K329" s="962"/>
      <c r="L329" s="153">
        <f t="shared" si="18"/>
        <v>6444</v>
      </c>
      <c r="M329" s="154" t="str">
        <f t="shared" si="19"/>
        <v>FORMATION</v>
      </c>
      <c r="N329" s="155">
        <f>+IF(OR($Q329=Parametres!$G$2,$Q329=Parametres!$G$3),I329,C329)</f>
        <v>0</v>
      </c>
      <c r="O329" s="155">
        <f>+IF(OR($Q329=Parametres!$G$2,$Q329=Parametres!$G$3),J329,D329)</f>
        <v>708.75</v>
      </c>
      <c r="P329" s="155">
        <f>+IF(OR($Q329=Parametres!$G$2,$Q329=Parametres!$G$3),K329,E329)</f>
        <v>708.75</v>
      </c>
      <c r="Q329" s="154" t="str">
        <f t="shared" si="24"/>
        <v>7-Dépenses</v>
      </c>
      <c r="R329" s="153" t="str">
        <f t="shared" si="24"/>
        <v>6144</v>
      </c>
      <c r="S329" s="154">
        <f t="shared" si="24"/>
        <v>0</v>
      </c>
      <c r="T329" s="156">
        <f>+VLOOKUP($L329,Data_Validation!$A:$D,1,0)</f>
        <v>6444</v>
      </c>
      <c r="U329" s="156" t="str">
        <f>+VLOOKUP($L329,Data_Validation!$A:$D,3,0)</f>
        <v>Service</v>
      </c>
      <c r="V329" s="156" t="str">
        <f>+VLOOKUP($L329,Data_Validation!$A:$D,4,0)</f>
        <v>Formation</v>
      </c>
      <c r="W329" s="156" t="str">
        <f>+VLOOKUP($L329,Data_Validation!$A:$E,5,0)</f>
        <v>$</v>
      </c>
      <c r="X329" s="156">
        <f>+VLOOKUP($L329,Data_Validation!$A:$F,6,0)</f>
        <v>0</v>
      </c>
    </row>
    <row r="330" spans="1:24" ht="15" hidden="1" customHeight="1">
      <c r="A330" s="1002" t="s">
        <v>1527</v>
      </c>
      <c r="B330" s="1145">
        <v>6445</v>
      </c>
      <c r="C330" s="1004">
        <v>0</v>
      </c>
      <c r="D330" s="1004">
        <v>12067.73</v>
      </c>
      <c r="E330" s="1004">
        <v>12067.73</v>
      </c>
      <c r="F330" s="1002" t="s">
        <v>401</v>
      </c>
      <c r="G330" s="1002" t="s">
        <v>2627</v>
      </c>
      <c r="H330" s="961"/>
      <c r="I330" s="962"/>
      <c r="J330" s="962"/>
      <c r="K330" s="962"/>
      <c r="L330" s="153">
        <f t="shared" si="18"/>
        <v>6445</v>
      </c>
      <c r="M330" s="154" t="str">
        <f t="shared" si="19"/>
        <v>LOCATION COURTOISIE</v>
      </c>
      <c r="N330" s="155">
        <f>+IF(OR($Q330=Parametres!$G$2,$Q330=Parametres!$G$3),I330,C330)</f>
        <v>0</v>
      </c>
      <c r="O330" s="155">
        <f>+IF(OR($Q330=Parametres!$G$2,$Q330=Parametres!$G$3),J330,D330)</f>
        <v>12067.73</v>
      </c>
      <c r="P330" s="155">
        <f>+IF(OR($Q330=Parametres!$G$2,$Q330=Parametres!$G$3),K330,E330)</f>
        <v>12067.73</v>
      </c>
      <c r="Q330" s="154" t="str">
        <f t="shared" si="24"/>
        <v>7-Dépenses</v>
      </c>
      <c r="R330" s="153" t="str">
        <f t="shared" si="24"/>
        <v>6145</v>
      </c>
      <c r="S330" s="154">
        <f t="shared" si="24"/>
        <v>0</v>
      </c>
      <c r="T330" s="156">
        <f>+VLOOKUP($L330,Data_Validation!$A:$D,1,0)</f>
        <v>6445</v>
      </c>
      <c r="U330" s="156" t="str">
        <f>+VLOOKUP($L330,Data_Validation!$A:$D,3,0)</f>
        <v>Service</v>
      </c>
      <c r="V330" s="156" t="str">
        <f>+VLOOKUP($L330,Data_Validation!$A:$D,4,0)</f>
        <v>Frais véhicules de cie</v>
      </c>
      <c r="W330" s="156" t="str">
        <f>+VLOOKUP($L330,Data_Validation!$A:$E,5,0)</f>
        <v>$</v>
      </c>
      <c r="X330" s="156">
        <f>+VLOOKUP($L330,Data_Validation!$A:$F,6,0)</f>
        <v>0</v>
      </c>
    </row>
    <row r="331" spans="1:24" ht="15" hidden="1" customHeight="1">
      <c r="A331" s="1002" t="s">
        <v>1180</v>
      </c>
      <c r="B331" s="1145">
        <v>6447</v>
      </c>
      <c r="C331" s="1004">
        <v>0</v>
      </c>
      <c r="D331" s="1004">
        <v>48.91</v>
      </c>
      <c r="E331" s="1004">
        <v>48.91</v>
      </c>
      <c r="F331" s="1002" t="s">
        <v>401</v>
      </c>
      <c r="G331" s="1002" t="s">
        <v>2576</v>
      </c>
      <c r="H331" s="961"/>
      <c r="I331" s="962"/>
      <c r="J331" s="962"/>
      <c r="K331" s="962"/>
      <c r="L331" s="153">
        <f t="shared" si="18"/>
        <v>6447</v>
      </c>
      <c r="M331" s="154" t="str">
        <f t="shared" si="19"/>
        <v>FRET/EXPRESS/TRANS. PAR CAMION</v>
      </c>
      <c r="N331" s="155">
        <f>+IF(OR($Q331=Parametres!$G$2,$Q331=Parametres!$G$3),I331,C331)</f>
        <v>0</v>
      </c>
      <c r="O331" s="155">
        <f>+IF(OR($Q331=Parametres!$G$2,$Q331=Parametres!$G$3),J331,D331)</f>
        <v>48.91</v>
      </c>
      <c r="P331" s="155">
        <f>+IF(OR($Q331=Parametres!$G$2,$Q331=Parametres!$G$3),K331,E331)</f>
        <v>48.91</v>
      </c>
      <c r="Q331" s="154" t="str">
        <f t="shared" si="24"/>
        <v>7-Dépenses</v>
      </c>
      <c r="R331" s="153" t="str">
        <f t="shared" si="24"/>
        <v>6147</v>
      </c>
      <c r="S331" s="154">
        <f t="shared" si="24"/>
        <v>0</v>
      </c>
      <c r="T331" s="156">
        <f>+VLOOKUP($L331,Data_Validation!$A:$D,1,0)</f>
        <v>6447</v>
      </c>
      <c r="U331" s="156" t="str">
        <f>+VLOOKUP($L331,Data_Validation!$A:$D,3,0)</f>
        <v>Service</v>
      </c>
      <c r="V331" s="156" t="str">
        <f>+VLOOKUP($L331,Data_Validation!$A:$D,4,0)</f>
        <v>Frais postaux</v>
      </c>
      <c r="W331" s="156" t="str">
        <f>+VLOOKUP($L331,Data_Validation!$A:$E,5,0)</f>
        <v>$</v>
      </c>
      <c r="X331" s="156">
        <f>+VLOOKUP($L331,Data_Validation!$A:$F,6,0)</f>
        <v>0</v>
      </c>
    </row>
    <row r="332" spans="1:24" ht="15" hidden="1" customHeight="1">
      <c r="A332" s="1002" t="s">
        <v>1286</v>
      </c>
      <c r="B332" s="1145">
        <v>6451</v>
      </c>
      <c r="C332" s="1004">
        <v>0</v>
      </c>
      <c r="D332" s="1004">
        <v>3947.31</v>
      </c>
      <c r="E332" s="1004">
        <v>3947.31</v>
      </c>
      <c r="F332" s="1002" t="s">
        <v>401</v>
      </c>
      <c r="G332" s="1002" t="s">
        <v>2697</v>
      </c>
      <c r="H332" s="961"/>
      <c r="I332" s="962"/>
      <c r="J332" s="962"/>
      <c r="K332" s="962"/>
      <c r="L332" s="153">
        <f t="shared" si="18"/>
        <v>6451</v>
      </c>
      <c r="M332" s="154" t="str">
        <f t="shared" si="19"/>
        <v>DEP. DU TRAITEMENT DES DONNEES</v>
      </c>
      <c r="N332" s="155">
        <f>+IF(OR($Q332=Parametres!$G$2,$Q332=Parametres!$G$3),I332,C332)</f>
        <v>0</v>
      </c>
      <c r="O332" s="155">
        <f>+IF(OR($Q332=Parametres!$G$2,$Q332=Parametres!$G$3),J332,D332)</f>
        <v>3947.31</v>
      </c>
      <c r="P332" s="155">
        <f>+IF(OR($Q332=Parametres!$G$2,$Q332=Parametres!$G$3),K332,E332)</f>
        <v>3947.31</v>
      </c>
      <c r="Q332" s="154" t="str">
        <f t="shared" si="24"/>
        <v>7-Dépenses</v>
      </c>
      <c r="R332" s="153" t="str">
        <f t="shared" si="24"/>
        <v>6151</v>
      </c>
      <c r="S332" s="154">
        <f t="shared" si="24"/>
        <v>0</v>
      </c>
      <c r="T332" s="156">
        <f>+VLOOKUP($L332,Data_Validation!$A:$D,1,0)</f>
        <v>6451</v>
      </c>
      <c r="U332" s="156" t="str">
        <f>+VLOOKUP($L332,Data_Validation!$A:$D,3,0)</f>
        <v>Service</v>
      </c>
      <c r="V332" s="156" t="str">
        <f>+VLOOKUP($L332,Data_Validation!$A:$D,4,0)</f>
        <v>Informatique</v>
      </c>
      <c r="W332" s="156" t="str">
        <f>+VLOOKUP($L332,Data_Validation!$A:$E,5,0)</f>
        <v>$</v>
      </c>
      <c r="X332" s="156">
        <f>+VLOOKUP($L332,Data_Validation!$A:$F,6,0)</f>
        <v>0</v>
      </c>
    </row>
    <row r="333" spans="1:24" ht="15.75" hidden="1" customHeight="1">
      <c r="A333" s="1002" t="s">
        <v>1206</v>
      </c>
      <c r="B333" s="1145">
        <v>6452</v>
      </c>
      <c r="C333" s="1004">
        <v>0</v>
      </c>
      <c r="D333" s="1004">
        <v>186.65</v>
      </c>
      <c r="E333" s="1004">
        <v>186.65</v>
      </c>
      <c r="F333" s="1002" t="s">
        <v>401</v>
      </c>
      <c r="G333" s="1002" t="s">
        <v>2583</v>
      </c>
      <c r="H333" s="961"/>
      <c r="I333" s="962"/>
      <c r="J333" s="962"/>
      <c r="K333" s="962"/>
      <c r="L333" s="153">
        <f t="shared" si="18"/>
        <v>6452</v>
      </c>
      <c r="M333" s="154" t="str">
        <f t="shared" si="19"/>
        <v>PAPETERIE</v>
      </c>
      <c r="N333" s="155">
        <f>+IF(OR($Q333=Parametres!$G$2,$Q333=Parametres!$G$3),I333,C333)</f>
        <v>0</v>
      </c>
      <c r="O333" s="155">
        <f>+IF(OR($Q333=Parametres!$G$2,$Q333=Parametres!$G$3),J333,D333)</f>
        <v>186.65</v>
      </c>
      <c r="P333" s="155">
        <f>+IF(OR($Q333=Parametres!$G$2,$Q333=Parametres!$G$3),K333,E333)</f>
        <v>186.65</v>
      </c>
      <c r="Q333" s="154" t="str">
        <f t="shared" si="24"/>
        <v>7-Dépenses</v>
      </c>
      <c r="R333" s="153" t="str">
        <f t="shared" si="24"/>
        <v>6152</v>
      </c>
      <c r="S333" s="154">
        <f t="shared" si="24"/>
        <v>0</v>
      </c>
      <c r="T333" s="156">
        <f>+VLOOKUP($L333,Data_Validation!$A:$D,1,0)</f>
        <v>6452</v>
      </c>
      <c r="U333" s="156" t="str">
        <f>+VLOOKUP($L333,Data_Validation!$A:$D,3,0)</f>
        <v>Service</v>
      </c>
      <c r="V333" s="156" t="str">
        <f>+VLOOKUP($L333,Data_Validation!$A:$D,4,0)</f>
        <v>Papeterie</v>
      </c>
      <c r="W333" s="156" t="str">
        <f>+VLOOKUP($L333,Data_Validation!$A:$E,5,0)</f>
        <v>$</v>
      </c>
      <c r="X333" s="156">
        <f>+VLOOKUP($L333,Data_Validation!$A:$F,6,0)</f>
        <v>0</v>
      </c>
    </row>
    <row r="334" spans="1:24" ht="15.75" hidden="1" customHeight="1">
      <c r="A334" s="1002" t="s">
        <v>1154</v>
      </c>
      <c r="B334" s="1145">
        <v>6453</v>
      </c>
      <c r="C334" s="1004">
        <v>0</v>
      </c>
      <c r="D334" s="1004">
        <v>404.01</v>
      </c>
      <c r="E334" s="1004">
        <v>404.01</v>
      </c>
      <c r="F334" s="1002" t="s">
        <v>401</v>
      </c>
      <c r="G334" s="1002" t="s">
        <v>2587</v>
      </c>
      <c r="H334" s="961"/>
      <c r="I334" s="962"/>
      <c r="J334" s="962"/>
      <c r="K334" s="962"/>
      <c r="L334" s="153">
        <f t="shared" si="18"/>
        <v>6453</v>
      </c>
      <c r="M334" s="154" t="str">
        <f t="shared" si="19"/>
        <v>TELEPHONE ET TELEX</v>
      </c>
      <c r="N334" s="155">
        <f>+IF(OR($Q334=Parametres!$G$2,$Q334=Parametres!$G$3),I334,C334)</f>
        <v>0</v>
      </c>
      <c r="O334" s="155">
        <f>+IF(OR($Q334=Parametres!$G$2,$Q334=Parametres!$G$3),J334,D334)</f>
        <v>404.01</v>
      </c>
      <c r="P334" s="155">
        <f>+IF(OR($Q334=Parametres!$G$2,$Q334=Parametres!$G$3),K334,E334)</f>
        <v>404.01</v>
      </c>
      <c r="Q334" s="154" t="str">
        <f t="shared" si="24"/>
        <v>7-Dépenses</v>
      </c>
      <c r="R334" s="153" t="str">
        <f t="shared" si="24"/>
        <v>6153</v>
      </c>
      <c r="S334" s="154">
        <f t="shared" si="24"/>
        <v>0</v>
      </c>
      <c r="T334" s="156">
        <f>+VLOOKUP($L334,Data_Validation!$A:$D,1,0)</f>
        <v>6453</v>
      </c>
      <c r="U334" s="156" t="str">
        <f>+VLOOKUP($L334,Data_Validation!$A:$D,3,0)</f>
        <v>Service</v>
      </c>
      <c r="V334" s="156" t="str">
        <f>+VLOOKUP($L334,Data_Validation!$A:$D,4,0)</f>
        <v>Téléphone</v>
      </c>
      <c r="W334" s="156" t="str">
        <f>+VLOOKUP($L334,Data_Validation!$A:$E,5,0)</f>
        <v>$</v>
      </c>
      <c r="X334" s="156">
        <f>+VLOOKUP($L334,Data_Validation!$A:$F,6,0)</f>
        <v>0</v>
      </c>
    </row>
    <row r="335" spans="1:24" ht="15" hidden="1" customHeight="1">
      <c r="A335" s="1002" t="s">
        <v>1237</v>
      </c>
      <c r="B335" s="1145">
        <v>6455</v>
      </c>
      <c r="C335" s="1004">
        <v>0</v>
      </c>
      <c r="D335" s="1004">
        <v>189.22</v>
      </c>
      <c r="E335" s="1004">
        <v>189.22</v>
      </c>
      <c r="F335" s="1002" t="s">
        <v>401</v>
      </c>
      <c r="G335" s="1002" t="s">
        <v>2632</v>
      </c>
      <c r="H335" s="961"/>
      <c r="I335" s="962"/>
      <c r="J335" s="962"/>
      <c r="K335" s="962"/>
      <c r="L335" s="153">
        <f t="shared" si="18"/>
        <v>6455</v>
      </c>
      <c r="M335" s="154" t="str">
        <f t="shared" si="19"/>
        <v>DEPENSES DIVERS</v>
      </c>
      <c r="N335" s="155">
        <f>+IF(OR($Q335=Parametres!$G$2,$Q335=Parametres!$G$3),I335,C335)</f>
        <v>0</v>
      </c>
      <c r="O335" s="155">
        <f>+IF(OR($Q335=Parametres!$G$2,$Q335=Parametres!$G$3),J335,D335)</f>
        <v>189.22</v>
      </c>
      <c r="P335" s="155">
        <f>+IF(OR($Q335=Parametres!$G$2,$Q335=Parametres!$G$3),K335,E335)</f>
        <v>189.22</v>
      </c>
      <c r="Q335" s="154" t="str">
        <f t="shared" si="24"/>
        <v>7-Dépenses</v>
      </c>
      <c r="R335" s="153" t="str">
        <f t="shared" si="24"/>
        <v>6155</v>
      </c>
      <c r="S335" s="154">
        <f t="shared" si="24"/>
        <v>0</v>
      </c>
      <c r="T335" s="156">
        <f>+VLOOKUP($L335,Data_Validation!$A:$D,1,0)</f>
        <v>6455</v>
      </c>
      <c r="U335" s="156" t="str">
        <f>+VLOOKUP($L335,Data_Validation!$A:$D,3,0)</f>
        <v>Service</v>
      </c>
      <c r="V335" s="156" t="str">
        <f>+VLOOKUP($L335,Data_Validation!$A:$D,4,0)</f>
        <v>Divers</v>
      </c>
      <c r="W335" s="156" t="str">
        <f>+VLOOKUP($L335,Data_Validation!$A:$E,5,0)</f>
        <v>$</v>
      </c>
      <c r="X335" s="156">
        <f>+VLOOKUP($L335,Data_Validation!$A:$F,6,0)</f>
        <v>0</v>
      </c>
    </row>
    <row r="336" spans="1:24" ht="15" hidden="1" customHeight="1">
      <c r="A336" s="1002" t="s">
        <v>1292</v>
      </c>
      <c r="B336" s="1145">
        <v>6456</v>
      </c>
      <c r="C336" s="1004">
        <v>0</v>
      </c>
      <c r="D336" s="1004">
        <v>46.51</v>
      </c>
      <c r="E336" s="1004">
        <v>46.51</v>
      </c>
      <c r="F336" s="1002" t="s">
        <v>401</v>
      </c>
      <c r="G336" s="1002" t="s">
        <v>2465</v>
      </c>
      <c r="H336" s="961"/>
      <c r="I336" s="962"/>
      <c r="J336" s="962"/>
      <c r="K336" s="962"/>
      <c r="L336" s="153">
        <f t="shared" si="18"/>
        <v>6456</v>
      </c>
      <c r="M336" s="154" t="str">
        <f t="shared" si="19"/>
        <v>FRAIS REPRESENTATION - SERVICE</v>
      </c>
      <c r="N336" s="155">
        <f>+IF(OR($Q336=Parametres!$G$2,$Q336=Parametres!$G$3),I336,C336)</f>
        <v>0</v>
      </c>
      <c r="O336" s="155">
        <f>+IF(OR($Q336=Parametres!$G$2,$Q336=Parametres!$G$3),J336,D336)</f>
        <v>46.51</v>
      </c>
      <c r="P336" s="155">
        <f>+IF(OR($Q336=Parametres!$G$2,$Q336=Parametres!$G$3),K336,E336)</f>
        <v>46.51</v>
      </c>
      <c r="Q336" s="154" t="str">
        <f t="shared" si="24"/>
        <v>7-Dépenses</v>
      </c>
      <c r="R336" s="153" t="str">
        <f t="shared" si="24"/>
        <v>6156</v>
      </c>
      <c r="S336" s="154">
        <f t="shared" si="24"/>
        <v>0</v>
      </c>
      <c r="T336" s="156">
        <f>+VLOOKUP($L336,Data_Validation!$A:$D,1,0)</f>
        <v>6456</v>
      </c>
      <c r="U336" s="156" t="str">
        <f>+VLOOKUP($L336,Data_Validation!$A:$D,3,0)</f>
        <v>Service</v>
      </c>
      <c r="V336" s="156" t="str">
        <f>+VLOOKUP($L336,Data_Validation!$A:$D,4,0)</f>
        <v>Frais de déplacement</v>
      </c>
      <c r="W336" s="156" t="str">
        <f>+VLOOKUP($L336,Data_Validation!$A:$E,5,0)</f>
        <v>$</v>
      </c>
      <c r="X336" s="156">
        <f>+VLOOKUP($L336,Data_Validation!$A:$F,6,0)</f>
        <v>0</v>
      </c>
    </row>
    <row r="337" spans="1:24" ht="15" hidden="1" customHeight="1">
      <c r="A337" s="1002" t="s">
        <v>1308</v>
      </c>
      <c r="B337" s="1145">
        <v>6459</v>
      </c>
      <c r="C337" s="1004">
        <v>0</v>
      </c>
      <c r="D337" s="1004">
        <v>1597.88</v>
      </c>
      <c r="E337" s="1004">
        <v>1597.88</v>
      </c>
      <c r="F337" s="1002" t="s">
        <v>401</v>
      </c>
      <c r="G337" s="1002" t="s">
        <v>2657</v>
      </c>
      <c r="H337" s="961"/>
      <c r="I337" s="963"/>
      <c r="J337" s="963"/>
      <c r="K337" s="963"/>
      <c r="L337" s="153">
        <f t="shared" si="18"/>
        <v>6459</v>
      </c>
      <c r="M337" s="154" t="str">
        <f t="shared" si="19"/>
        <v>SERVICE EXTERIEUR</v>
      </c>
      <c r="N337" s="155">
        <f>+IF(OR($Q337=Parametres!$G$2,$Q337=Parametres!$G$3),I337,C337)</f>
        <v>0</v>
      </c>
      <c r="O337" s="155">
        <f>+IF(OR($Q337=Parametres!$G$2,$Q337=Parametres!$G$3),J337,D337)</f>
        <v>1597.88</v>
      </c>
      <c r="P337" s="155">
        <f>+IF(OR($Q337=Parametres!$G$2,$Q337=Parametres!$G$3),K337,E337)</f>
        <v>1597.88</v>
      </c>
      <c r="Q337" s="154" t="str">
        <f t="shared" si="24"/>
        <v>7-Dépenses</v>
      </c>
      <c r="R337" s="153" t="str">
        <f t="shared" si="24"/>
        <v>6159</v>
      </c>
      <c r="S337" s="154">
        <f t="shared" si="24"/>
        <v>0</v>
      </c>
      <c r="T337" s="156">
        <f>+VLOOKUP($L337,Data_Validation!$A:$D,1,0)</f>
        <v>6459</v>
      </c>
      <c r="U337" s="156" t="str">
        <f>+VLOOKUP($L337,Data_Validation!$A:$D,3,0)</f>
        <v>Service</v>
      </c>
      <c r="V337" s="156" t="str">
        <f>+VLOOKUP($L337,Data_Validation!$A:$D,4,0)</f>
        <v>Services extérieurs</v>
      </c>
      <c r="W337" s="156" t="str">
        <f>+VLOOKUP($L337,Data_Validation!$A:$E,5,0)</f>
        <v>$</v>
      </c>
      <c r="X337" s="156">
        <f>+VLOOKUP($L337,Data_Validation!$A:$F,6,0)</f>
        <v>0</v>
      </c>
    </row>
    <row r="338" spans="1:24" ht="15.75" hidden="1" customHeight="1">
      <c r="A338" s="1002" t="s">
        <v>1333</v>
      </c>
      <c r="B338" s="1145">
        <v>6461</v>
      </c>
      <c r="C338" s="1004">
        <v>0</v>
      </c>
      <c r="D338" s="1004">
        <v>2200.08</v>
      </c>
      <c r="E338" s="1004">
        <v>2200.08</v>
      </c>
      <c r="F338" s="1002" t="s">
        <v>401</v>
      </c>
      <c r="G338" s="1002" t="s">
        <v>2648</v>
      </c>
      <c r="H338" s="961"/>
      <c r="I338" s="963"/>
      <c r="J338" s="963"/>
      <c r="K338" s="963"/>
      <c r="L338" s="153">
        <f t="shared" si="18"/>
        <v>6461</v>
      </c>
      <c r="M338" s="154" t="str">
        <f t="shared" si="19"/>
        <v>DEPRECIATION EQUIP. &amp; FIXTURES</v>
      </c>
      <c r="N338" s="155">
        <f>+IF(OR($Q338=Parametres!$G$2,$Q338=Parametres!$G$3),I338,C338)</f>
        <v>0</v>
      </c>
      <c r="O338" s="155">
        <f>+IF(OR($Q338=Parametres!$G$2,$Q338=Parametres!$G$3),J338,D338)</f>
        <v>2200.08</v>
      </c>
      <c r="P338" s="155">
        <f>+IF(OR($Q338=Parametres!$G$2,$Q338=Parametres!$G$3),K338,E338)</f>
        <v>2200.08</v>
      </c>
      <c r="Q338" s="154" t="str">
        <f t="shared" ref="Q338:S353" si="25">+F338</f>
        <v>7-Dépenses</v>
      </c>
      <c r="R338" s="153" t="str">
        <f t="shared" si="25"/>
        <v>6161</v>
      </c>
      <c r="S338" s="154">
        <f t="shared" si="25"/>
        <v>0</v>
      </c>
      <c r="T338" s="156">
        <f>+VLOOKUP($L338,Data_Validation!$A:$D,1,0)</f>
        <v>6461</v>
      </c>
      <c r="U338" s="156" t="str">
        <f>+VLOOKUP($L338,Data_Validation!$A:$D,3,0)</f>
        <v>Service</v>
      </c>
      <c r="V338" s="156" t="str">
        <f>+VLOOKUP($L338,Data_Validation!$A:$D,4,0)</f>
        <v>Amortissement</v>
      </c>
      <c r="W338" s="156" t="str">
        <f>+VLOOKUP($L338,Data_Validation!$A:$E,5,0)</f>
        <v>$</v>
      </c>
      <c r="X338" s="156">
        <f>+VLOOKUP($L338,Data_Validation!$A:$F,6,0)</f>
        <v>0</v>
      </c>
    </row>
    <row r="339" spans="1:24" ht="15" hidden="1" customHeight="1">
      <c r="A339" s="1002" t="s">
        <v>1168</v>
      </c>
      <c r="B339" s="1145">
        <v>6463</v>
      </c>
      <c r="C339" s="1004">
        <v>0</v>
      </c>
      <c r="D339" s="1004">
        <v>2107.14</v>
      </c>
      <c r="E339" s="1004">
        <v>2107.14</v>
      </c>
      <c r="F339" s="1002" t="s">
        <v>401</v>
      </c>
      <c r="G339" s="1002" t="s">
        <v>2634</v>
      </c>
      <c r="H339" s="961"/>
      <c r="I339" s="963"/>
      <c r="J339" s="963"/>
      <c r="K339" s="963"/>
      <c r="L339" s="153">
        <f t="shared" si="18"/>
        <v>6463</v>
      </c>
      <c r="M339" s="154" t="str">
        <f t="shared" si="19"/>
        <v>REPARATION &amp; ENT. - EQUIP.</v>
      </c>
      <c r="N339" s="155">
        <f>+IF(OR($Q339=Parametres!$G$2,$Q339=Parametres!$G$3),I339,C339)</f>
        <v>0</v>
      </c>
      <c r="O339" s="155">
        <f>+IF(OR($Q339=Parametres!$G$2,$Q339=Parametres!$G$3),J339,D339)</f>
        <v>2107.14</v>
      </c>
      <c r="P339" s="155">
        <f>+IF(OR($Q339=Parametres!$G$2,$Q339=Parametres!$G$3),K339,E339)</f>
        <v>2107.14</v>
      </c>
      <c r="Q339" s="154" t="str">
        <f t="shared" si="25"/>
        <v>7-Dépenses</v>
      </c>
      <c r="R339" s="153" t="str">
        <f t="shared" si="25"/>
        <v>6163</v>
      </c>
      <c r="S339" s="154">
        <f t="shared" si="25"/>
        <v>0</v>
      </c>
      <c r="T339" s="156">
        <f>+VLOOKUP($L339,Data_Validation!$A:$D,1,0)</f>
        <v>6463</v>
      </c>
      <c r="U339" s="156" t="str">
        <f>+VLOOKUP($L339,Data_Validation!$A:$D,3,0)</f>
        <v>Service</v>
      </c>
      <c r="V339" s="156" t="str">
        <f>+VLOOKUP($L339,Data_Validation!$A:$D,4,0)</f>
        <v>Réparation équipement</v>
      </c>
      <c r="W339" s="156" t="str">
        <f>+VLOOKUP($L339,Data_Validation!$A:$E,5,0)</f>
        <v>$</v>
      </c>
      <c r="X339" s="156">
        <f>+VLOOKUP($L339,Data_Validation!$A:$F,6,0)</f>
        <v>0</v>
      </c>
    </row>
    <row r="340" spans="1:24" ht="15" hidden="1" customHeight="1">
      <c r="A340" s="1002" t="s">
        <v>1311</v>
      </c>
      <c r="B340" s="1145">
        <v>6481</v>
      </c>
      <c r="C340" s="1004">
        <v>0</v>
      </c>
      <c r="D340" s="1004">
        <v>406.98</v>
      </c>
      <c r="E340" s="1004">
        <v>406.98</v>
      </c>
      <c r="F340" s="1002" t="s">
        <v>401</v>
      </c>
      <c r="G340" s="1002" t="s">
        <v>2599</v>
      </c>
      <c r="H340" s="961"/>
      <c r="I340" s="963"/>
      <c r="J340" s="963"/>
      <c r="K340" s="963"/>
      <c r="L340" s="153">
        <f t="shared" si="18"/>
        <v>6481</v>
      </c>
      <c r="M340" s="154" t="str">
        <f t="shared" si="19"/>
        <v>CHAUFFAGE,ELECTRICITE,EAU-SERVICE</v>
      </c>
      <c r="N340" s="155">
        <f>+IF(OR($Q340=Parametres!$G$2,$Q340=Parametres!$G$3),I340,C340)</f>
        <v>0</v>
      </c>
      <c r="O340" s="155">
        <f>+IF(OR($Q340=Parametres!$G$2,$Q340=Parametres!$G$3),J340,D340)</f>
        <v>406.98</v>
      </c>
      <c r="P340" s="155">
        <f>+IF(OR($Q340=Parametres!$G$2,$Q340=Parametres!$G$3),K340,E340)</f>
        <v>406.98</v>
      </c>
      <c r="Q340" s="154" t="str">
        <f t="shared" si="25"/>
        <v>7-Dépenses</v>
      </c>
      <c r="R340" s="153" t="str">
        <f t="shared" si="25"/>
        <v>6181</v>
      </c>
      <c r="S340" s="154">
        <f t="shared" si="25"/>
        <v>0</v>
      </c>
      <c r="T340" s="156">
        <f>+VLOOKUP($L340,Data_Validation!$A:$D,1,0)</f>
        <v>6481</v>
      </c>
      <c r="U340" s="156" t="str">
        <f>+VLOOKUP($L340,Data_Validation!$A:$D,3,0)</f>
        <v>Service</v>
      </c>
      <c r="V340" s="156" t="str">
        <f>+VLOOKUP($L340,Data_Validation!$A:$D,4,0)</f>
        <v>Chauffage, éclairage</v>
      </c>
      <c r="W340" s="156" t="str">
        <f>+VLOOKUP($L340,Data_Validation!$A:$E,5,0)</f>
        <v>$</v>
      </c>
      <c r="X340" s="156">
        <f>+VLOOKUP($L340,Data_Validation!$A:$F,6,0)</f>
        <v>0</v>
      </c>
    </row>
    <row r="341" spans="1:24" ht="15" hidden="1" customHeight="1">
      <c r="A341" s="1002" t="s">
        <v>1452</v>
      </c>
      <c r="B341" s="1145">
        <v>6482</v>
      </c>
      <c r="C341" s="1004">
        <v>0</v>
      </c>
      <c r="D341" s="1004">
        <v>6240</v>
      </c>
      <c r="E341" s="1004">
        <v>6240</v>
      </c>
      <c r="F341" s="1002" t="s">
        <v>401</v>
      </c>
      <c r="G341" s="1002" t="s">
        <v>2704</v>
      </c>
      <c r="H341" s="961"/>
      <c r="I341" s="964"/>
      <c r="J341" s="964"/>
      <c r="K341" s="964"/>
      <c r="L341" s="153">
        <f t="shared" si="18"/>
        <v>6482</v>
      </c>
      <c r="M341" s="154" t="str">
        <f t="shared" si="19"/>
        <v>LOYER - SERVICE</v>
      </c>
      <c r="N341" s="155">
        <f>+IF(OR($Q341=Parametres!$G$2,$Q341=Parametres!$G$3),I341,C341)</f>
        <v>0</v>
      </c>
      <c r="O341" s="155">
        <f>+IF(OR($Q341=Parametres!$G$2,$Q341=Parametres!$G$3),J341,D341)</f>
        <v>6240</v>
      </c>
      <c r="P341" s="155">
        <f>+IF(OR($Q341=Parametres!$G$2,$Q341=Parametres!$G$3),K341,E341)</f>
        <v>6240</v>
      </c>
      <c r="Q341" s="154" t="str">
        <f t="shared" si="25"/>
        <v>7-Dépenses</v>
      </c>
      <c r="R341" s="153" t="str">
        <f t="shared" si="25"/>
        <v>6182</v>
      </c>
      <c r="S341" s="154">
        <f t="shared" si="25"/>
        <v>0</v>
      </c>
      <c r="T341" s="156">
        <f>+VLOOKUP($L341,Data_Validation!$A:$D,1,0)</f>
        <v>6482</v>
      </c>
      <c r="U341" s="156" t="str">
        <f>+VLOOKUP($L341,Data_Validation!$A:$D,3,0)</f>
        <v>Service</v>
      </c>
      <c r="V341" s="156" t="str">
        <f>+VLOOKUP($L341,Data_Validation!$A:$D,4,0)</f>
        <v>Loyer</v>
      </c>
      <c r="W341" s="156" t="str">
        <f>+VLOOKUP($L341,Data_Validation!$A:$E,5,0)</f>
        <v>$</v>
      </c>
      <c r="X341" s="156">
        <f>+VLOOKUP($L341,Data_Validation!$A:$F,6,0)</f>
        <v>0</v>
      </c>
    </row>
    <row r="342" spans="1:24" ht="15" hidden="1" customHeight="1">
      <c r="A342" s="1002" t="s">
        <v>1347</v>
      </c>
      <c r="B342" s="1145">
        <v>6486</v>
      </c>
      <c r="C342" s="1004">
        <v>0</v>
      </c>
      <c r="D342" s="1004">
        <v>889.95</v>
      </c>
      <c r="E342" s="1004">
        <v>889.95</v>
      </c>
      <c r="F342" s="1002" t="s">
        <v>401</v>
      </c>
      <c r="G342" s="1002" t="s">
        <v>2589</v>
      </c>
      <c r="H342" s="961"/>
      <c r="I342" s="964"/>
      <c r="J342" s="964"/>
      <c r="K342" s="964"/>
      <c r="L342" s="153">
        <f t="shared" si="18"/>
        <v>6486</v>
      </c>
      <c r="M342" s="154" t="str">
        <f t="shared" si="19"/>
        <v>ASSURANCE BATISSE &amp; AMEL.-SERVICE</v>
      </c>
      <c r="N342" s="155">
        <f>+IF(OR($Q342=Parametres!$G$2,$Q342=Parametres!$G$3),I342,C342)</f>
        <v>0</v>
      </c>
      <c r="O342" s="155">
        <f>+IF(OR($Q342=Parametres!$G$2,$Q342=Parametres!$G$3),J342,D342)</f>
        <v>889.95</v>
      </c>
      <c r="P342" s="155">
        <f>+IF(OR($Q342=Parametres!$G$2,$Q342=Parametres!$G$3),K342,E342)</f>
        <v>889.95</v>
      </c>
      <c r="Q342" s="154" t="str">
        <f t="shared" si="25"/>
        <v>7-Dépenses</v>
      </c>
      <c r="R342" s="153" t="str">
        <f t="shared" si="25"/>
        <v>6186</v>
      </c>
      <c r="S342" s="154">
        <f t="shared" si="25"/>
        <v>0</v>
      </c>
      <c r="T342" s="156">
        <f>+VLOOKUP($L342,Data_Validation!$A:$D,1,0)</f>
        <v>6486</v>
      </c>
      <c r="U342" s="156" t="str">
        <f>+VLOOKUP($L342,Data_Validation!$A:$D,3,0)</f>
        <v>Service</v>
      </c>
      <c r="V342" s="156" t="str">
        <f>+VLOOKUP($L342,Data_Validation!$A:$D,4,0)</f>
        <v>Assurances</v>
      </c>
      <c r="W342" s="156" t="str">
        <f>+VLOOKUP($L342,Data_Validation!$A:$E,5,0)</f>
        <v>$</v>
      </c>
      <c r="X342" s="156">
        <f>+VLOOKUP($L342,Data_Validation!$A:$F,6,0)</f>
        <v>0</v>
      </c>
    </row>
    <row r="343" spans="1:24" ht="15.75" hidden="1" customHeight="1">
      <c r="A343" s="1002" t="s">
        <v>1340</v>
      </c>
      <c r="B343" s="1145">
        <v>6487</v>
      </c>
      <c r="C343" s="1004">
        <v>0</v>
      </c>
      <c r="D343" s="1004">
        <v>1154.4000000000001</v>
      </c>
      <c r="E343" s="1004">
        <v>1154.4000000000001</v>
      </c>
      <c r="F343" s="1002" t="s">
        <v>401</v>
      </c>
      <c r="G343" s="1002" t="s">
        <v>2609</v>
      </c>
      <c r="H343" s="961"/>
      <c r="I343" s="964"/>
      <c r="J343" s="964"/>
      <c r="K343" s="964"/>
      <c r="L343" s="153">
        <f t="shared" si="18"/>
        <v>6487</v>
      </c>
      <c r="M343" s="154" t="str">
        <f t="shared" si="19"/>
        <v>TAXES FONCIERES - SERVICE</v>
      </c>
      <c r="N343" s="155">
        <f>+IF(OR($Q343=Parametres!$G$2,$Q343=Parametres!$G$3),I343,C343)</f>
        <v>0</v>
      </c>
      <c r="O343" s="155">
        <f>+IF(OR($Q343=Parametres!$G$2,$Q343=Parametres!$G$3),J343,D343)</f>
        <v>1154.4000000000001</v>
      </c>
      <c r="P343" s="155">
        <f>+IF(OR($Q343=Parametres!$G$2,$Q343=Parametres!$G$3),K343,E343)</f>
        <v>1154.4000000000001</v>
      </c>
      <c r="Q343" s="154" t="str">
        <f t="shared" si="25"/>
        <v>7-Dépenses</v>
      </c>
      <c r="R343" s="153" t="str">
        <f t="shared" si="25"/>
        <v>6187</v>
      </c>
      <c r="S343" s="154">
        <f t="shared" si="25"/>
        <v>0</v>
      </c>
      <c r="T343" s="156">
        <f>+VLOOKUP($L343,Data_Validation!$A:$D,1,0)</f>
        <v>6487</v>
      </c>
      <c r="U343" s="156" t="str">
        <f>+VLOOKUP($L343,Data_Validation!$A:$D,3,0)</f>
        <v>Service</v>
      </c>
      <c r="V343" s="156" t="str">
        <f>+VLOOKUP($L343,Data_Validation!$A:$D,4,0)</f>
        <v>Taxes foncières</v>
      </c>
      <c r="W343" s="156" t="str">
        <f>+VLOOKUP($L343,Data_Validation!$A:$E,5,0)</f>
        <v>$</v>
      </c>
      <c r="X343" s="156">
        <f>+VLOOKUP($L343,Data_Validation!$A:$F,6,0)</f>
        <v>0</v>
      </c>
    </row>
    <row r="344" spans="1:24" ht="15" hidden="1" customHeight="1">
      <c r="A344" s="1002" t="s">
        <v>1274</v>
      </c>
      <c r="B344" s="1145">
        <v>6493</v>
      </c>
      <c r="C344" s="1004">
        <v>0</v>
      </c>
      <c r="D344" s="1004">
        <v>768</v>
      </c>
      <c r="E344" s="1004">
        <v>768</v>
      </c>
      <c r="F344" s="1002" t="s">
        <v>401</v>
      </c>
      <c r="G344" s="1002" t="s">
        <v>2592</v>
      </c>
      <c r="H344" s="961"/>
      <c r="I344" s="964"/>
      <c r="J344" s="964"/>
      <c r="K344" s="964"/>
      <c r="L344" s="153">
        <f t="shared" si="18"/>
        <v>6493</v>
      </c>
      <c r="M344" s="154" t="str">
        <f t="shared" si="19"/>
        <v>AUTRE TAXES-SERVICE</v>
      </c>
      <c r="N344" s="155">
        <f>+IF(OR($Q344=Parametres!$G$2,$Q344=Parametres!$G$3),I344,C344)</f>
        <v>0</v>
      </c>
      <c r="O344" s="155">
        <f>+IF(OR($Q344=Parametres!$G$2,$Q344=Parametres!$G$3),J344,D344)</f>
        <v>768</v>
      </c>
      <c r="P344" s="155">
        <f>+IF(OR($Q344=Parametres!$G$2,$Q344=Parametres!$G$3),K344,E344)</f>
        <v>768</v>
      </c>
      <c r="Q344" s="154" t="str">
        <f t="shared" si="25"/>
        <v>7-Dépenses</v>
      </c>
      <c r="R344" s="153" t="str">
        <f t="shared" si="25"/>
        <v>6193</v>
      </c>
      <c r="S344" s="154">
        <f t="shared" si="25"/>
        <v>0</v>
      </c>
      <c r="T344" s="156">
        <f>+VLOOKUP($L344,Data_Validation!$A:$D,1,0)</f>
        <v>6493</v>
      </c>
      <c r="U344" s="156" t="str">
        <f>+VLOOKUP($L344,Data_Validation!$A:$D,3,0)</f>
        <v>Service</v>
      </c>
      <c r="V344" s="156" t="str">
        <f>+VLOOKUP($L344,Data_Validation!$A:$D,4,0)</f>
        <v>Taxes d`affaires</v>
      </c>
      <c r="W344" s="156" t="str">
        <f>+VLOOKUP($L344,Data_Validation!$A:$E,5,0)</f>
        <v>$</v>
      </c>
      <c r="X344" s="156">
        <f>+VLOOKUP($L344,Data_Validation!$A:$F,6,0)</f>
        <v>0</v>
      </c>
    </row>
    <row r="345" spans="1:24" ht="15" hidden="1" customHeight="1">
      <c r="A345" s="1002" t="s">
        <v>1367</v>
      </c>
      <c r="B345" s="1145">
        <v>6494</v>
      </c>
      <c r="C345" s="1004">
        <v>0</v>
      </c>
      <c r="D345" s="1004">
        <v>1492.1</v>
      </c>
      <c r="E345" s="1004">
        <v>1492.1</v>
      </c>
      <c r="F345" s="1002" t="s">
        <v>401</v>
      </c>
      <c r="G345" s="1002" t="s">
        <v>2630</v>
      </c>
      <c r="H345" s="961"/>
      <c r="I345" s="964"/>
      <c r="J345" s="964"/>
      <c r="K345" s="964"/>
      <c r="L345" s="153">
        <f t="shared" si="18"/>
        <v>6494</v>
      </c>
      <c r="M345" s="154" t="str">
        <f t="shared" si="19"/>
        <v>FRAIS PROFESSIONNEL-SERVICE</v>
      </c>
      <c r="N345" s="155">
        <f>+IF(OR($Q345=Parametres!$G$2,$Q345=Parametres!$G$3),I345,C345)</f>
        <v>0</v>
      </c>
      <c r="O345" s="155">
        <f>+IF(OR($Q345=Parametres!$G$2,$Q345=Parametres!$G$3),J345,D345)</f>
        <v>1492.1</v>
      </c>
      <c r="P345" s="155">
        <f>+IF(OR($Q345=Parametres!$G$2,$Q345=Parametres!$G$3),K345,E345)</f>
        <v>1492.1</v>
      </c>
      <c r="Q345" s="154" t="str">
        <f t="shared" si="25"/>
        <v>7-Dépenses</v>
      </c>
      <c r="R345" s="153" t="str">
        <f t="shared" si="25"/>
        <v>6194</v>
      </c>
      <c r="S345" s="154">
        <f t="shared" si="25"/>
        <v>0</v>
      </c>
      <c r="T345" s="156">
        <f>+VLOOKUP($L345,Data_Validation!$A:$D,1,0)</f>
        <v>6494</v>
      </c>
      <c r="U345" s="156" t="str">
        <f>+VLOOKUP($L345,Data_Validation!$A:$D,3,0)</f>
        <v>Service</v>
      </c>
      <c r="V345" s="156" t="str">
        <f>+VLOOKUP($L345,Data_Validation!$A:$D,4,0)</f>
        <v>Honoraires</v>
      </c>
      <c r="W345" s="156" t="str">
        <f>+VLOOKUP($L345,Data_Validation!$A:$E,5,0)</f>
        <v>$</v>
      </c>
      <c r="X345" s="156">
        <f>+VLOOKUP($L345,Data_Validation!$A:$F,6,0)</f>
        <v>0</v>
      </c>
    </row>
    <row r="346" spans="1:24" ht="15" hidden="1" customHeight="1">
      <c r="A346" s="1002" t="s">
        <v>399</v>
      </c>
      <c r="B346" s="1145">
        <v>6503</v>
      </c>
      <c r="C346" s="1004">
        <v>0</v>
      </c>
      <c r="D346" s="1004">
        <v>12.15</v>
      </c>
      <c r="E346" s="1004">
        <v>12.15</v>
      </c>
      <c r="F346" s="1002" t="s">
        <v>401</v>
      </c>
      <c r="G346" s="1002" t="s">
        <v>2462</v>
      </c>
      <c r="H346" s="961"/>
      <c r="I346" s="964"/>
      <c r="J346" s="964"/>
      <c r="K346" s="964"/>
      <c r="L346" s="153">
        <f t="shared" si="18"/>
        <v>6503</v>
      </c>
      <c r="M346" s="154" t="str">
        <f t="shared" si="19"/>
        <v>RELAT. A LA CLIENTELE &amp; AJUST.</v>
      </c>
      <c r="N346" s="155">
        <f>+IF(OR($Q346=Parametres!$G$2,$Q346=Parametres!$G$3),I346,C346)</f>
        <v>0</v>
      </c>
      <c r="O346" s="155">
        <f>+IF(OR($Q346=Parametres!$G$2,$Q346=Parametres!$G$3),J346,D346)</f>
        <v>12.15</v>
      </c>
      <c r="P346" s="155">
        <f>+IF(OR($Q346=Parametres!$G$2,$Q346=Parametres!$G$3),K346,E346)</f>
        <v>12.15</v>
      </c>
      <c r="Q346" s="154" t="str">
        <f t="shared" si="25"/>
        <v>7-Dépenses</v>
      </c>
      <c r="R346" s="153" t="str">
        <f t="shared" si="25"/>
        <v>6112</v>
      </c>
      <c r="S346" s="154">
        <f t="shared" si="25"/>
        <v>0</v>
      </c>
      <c r="T346" s="156">
        <f>+VLOOKUP($L346,Data_Validation!$A:$D,1,0)</f>
        <v>6503</v>
      </c>
      <c r="U346" s="156" t="str">
        <f>+VLOOKUP($L346,Data_Validation!$A:$D,3,0)</f>
        <v>Carrosserie</v>
      </c>
      <c r="V346" s="156" t="str">
        <f>+VLOOKUP($L346,Data_Validation!$A:$D,4,0)</f>
        <v>Service gratuit 2</v>
      </c>
      <c r="W346" s="156" t="str">
        <f>+VLOOKUP($L346,Data_Validation!$A:$E,5,0)</f>
        <v>$</v>
      </c>
      <c r="X346" s="156">
        <f>+VLOOKUP($L346,Data_Validation!$A:$F,6,0)</f>
        <v>0</v>
      </c>
    </row>
    <row r="347" spans="1:24" ht="15.75" hidden="1" customHeight="1">
      <c r="A347" s="1002" t="s">
        <v>1374</v>
      </c>
      <c r="B347" s="1145">
        <v>6514</v>
      </c>
      <c r="C347" s="1004">
        <v>0</v>
      </c>
      <c r="D347" s="1004">
        <v>100.08</v>
      </c>
      <c r="E347" s="1004">
        <v>100.08</v>
      </c>
      <c r="F347" s="1002" t="s">
        <v>401</v>
      </c>
      <c r="G347" s="1002" t="s">
        <v>2110</v>
      </c>
      <c r="H347" s="961"/>
      <c r="I347" s="964"/>
      <c r="J347" s="964"/>
      <c r="K347" s="964"/>
      <c r="L347" s="153">
        <f t="shared" si="18"/>
        <v>6514</v>
      </c>
      <c r="M347" s="154" t="str">
        <f t="shared" si="19"/>
        <v>PUBLICITE</v>
      </c>
      <c r="N347" s="155">
        <f>+IF(OR($Q347=Parametres!$G$2,$Q347=Parametres!$G$3),I347,C347)</f>
        <v>0</v>
      </c>
      <c r="O347" s="155">
        <f>+IF(OR($Q347=Parametres!$G$2,$Q347=Parametres!$G$3),J347,D347)</f>
        <v>100.08</v>
      </c>
      <c r="P347" s="155">
        <f>+IF(OR($Q347=Parametres!$G$2,$Q347=Parametres!$G$3),K347,E347)</f>
        <v>100.08</v>
      </c>
      <c r="Q347" s="154" t="str">
        <f t="shared" si="25"/>
        <v>7-Dépenses</v>
      </c>
      <c r="R347" s="153" t="str">
        <f t="shared" si="25"/>
        <v>6114</v>
      </c>
      <c r="S347" s="154">
        <f t="shared" si="25"/>
        <v>0</v>
      </c>
      <c r="T347" s="156">
        <f>+VLOOKUP($L347,Data_Validation!$A:$D,1,0)</f>
        <v>6514</v>
      </c>
      <c r="U347" s="156" t="str">
        <f>+VLOOKUP($L347,Data_Validation!$A:$D,3,0)</f>
        <v>Carrosserie</v>
      </c>
      <c r="V347" s="156" t="str">
        <f>+VLOOKUP($L347,Data_Validation!$A:$D,4,0)</f>
        <v>Publicité 2</v>
      </c>
      <c r="W347" s="156" t="str">
        <f>+VLOOKUP($L347,Data_Validation!$A:$E,5,0)</f>
        <v>$</v>
      </c>
      <c r="X347" s="156">
        <f>+VLOOKUP($L347,Data_Validation!$A:$F,6,0)</f>
        <v>0</v>
      </c>
    </row>
    <row r="348" spans="1:24" ht="15" hidden="1" customHeight="1">
      <c r="A348" s="1002" t="s">
        <v>1259</v>
      </c>
      <c r="B348" s="1145">
        <v>6521</v>
      </c>
      <c r="C348" s="1004">
        <v>0</v>
      </c>
      <c r="D348" s="1004">
        <v>204.17</v>
      </c>
      <c r="E348" s="1004">
        <v>204.17</v>
      </c>
      <c r="F348" s="1002" t="s">
        <v>401</v>
      </c>
      <c r="G348" s="1002" t="s">
        <v>2643</v>
      </c>
      <c r="H348" s="961"/>
      <c r="I348" s="964"/>
      <c r="J348" s="964"/>
      <c r="K348" s="964"/>
      <c r="L348" s="153">
        <f t="shared" si="18"/>
        <v>6521</v>
      </c>
      <c r="M348" s="154" t="str">
        <f t="shared" si="19"/>
        <v>SALAIRES - PROPRIETAIRES</v>
      </c>
      <c r="N348" s="155">
        <f>+IF(OR($Q348=Parametres!$G$2,$Q348=Parametres!$G$3),I348,C348)</f>
        <v>0</v>
      </c>
      <c r="O348" s="155">
        <f>+IF(OR($Q348=Parametres!$G$2,$Q348=Parametres!$G$3),J348,D348)</f>
        <v>204.17</v>
      </c>
      <c r="P348" s="155">
        <f>+IF(OR($Q348=Parametres!$G$2,$Q348=Parametres!$G$3),K348,E348)</f>
        <v>204.17</v>
      </c>
      <c r="Q348" s="154" t="str">
        <f t="shared" si="25"/>
        <v>7-Dépenses</v>
      </c>
      <c r="R348" s="153" t="str">
        <f t="shared" si="25"/>
        <v>6121</v>
      </c>
      <c r="S348" s="154">
        <f t="shared" si="25"/>
        <v>0</v>
      </c>
      <c r="T348" s="156">
        <f>+VLOOKUP($L348,Data_Validation!$A:$D,1,0)</f>
        <v>6521</v>
      </c>
      <c r="U348" s="156" t="str">
        <f>+VLOOKUP($L348,Data_Validation!$A:$D,3,0)</f>
        <v>Carrosserie</v>
      </c>
      <c r="V348" s="156" t="str">
        <f>+VLOOKUP($L348,Data_Validation!$A:$D,4,0)</f>
        <v>Salaires propriétaire</v>
      </c>
      <c r="W348" s="156" t="str">
        <f>+VLOOKUP($L348,Data_Validation!$A:$E,5,0)</f>
        <v>$</v>
      </c>
      <c r="X348" s="156">
        <f>+VLOOKUP($L348,Data_Validation!$A:$F,6,0)</f>
        <v>0</v>
      </c>
    </row>
    <row r="349" spans="1:24" ht="15" hidden="1" customHeight="1">
      <c r="A349" s="1002" t="s">
        <v>2619</v>
      </c>
      <c r="B349" s="1145">
        <v>6522</v>
      </c>
      <c r="C349" s="1004">
        <v>0</v>
      </c>
      <c r="D349" s="1004">
        <v>809.12</v>
      </c>
      <c r="E349" s="1004">
        <v>809.12</v>
      </c>
      <c r="F349" s="1002" t="s">
        <v>401</v>
      </c>
      <c r="G349" s="1002" t="s">
        <v>2621</v>
      </c>
      <c r="H349" s="961"/>
      <c r="I349" s="964"/>
      <c r="J349" s="964"/>
      <c r="K349" s="964"/>
      <c r="L349" s="153">
        <f t="shared" si="18"/>
        <v>6522</v>
      </c>
      <c r="M349" s="154" t="str">
        <f t="shared" si="19"/>
        <v>SAL SUPERVISION / GERANT</v>
      </c>
      <c r="N349" s="155">
        <f>+IF(OR($Q349=Parametres!$G$2,$Q349=Parametres!$G$3),I349,C349)</f>
        <v>0</v>
      </c>
      <c r="O349" s="155">
        <f>+IF(OR($Q349=Parametres!$G$2,$Q349=Parametres!$G$3),J349,D349)</f>
        <v>809.12</v>
      </c>
      <c r="P349" s="155">
        <f>+IF(OR($Q349=Parametres!$G$2,$Q349=Parametres!$G$3),K349,E349)</f>
        <v>809.12</v>
      </c>
      <c r="Q349" s="154" t="str">
        <f t="shared" si="25"/>
        <v>7-Dépenses</v>
      </c>
      <c r="R349" s="153" t="str">
        <f t="shared" si="25"/>
        <v>6122</v>
      </c>
      <c r="S349" s="154">
        <f t="shared" si="25"/>
        <v>0</v>
      </c>
      <c r="T349" s="156">
        <f>+VLOOKUP($L349,Data_Validation!$A:$D,1,0)</f>
        <v>6522</v>
      </c>
      <c r="U349" s="156" t="str">
        <f>+VLOOKUP($L349,Data_Validation!$A:$D,3,0)</f>
        <v>Carrosserie</v>
      </c>
      <c r="V349" s="156" t="str">
        <f>+VLOOKUP($L349,Data_Validation!$A:$D,4,0)</f>
        <v>Salaires cadres</v>
      </c>
      <c r="W349" s="156" t="str">
        <f>+VLOOKUP($L349,Data_Validation!$A:$E,5,0)</f>
        <v>$</v>
      </c>
      <c r="X349" s="156">
        <f>+VLOOKUP($L349,Data_Validation!$A:$F,6,0)</f>
        <v>0</v>
      </c>
    </row>
    <row r="350" spans="1:24" ht="15" hidden="1" customHeight="1">
      <c r="A350" s="1002" t="s">
        <v>1266</v>
      </c>
      <c r="B350" s="1145">
        <v>6523</v>
      </c>
      <c r="C350" s="1004">
        <v>0</v>
      </c>
      <c r="D350" s="1004">
        <v>1179.27</v>
      </c>
      <c r="E350" s="1004">
        <v>1179.27</v>
      </c>
      <c r="F350" s="1002" t="s">
        <v>401</v>
      </c>
      <c r="G350" s="1002" t="s">
        <v>2674</v>
      </c>
      <c r="H350" s="961"/>
      <c r="I350" s="964"/>
      <c r="J350" s="964"/>
      <c r="K350" s="964"/>
      <c r="L350" s="153">
        <f t="shared" si="18"/>
        <v>6523</v>
      </c>
      <c r="M350" s="154" t="str">
        <f t="shared" si="19"/>
        <v>SAL. &amp; RENUM. CLERICAL</v>
      </c>
      <c r="N350" s="155">
        <f>+IF(OR($Q350=Parametres!$G$2,$Q350=Parametres!$G$3),I350,C350)</f>
        <v>0</v>
      </c>
      <c r="O350" s="155">
        <f>+IF(OR($Q350=Parametres!$G$2,$Q350=Parametres!$G$3),J350,D350)</f>
        <v>1179.27</v>
      </c>
      <c r="P350" s="155">
        <f>+IF(OR($Q350=Parametres!$G$2,$Q350=Parametres!$G$3),K350,E350)</f>
        <v>1179.27</v>
      </c>
      <c r="Q350" s="154" t="str">
        <f t="shared" si="25"/>
        <v>7-Dépenses</v>
      </c>
      <c r="R350" s="153" t="str">
        <f t="shared" si="25"/>
        <v>6123</v>
      </c>
      <c r="S350" s="154">
        <f t="shared" si="25"/>
        <v>0</v>
      </c>
      <c r="T350" s="156">
        <f>+VLOOKUP($L350,Data_Validation!$A:$D,1,0)</f>
        <v>6523</v>
      </c>
      <c r="U350" s="156" t="str">
        <f>+VLOOKUP($L350,Data_Validation!$A:$D,3,0)</f>
        <v>Carrosserie</v>
      </c>
      <c r="V350" s="156" t="str">
        <f>+VLOOKUP($L350,Data_Validation!$A:$D,4,0)</f>
        <v>Salaires commis</v>
      </c>
      <c r="W350" s="156" t="str">
        <f>+VLOOKUP($L350,Data_Validation!$A:$E,5,0)</f>
        <v>$</v>
      </c>
      <c r="X350" s="156">
        <f>+VLOOKUP($L350,Data_Validation!$A:$F,6,0)</f>
        <v>0</v>
      </c>
    </row>
    <row r="351" spans="1:24" ht="15" hidden="1" customHeight="1">
      <c r="A351" s="1002" t="s">
        <v>1249</v>
      </c>
      <c r="B351" s="1145">
        <v>6524</v>
      </c>
      <c r="C351" s="1004">
        <v>0</v>
      </c>
      <c r="D351" s="1004">
        <v>3336.87</v>
      </c>
      <c r="E351" s="1004">
        <v>3336.87</v>
      </c>
      <c r="F351" s="1002" t="s">
        <v>401</v>
      </c>
      <c r="G351" s="1002" t="s">
        <v>2730</v>
      </c>
      <c r="H351" s="961"/>
      <c r="I351" s="964"/>
      <c r="J351" s="964"/>
      <c r="K351" s="964"/>
      <c r="L351" s="153">
        <f t="shared" si="18"/>
        <v>6524</v>
      </c>
      <c r="M351" s="154" t="str">
        <f t="shared" si="19"/>
        <v>SALAIRES &amp; RENUM. - AUTRES</v>
      </c>
      <c r="N351" s="155">
        <f>+IF(OR($Q351=Parametres!$G$2,$Q351=Parametres!$G$3),I351,C351)</f>
        <v>0</v>
      </c>
      <c r="O351" s="155">
        <f>+IF(OR($Q351=Parametres!$G$2,$Q351=Parametres!$G$3),J351,D351)</f>
        <v>3336.87</v>
      </c>
      <c r="P351" s="155">
        <f>+IF(OR($Q351=Parametres!$G$2,$Q351=Parametres!$G$3),K351,E351)</f>
        <v>3336.87</v>
      </c>
      <c r="Q351" s="154" t="str">
        <f t="shared" si="25"/>
        <v>7-Dépenses</v>
      </c>
      <c r="R351" s="153" t="str">
        <f t="shared" si="25"/>
        <v>6124</v>
      </c>
      <c r="S351" s="154">
        <f t="shared" si="25"/>
        <v>0</v>
      </c>
      <c r="T351" s="156">
        <f>+VLOOKUP($L351,Data_Validation!$A:$D,1,0)</f>
        <v>6524</v>
      </c>
      <c r="U351" s="156" t="str">
        <f>+VLOOKUP($L351,Data_Validation!$A:$D,3,0)</f>
        <v>Carrosserie</v>
      </c>
      <c r="V351" s="156" t="str">
        <f>+VLOOKUP($L351,Data_Validation!$A:$D,4,0)</f>
        <v>Salaires autres</v>
      </c>
      <c r="W351" s="156" t="str">
        <f>+VLOOKUP($L351,Data_Validation!$A:$E,5,0)</f>
        <v>$</v>
      </c>
      <c r="X351" s="156">
        <f>+VLOOKUP($L351,Data_Validation!$A:$F,6,0)</f>
        <v>0</v>
      </c>
    </row>
    <row r="352" spans="1:24" ht="15.75" hidden="1" customHeight="1">
      <c r="A352" s="1002" t="s">
        <v>1330</v>
      </c>
      <c r="B352" s="1145">
        <v>6525</v>
      </c>
      <c r="C352" s="1004">
        <v>0</v>
      </c>
      <c r="D352" s="1004">
        <v>3432.72</v>
      </c>
      <c r="E352" s="1004">
        <v>3432.72</v>
      </c>
      <c r="F352" s="1002" t="s">
        <v>401</v>
      </c>
      <c r="G352" s="1002" t="s">
        <v>2716</v>
      </c>
      <c r="H352" s="961"/>
      <c r="I352" s="964"/>
      <c r="J352" s="964"/>
      <c r="K352" s="964"/>
      <c r="L352" s="153">
        <f t="shared" si="18"/>
        <v>6525</v>
      </c>
      <c r="M352" s="154" t="str">
        <f t="shared" si="19"/>
        <v>SALAIRE SPECIALISTES</v>
      </c>
      <c r="N352" s="155">
        <f>+IF(OR($Q352=Parametres!$G$2,$Q352=Parametres!$G$3),I352,C352)</f>
        <v>0</v>
      </c>
      <c r="O352" s="155">
        <f>+IF(OR($Q352=Parametres!$G$2,$Q352=Parametres!$G$3),J352,D352)</f>
        <v>3432.72</v>
      </c>
      <c r="P352" s="155">
        <f>+IF(OR($Q352=Parametres!$G$2,$Q352=Parametres!$G$3),K352,E352)</f>
        <v>3432.72</v>
      </c>
      <c r="Q352" s="154" t="str">
        <f t="shared" si="25"/>
        <v>7-Dépenses</v>
      </c>
      <c r="R352" s="153" t="str">
        <f t="shared" si="25"/>
        <v>6125</v>
      </c>
      <c r="S352" s="154">
        <f t="shared" si="25"/>
        <v>0</v>
      </c>
      <c r="T352" s="156">
        <f>+VLOOKUP($L352,Data_Validation!$A:$D,1,0)</f>
        <v>6525</v>
      </c>
      <c r="U352" s="156" t="str">
        <f>+VLOOKUP($L352,Data_Validation!$A:$D,3,0)</f>
        <v>Carrosserie</v>
      </c>
      <c r="V352" s="156" t="str">
        <f>+VLOOKUP($L352,Data_Validation!$A:$D,4,0)</f>
        <v>Salaires spécialistes</v>
      </c>
      <c r="W352" s="156" t="str">
        <f>+VLOOKUP($L352,Data_Validation!$A:$E,5,0)</f>
        <v>$</v>
      </c>
      <c r="X352" s="156">
        <f>+VLOOKUP($L352,Data_Validation!$A:$F,6,0)</f>
        <v>0</v>
      </c>
    </row>
    <row r="353" spans="1:24" ht="15" hidden="1" customHeight="1">
      <c r="A353" s="1002" t="s">
        <v>1211</v>
      </c>
      <c r="B353" s="1145">
        <v>6529</v>
      </c>
      <c r="C353" s="1004">
        <v>0</v>
      </c>
      <c r="D353" s="1004">
        <v>661.7</v>
      </c>
      <c r="E353" s="1004">
        <v>661.7</v>
      </c>
      <c r="F353" s="1002" t="s">
        <v>401</v>
      </c>
      <c r="G353" s="1002" t="s">
        <v>2636</v>
      </c>
      <c r="H353" s="961"/>
      <c r="I353" s="964"/>
      <c r="J353" s="964"/>
      <c r="K353" s="964"/>
      <c r="L353" s="153">
        <f t="shared" si="18"/>
        <v>6529</v>
      </c>
      <c r="M353" s="154" t="str">
        <f t="shared" si="19"/>
        <v>ABS.,VACANCES &amp; SAL. JOURS FER</v>
      </c>
      <c r="N353" s="155">
        <f>+IF(OR($Q353=Parametres!$G$2,$Q353=Parametres!$G$3),I353,C353)</f>
        <v>0</v>
      </c>
      <c r="O353" s="155">
        <f>+IF(OR($Q353=Parametres!$G$2,$Q353=Parametres!$G$3),J353,D353)</f>
        <v>661.7</v>
      </c>
      <c r="P353" s="155">
        <f>+IF(OR($Q353=Parametres!$G$2,$Q353=Parametres!$G$3),K353,E353)</f>
        <v>661.7</v>
      </c>
      <c r="Q353" s="154" t="str">
        <f t="shared" si="25"/>
        <v>7-Dépenses</v>
      </c>
      <c r="R353" s="153" t="str">
        <f t="shared" si="25"/>
        <v>6129</v>
      </c>
      <c r="S353" s="154">
        <f t="shared" si="25"/>
        <v>0</v>
      </c>
      <c r="T353" s="156">
        <f>+VLOOKUP($L353,Data_Validation!$A:$D,1,0)</f>
        <v>6529</v>
      </c>
      <c r="U353" s="156" t="str">
        <f>+VLOOKUP($L353,Data_Validation!$A:$D,3,0)</f>
        <v>Carrosserie</v>
      </c>
      <c r="V353" s="156" t="str">
        <f>+VLOOKUP($L353,Data_Validation!$A:$D,4,0)</f>
        <v>Salaires en absences</v>
      </c>
      <c r="W353" s="156" t="str">
        <f>+VLOOKUP($L353,Data_Validation!$A:$E,5,0)</f>
        <v>$</v>
      </c>
      <c r="X353" s="156">
        <f>+VLOOKUP($L353,Data_Validation!$A:$F,6,0)</f>
        <v>0</v>
      </c>
    </row>
    <row r="354" spans="1:24" ht="15" hidden="1" customHeight="1">
      <c r="A354" s="1002" t="s">
        <v>1283</v>
      </c>
      <c r="B354" s="1145">
        <v>6532</v>
      </c>
      <c r="C354" s="1004">
        <v>0</v>
      </c>
      <c r="D354" s="1004">
        <v>1461.24</v>
      </c>
      <c r="E354" s="1004">
        <v>1461.24</v>
      </c>
      <c r="F354" s="1002" t="s">
        <v>401</v>
      </c>
      <c r="G354" s="1002" t="s">
        <v>2680</v>
      </c>
      <c r="H354" s="961"/>
      <c r="I354" s="964"/>
      <c r="J354" s="964"/>
      <c r="K354" s="964"/>
      <c r="L354" s="153">
        <f t="shared" si="18"/>
        <v>6532</v>
      </c>
      <c r="M354" s="154" t="str">
        <f t="shared" si="19"/>
        <v>RRQ RAMQ AC</v>
      </c>
      <c r="N354" s="155">
        <f>+IF(OR($Q354=Parametres!$G$2,$Q354=Parametres!$G$3),I354,C354)</f>
        <v>0</v>
      </c>
      <c r="O354" s="155">
        <f>+IF(OR($Q354=Parametres!$G$2,$Q354=Parametres!$G$3),J354,D354)</f>
        <v>1461.24</v>
      </c>
      <c r="P354" s="155">
        <f>+IF(OR($Q354=Parametres!$G$2,$Q354=Parametres!$G$3),K354,E354)</f>
        <v>1461.24</v>
      </c>
      <c r="Q354" s="154" t="str">
        <f t="shared" ref="Q354:S369" si="26">+F354</f>
        <v>7-Dépenses</v>
      </c>
      <c r="R354" s="153" t="str">
        <f t="shared" si="26"/>
        <v>6132</v>
      </c>
      <c r="S354" s="154">
        <f t="shared" si="26"/>
        <v>0</v>
      </c>
      <c r="T354" s="156">
        <f>+VLOOKUP($L354,Data_Validation!$A:$D,1,0)</f>
        <v>6532</v>
      </c>
      <c r="U354" s="156" t="str">
        <f>+VLOOKUP($L354,Data_Validation!$A:$D,3,0)</f>
        <v>Carrosserie</v>
      </c>
      <c r="V354" s="156" t="str">
        <f>+VLOOKUP($L354,Data_Validation!$A:$D,4,0)</f>
        <v>Déduction à la source</v>
      </c>
      <c r="W354" s="156" t="str">
        <f>+VLOOKUP($L354,Data_Validation!$A:$E,5,0)</f>
        <v>$</v>
      </c>
      <c r="X354" s="156">
        <f>+VLOOKUP($L354,Data_Validation!$A:$F,6,0)</f>
        <v>0</v>
      </c>
    </row>
    <row r="355" spans="1:24" ht="15" hidden="1" customHeight="1">
      <c r="A355" s="1002" t="s">
        <v>1305</v>
      </c>
      <c r="B355" s="1145">
        <v>6539</v>
      </c>
      <c r="C355" s="1004">
        <v>0</v>
      </c>
      <c r="D355" s="1004">
        <v>1281</v>
      </c>
      <c r="E355" s="1004">
        <v>1281</v>
      </c>
      <c r="F355" s="1002" t="s">
        <v>401</v>
      </c>
      <c r="G355" s="1002" t="s">
        <v>2689</v>
      </c>
      <c r="H355" s="961"/>
      <c r="I355" s="964"/>
      <c r="J355" s="964"/>
      <c r="K355" s="964"/>
      <c r="L355" s="153">
        <f t="shared" si="18"/>
        <v>6539</v>
      </c>
      <c r="M355" s="154" t="str">
        <f t="shared" si="19"/>
        <v>ASSURANCE GROUPE</v>
      </c>
      <c r="N355" s="155">
        <f>+IF(OR($Q355=Parametres!$G$2,$Q355=Parametres!$G$3),I355,C355)</f>
        <v>0</v>
      </c>
      <c r="O355" s="155">
        <f>+IF(OR($Q355=Parametres!$G$2,$Q355=Parametres!$G$3),J355,D355)</f>
        <v>1281</v>
      </c>
      <c r="P355" s="155">
        <f>+IF(OR($Q355=Parametres!$G$2,$Q355=Parametres!$G$3),K355,E355)</f>
        <v>1281</v>
      </c>
      <c r="Q355" s="154" t="str">
        <f t="shared" si="26"/>
        <v>7-Dépenses</v>
      </c>
      <c r="R355" s="153" t="str">
        <f t="shared" si="26"/>
        <v>6139</v>
      </c>
      <c r="S355" s="154">
        <f t="shared" si="26"/>
        <v>0</v>
      </c>
      <c r="T355" s="156">
        <f>+VLOOKUP($L355,Data_Validation!$A:$D,1,0)</f>
        <v>6539</v>
      </c>
      <c r="U355" s="156" t="str">
        <f>+VLOOKUP($L355,Data_Validation!$A:$D,3,0)</f>
        <v>Carrosserie</v>
      </c>
      <c r="V355" s="156" t="str">
        <f>+VLOOKUP($L355,Data_Validation!$A:$D,4,0)</f>
        <v>Bénéfices marginaux</v>
      </c>
      <c r="W355" s="156" t="str">
        <f>+VLOOKUP($L355,Data_Validation!$A:$E,5,0)</f>
        <v>$</v>
      </c>
      <c r="X355" s="156">
        <f>+VLOOKUP($L355,Data_Validation!$A:$F,6,0)</f>
        <v>0</v>
      </c>
    </row>
    <row r="356" spans="1:24" ht="15" hidden="1" customHeight="1">
      <c r="A356" s="1002" t="s">
        <v>934</v>
      </c>
      <c r="B356" s="1145">
        <v>6544</v>
      </c>
      <c r="C356" s="1004">
        <v>0</v>
      </c>
      <c r="D356" s="1004">
        <v>6.2</v>
      </c>
      <c r="E356" s="1004">
        <v>6.2</v>
      </c>
      <c r="F356" s="1002" t="s">
        <v>401</v>
      </c>
      <c r="G356" s="1002" t="s">
        <v>2556</v>
      </c>
      <c r="H356" s="961"/>
      <c r="I356" s="964"/>
      <c r="J356" s="964"/>
      <c r="K356" s="964"/>
      <c r="L356" s="153">
        <f t="shared" si="18"/>
        <v>6544</v>
      </c>
      <c r="M356" s="154" t="str">
        <f t="shared" si="19"/>
        <v>FORMATION</v>
      </c>
      <c r="N356" s="155">
        <f>+IF(OR($Q356=Parametres!$G$2,$Q356=Parametres!$G$3),I356,C356)</f>
        <v>0</v>
      </c>
      <c r="O356" s="155">
        <f>+IF(OR($Q356=Parametres!$G$2,$Q356=Parametres!$G$3),J356,D356)</f>
        <v>6.2</v>
      </c>
      <c r="P356" s="155">
        <f>+IF(OR($Q356=Parametres!$G$2,$Q356=Parametres!$G$3),K356,E356)</f>
        <v>6.2</v>
      </c>
      <c r="Q356" s="154" t="str">
        <f t="shared" si="26"/>
        <v>7-Dépenses</v>
      </c>
      <c r="R356" s="153" t="str">
        <f t="shared" si="26"/>
        <v>6144</v>
      </c>
      <c r="S356" s="154">
        <f t="shared" si="26"/>
        <v>0</v>
      </c>
      <c r="T356" s="156">
        <f>+VLOOKUP($L356,Data_Validation!$A:$D,1,0)</f>
        <v>6544</v>
      </c>
      <c r="U356" s="156" t="str">
        <f>+VLOOKUP($L356,Data_Validation!$A:$D,3,0)</f>
        <v>Carrosserie</v>
      </c>
      <c r="V356" s="156" t="str">
        <f>+VLOOKUP($L356,Data_Validation!$A:$D,4,0)</f>
        <v>Formation</v>
      </c>
      <c r="W356" s="156" t="str">
        <f>+VLOOKUP($L356,Data_Validation!$A:$E,5,0)</f>
        <v>$</v>
      </c>
      <c r="X356" s="156">
        <f>+VLOOKUP($L356,Data_Validation!$A:$F,6,0)</f>
        <v>0</v>
      </c>
    </row>
    <row r="357" spans="1:24" ht="15" hidden="1" customHeight="1">
      <c r="A357" s="1002" t="s">
        <v>1186</v>
      </c>
      <c r="B357" s="1145">
        <v>6545</v>
      </c>
      <c r="C357" s="1004">
        <v>0</v>
      </c>
      <c r="D357" s="1004">
        <v>824.3</v>
      </c>
      <c r="E357" s="1004">
        <v>824.3</v>
      </c>
      <c r="F357" s="1002" t="s">
        <v>401</v>
      </c>
      <c r="G357" s="1002" t="s">
        <v>2627</v>
      </c>
      <c r="H357" s="961"/>
      <c r="I357" s="964"/>
      <c r="J357" s="964"/>
      <c r="K357" s="964"/>
      <c r="L357" s="153">
        <f t="shared" si="18"/>
        <v>6545</v>
      </c>
      <c r="M357" s="154" t="str">
        <f t="shared" si="19"/>
        <v>VEHICULE DE COMPAGNIE - DEPENS</v>
      </c>
      <c r="N357" s="155">
        <f>+IF(OR($Q357=Parametres!$G$2,$Q357=Parametres!$G$3),I357,C357)</f>
        <v>0</v>
      </c>
      <c r="O357" s="155">
        <f>+IF(OR($Q357=Parametres!$G$2,$Q357=Parametres!$G$3),J357,D357)</f>
        <v>824.3</v>
      </c>
      <c r="P357" s="155">
        <f>+IF(OR($Q357=Parametres!$G$2,$Q357=Parametres!$G$3),K357,E357)</f>
        <v>824.3</v>
      </c>
      <c r="Q357" s="154" t="str">
        <f t="shared" si="26"/>
        <v>7-Dépenses</v>
      </c>
      <c r="R357" s="153" t="str">
        <f t="shared" si="26"/>
        <v>6145</v>
      </c>
      <c r="S357" s="154">
        <f t="shared" si="26"/>
        <v>0</v>
      </c>
      <c r="T357" s="156">
        <f>+VLOOKUP($L357,Data_Validation!$A:$D,1,0)</f>
        <v>6545</v>
      </c>
      <c r="U357" s="156" t="str">
        <f>+VLOOKUP($L357,Data_Validation!$A:$D,3,0)</f>
        <v>Carrosserie</v>
      </c>
      <c r="V357" s="156" t="str">
        <f>+VLOOKUP($L357,Data_Validation!$A:$D,4,0)</f>
        <v>Frais véhicules de cie</v>
      </c>
      <c r="W357" s="156" t="str">
        <f>+VLOOKUP($L357,Data_Validation!$A:$E,5,0)</f>
        <v>$</v>
      </c>
      <c r="X357" s="156">
        <f>+VLOOKUP($L357,Data_Validation!$A:$F,6,0)</f>
        <v>0</v>
      </c>
    </row>
    <row r="358" spans="1:24" ht="15.75" hidden="1" customHeight="1">
      <c r="A358" s="1002" t="s">
        <v>1180</v>
      </c>
      <c r="B358" s="1145">
        <v>6547</v>
      </c>
      <c r="C358" s="1004">
        <v>0</v>
      </c>
      <c r="D358" s="1004">
        <v>14.28</v>
      </c>
      <c r="E358" s="1004">
        <v>14.28</v>
      </c>
      <c r="F358" s="1002" t="s">
        <v>401</v>
      </c>
      <c r="G358" s="1002" t="s">
        <v>2576</v>
      </c>
      <c r="H358" s="961"/>
      <c r="I358" s="964"/>
      <c r="J358" s="964"/>
      <c r="K358" s="964"/>
      <c r="L358" s="153">
        <f t="shared" si="18"/>
        <v>6547</v>
      </c>
      <c r="M358" s="154" t="str">
        <f t="shared" si="19"/>
        <v>FRET/EXPRESS/TRANS. PAR CAMION</v>
      </c>
      <c r="N358" s="155">
        <f>+IF(OR($Q358=Parametres!$G$2,$Q358=Parametres!$G$3),I358,C358)</f>
        <v>0</v>
      </c>
      <c r="O358" s="155">
        <f>+IF(OR($Q358=Parametres!$G$2,$Q358=Parametres!$G$3),J358,D358)</f>
        <v>14.28</v>
      </c>
      <c r="P358" s="155">
        <f>+IF(OR($Q358=Parametres!$G$2,$Q358=Parametres!$G$3),K358,E358)</f>
        <v>14.28</v>
      </c>
      <c r="Q358" s="154" t="str">
        <f t="shared" si="26"/>
        <v>7-Dépenses</v>
      </c>
      <c r="R358" s="153" t="str">
        <f t="shared" si="26"/>
        <v>6147</v>
      </c>
      <c r="S358" s="154">
        <f t="shared" si="26"/>
        <v>0</v>
      </c>
      <c r="T358" s="156">
        <f>+VLOOKUP($L358,Data_Validation!$A:$D,1,0)</f>
        <v>6547</v>
      </c>
      <c r="U358" s="156" t="str">
        <f>+VLOOKUP($L358,Data_Validation!$A:$D,3,0)</f>
        <v>Carrosserie</v>
      </c>
      <c r="V358" s="156" t="str">
        <f>+VLOOKUP($L358,Data_Validation!$A:$D,4,0)</f>
        <v>Frais postaux</v>
      </c>
      <c r="W358" s="156" t="str">
        <f>+VLOOKUP($L358,Data_Validation!$A:$E,5,0)</f>
        <v>$</v>
      </c>
      <c r="X358" s="156">
        <f>+VLOOKUP($L358,Data_Validation!$A:$F,6,0)</f>
        <v>0</v>
      </c>
    </row>
    <row r="359" spans="1:24" ht="15" hidden="1" customHeight="1">
      <c r="A359" s="1002" t="s">
        <v>1286</v>
      </c>
      <c r="B359" s="1145">
        <v>6551</v>
      </c>
      <c r="C359" s="1004">
        <v>0</v>
      </c>
      <c r="D359" s="1004">
        <v>1378.59</v>
      </c>
      <c r="E359" s="1004">
        <v>1378.59</v>
      </c>
      <c r="F359" s="1002" t="s">
        <v>401</v>
      </c>
      <c r="G359" s="1002" t="s">
        <v>2697</v>
      </c>
      <c r="H359" s="961"/>
      <c r="I359" s="964"/>
      <c r="J359" s="964"/>
      <c r="K359" s="964"/>
      <c r="L359" s="153">
        <f t="shared" si="18"/>
        <v>6551</v>
      </c>
      <c r="M359" s="154" t="str">
        <f t="shared" si="19"/>
        <v>DEP. DU TRAITEMENT DES DONNEES</v>
      </c>
      <c r="N359" s="155">
        <f>+IF(OR($Q359=Parametres!$G$2,$Q359=Parametres!$G$3),I359,C359)</f>
        <v>0</v>
      </c>
      <c r="O359" s="155">
        <f>+IF(OR($Q359=Parametres!$G$2,$Q359=Parametres!$G$3),J359,D359)</f>
        <v>1378.59</v>
      </c>
      <c r="P359" s="155">
        <f>+IF(OR($Q359=Parametres!$G$2,$Q359=Parametres!$G$3),K359,E359)</f>
        <v>1378.59</v>
      </c>
      <c r="Q359" s="154" t="str">
        <f t="shared" si="26"/>
        <v>7-Dépenses</v>
      </c>
      <c r="R359" s="153" t="str">
        <f t="shared" si="26"/>
        <v>6151</v>
      </c>
      <c r="S359" s="154">
        <f t="shared" si="26"/>
        <v>0</v>
      </c>
      <c r="T359" s="156">
        <f>+VLOOKUP($L359,Data_Validation!$A:$D,1,0)</f>
        <v>6551</v>
      </c>
      <c r="U359" s="156" t="str">
        <f>+VLOOKUP($L359,Data_Validation!$A:$D,3,0)</f>
        <v>Carrosserie</v>
      </c>
      <c r="V359" s="156" t="str">
        <f>+VLOOKUP($L359,Data_Validation!$A:$D,4,0)</f>
        <v>Informatique</v>
      </c>
      <c r="W359" s="156" t="str">
        <f>+VLOOKUP($L359,Data_Validation!$A:$E,5,0)</f>
        <v>$</v>
      </c>
      <c r="X359" s="156">
        <f>+VLOOKUP($L359,Data_Validation!$A:$F,6,0)</f>
        <v>0</v>
      </c>
    </row>
    <row r="360" spans="1:24" ht="15" hidden="1" customHeight="1">
      <c r="A360" s="1002" t="s">
        <v>1206</v>
      </c>
      <c r="B360" s="1145">
        <v>6552</v>
      </c>
      <c r="C360" s="1004">
        <v>0</v>
      </c>
      <c r="D360" s="1004">
        <v>54.45</v>
      </c>
      <c r="E360" s="1004">
        <v>54.45</v>
      </c>
      <c r="F360" s="1002" t="s">
        <v>401</v>
      </c>
      <c r="G360" s="1002" t="s">
        <v>2583</v>
      </c>
      <c r="H360" s="961"/>
      <c r="I360" s="964"/>
      <c r="J360" s="964"/>
      <c r="K360" s="964"/>
      <c r="L360" s="153">
        <f t="shared" si="18"/>
        <v>6552</v>
      </c>
      <c r="M360" s="154" t="str">
        <f t="shared" si="19"/>
        <v>PAPETERIE</v>
      </c>
      <c r="N360" s="155">
        <f>+IF(OR($Q360=Parametres!$G$2,$Q360=Parametres!$G$3),I360,C360)</f>
        <v>0</v>
      </c>
      <c r="O360" s="155">
        <f>+IF(OR($Q360=Parametres!$G$2,$Q360=Parametres!$G$3),J360,D360)</f>
        <v>54.45</v>
      </c>
      <c r="P360" s="155">
        <f>+IF(OR($Q360=Parametres!$G$2,$Q360=Parametres!$G$3),K360,E360)</f>
        <v>54.45</v>
      </c>
      <c r="Q360" s="154" t="str">
        <f t="shared" si="26"/>
        <v>7-Dépenses</v>
      </c>
      <c r="R360" s="153" t="str">
        <f t="shared" si="26"/>
        <v>6152</v>
      </c>
      <c r="S360" s="154">
        <f t="shared" si="26"/>
        <v>0</v>
      </c>
      <c r="T360" s="156">
        <f>+VLOOKUP($L360,Data_Validation!$A:$D,1,0)</f>
        <v>6552</v>
      </c>
      <c r="U360" s="156" t="str">
        <f>+VLOOKUP($L360,Data_Validation!$A:$D,3,0)</f>
        <v>Carrosserie</v>
      </c>
      <c r="V360" s="156" t="str">
        <f>+VLOOKUP($L360,Data_Validation!$A:$D,4,0)</f>
        <v>Papeterie</v>
      </c>
      <c r="W360" s="156" t="str">
        <f>+VLOOKUP($L360,Data_Validation!$A:$E,5,0)</f>
        <v>$</v>
      </c>
      <c r="X360" s="156">
        <f>+VLOOKUP($L360,Data_Validation!$A:$F,6,0)</f>
        <v>0</v>
      </c>
    </row>
    <row r="361" spans="1:24" ht="15" hidden="1" customHeight="1">
      <c r="A361" s="1002" t="s">
        <v>1154</v>
      </c>
      <c r="B361" s="1145">
        <v>6553</v>
      </c>
      <c r="C361" s="1004">
        <v>0</v>
      </c>
      <c r="D361" s="1004">
        <v>122.38</v>
      </c>
      <c r="E361" s="1004">
        <v>122.38</v>
      </c>
      <c r="F361" s="1002" t="s">
        <v>401</v>
      </c>
      <c r="G361" s="1002" t="s">
        <v>2587</v>
      </c>
      <c r="H361" s="961"/>
      <c r="I361" s="964"/>
      <c r="J361" s="964"/>
      <c r="K361" s="964"/>
      <c r="L361" s="153">
        <f t="shared" si="18"/>
        <v>6553</v>
      </c>
      <c r="M361" s="154" t="str">
        <f t="shared" si="19"/>
        <v>TELEPHONE ET TELEX</v>
      </c>
      <c r="N361" s="155">
        <f>+IF(OR($Q361=Parametres!$G$2,$Q361=Parametres!$G$3),I361,C361)</f>
        <v>0</v>
      </c>
      <c r="O361" s="155">
        <f>+IF(OR($Q361=Parametres!$G$2,$Q361=Parametres!$G$3),J361,D361)</f>
        <v>122.38</v>
      </c>
      <c r="P361" s="155">
        <f>+IF(OR($Q361=Parametres!$G$2,$Q361=Parametres!$G$3),K361,E361)</f>
        <v>122.38</v>
      </c>
      <c r="Q361" s="154" t="str">
        <f t="shared" si="26"/>
        <v>7-Dépenses</v>
      </c>
      <c r="R361" s="153" t="str">
        <f t="shared" si="26"/>
        <v>6153</v>
      </c>
      <c r="S361" s="154">
        <f t="shared" si="26"/>
        <v>0</v>
      </c>
      <c r="T361" s="156">
        <f>+VLOOKUP($L361,Data_Validation!$A:$D,1,0)</f>
        <v>6553</v>
      </c>
      <c r="U361" s="156" t="str">
        <f>+VLOOKUP($L361,Data_Validation!$A:$D,3,0)</f>
        <v>Carrosserie</v>
      </c>
      <c r="V361" s="156" t="str">
        <f>+VLOOKUP($L361,Data_Validation!$A:$D,4,0)</f>
        <v>Téléphone</v>
      </c>
      <c r="W361" s="156" t="str">
        <f>+VLOOKUP($L361,Data_Validation!$A:$E,5,0)</f>
        <v>$</v>
      </c>
      <c r="X361" s="156">
        <f>+VLOOKUP($L361,Data_Validation!$A:$F,6,0)</f>
        <v>0</v>
      </c>
    </row>
    <row r="362" spans="1:24" ht="15.75" hidden="1" customHeight="1">
      <c r="A362" s="1002" t="s">
        <v>1237</v>
      </c>
      <c r="B362" s="1145">
        <v>6555</v>
      </c>
      <c r="C362" s="1004">
        <v>0</v>
      </c>
      <c r="D362" s="1004">
        <v>55.19</v>
      </c>
      <c r="E362" s="1004">
        <v>55.19</v>
      </c>
      <c r="F362" s="1002" t="s">
        <v>401</v>
      </c>
      <c r="G362" s="1002" t="s">
        <v>2632</v>
      </c>
      <c r="H362" s="961"/>
      <c r="I362" s="964"/>
      <c r="J362" s="964"/>
      <c r="K362" s="964"/>
      <c r="L362" s="153">
        <f t="shared" si="18"/>
        <v>6555</v>
      </c>
      <c r="M362" s="154" t="str">
        <f t="shared" si="19"/>
        <v>DEPENSES DIVERS</v>
      </c>
      <c r="N362" s="155">
        <f>+IF(OR($Q362=Parametres!$G$2,$Q362=Parametres!$G$3),I362,C362)</f>
        <v>0</v>
      </c>
      <c r="O362" s="155">
        <f>+IF(OR($Q362=Parametres!$G$2,$Q362=Parametres!$G$3),J362,D362)</f>
        <v>55.19</v>
      </c>
      <c r="P362" s="155">
        <f>+IF(OR($Q362=Parametres!$G$2,$Q362=Parametres!$G$3),K362,E362)</f>
        <v>55.19</v>
      </c>
      <c r="Q362" s="154" t="str">
        <f t="shared" si="26"/>
        <v>7-Dépenses</v>
      </c>
      <c r="R362" s="153" t="str">
        <f t="shared" si="26"/>
        <v>6155</v>
      </c>
      <c r="S362" s="154">
        <f t="shared" si="26"/>
        <v>0</v>
      </c>
      <c r="T362" s="156">
        <f>+VLOOKUP($L362,Data_Validation!$A:$D,1,0)</f>
        <v>6555</v>
      </c>
      <c r="U362" s="156" t="str">
        <f>+VLOOKUP($L362,Data_Validation!$A:$D,3,0)</f>
        <v>Carrosserie</v>
      </c>
      <c r="V362" s="156" t="str">
        <f>+VLOOKUP($L362,Data_Validation!$A:$D,4,0)</f>
        <v>Divers</v>
      </c>
      <c r="W362" s="156" t="str">
        <f>+VLOOKUP($L362,Data_Validation!$A:$E,5,0)</f>
        <v>$</v>
      </c>
      <c r="X362" s="156">
        <f>+VLOOKUP($L362,Data_Validation!$A:$F,6,0)</f>
        <v>0</v>
      </c>
    </row>
    <row r="363" spans="1:24" ht="15.75" hidden="1" customHeight="1">
      <c r="A363" s="1002" t="s">
        <v>1217</v>
      </c>
      <c r="B363" s="1145">
        <v>6556</v>
      </c>
      <c r="C363" s="1004">
        <v>0</v>
      </c>
      <c r="D363" s="1004">
        <v>13.57</v>
      </c>
      <c r="E363" s="1004">
        <v>13.57</v>
      </c>
      <c r="F363" s="1002" t="s">
        <v>401</v>
      </c>
      <c r="G363" s="1002" t="s">
        <v>2465</v>
      </c>
      <c r="H363" s="961"/>
      <c r="I363" s="964"/>
      <c r="J363" s="964"/>
      <c r="K363" s="964"/>
      <c r="L363" s="153">
        <f t="shared" si="18"/>
        <v>6556</v>
      </c>
      <c r="M363" s="154" t="str">
        <f t="shared" si="19"/>
        <v>FRAIS REPRESENTATION</v>
      </c>
      <c r="N363" s="155">
        <f>+IF(OR($Q363=Parametres!$G$2,$Q363=Parametres!$G$3),I363,C363)</f>
        <v>0</v>
      </c>
      <c r="O363" s="155">
        <f>+IF(OR($Q363=Parametres!$G$2,$Q363=Parametres!$G$3),J363,D363)</f>
        <v>13.57</v>
      </c>
      <c r="P363" s="155">
        <f>+IF(OR($Q363=Parametres!$G$2,$Q363=Parametres!$G$3),K363,E363)</f>
        <v>13.57</v>
      </c>
      <c r="Q363" s="154" t="str">
        <f t="shared" si="26"/>
        <v>7-Dépenses</v>
      </c>
      <c r="R363" s="153" t="str">
        <f t="shared" si="26"/>
        <v>6156</v>
      </c>
      <c r="S363" s="154">
        <f t="shared" si="26"/>
        <v>0</v>
      </c>
      <c r="T363" s="156">
        <f>+VLOOKUP($L363,Data_Validation!$A:$D,1,0)</f>
        <v>6556</v>
      </c>
      <c r="U363" s="156" t="str">
        <f>+VLOOKUP($L363,Data_Validation!$A:$D,3,0)</f>
        <v>Carrosserie</v>
      </c>
      <c r="V363" s="156" t="str">
        <f>+VLOOKUP($L363,Data_Validation!$A:$D,4,0)</f>
        <v>Frais de déplacement</v>
      </c>
      <c r="W363" s="156" t="str">
        <f>+VLOOKUP($L363,Data_Validation!$A:$E,5,0)</f>
        <v>$</v>
      </c>
      <c r="X363" s="156">
        <f>+VLOOKUP($L363,Data_Validation!$A:$F,6,0)</f>
        <v>0</v>
      </c>
    </row>
    <row r="364" spans="1:24" ht="15" hidden="1" customHeight="1">
      <c r="A364" s="1002" t="s">
        <v>1308</v>
      </c>
      <c r="B364" s="1145">
        <v>6559</v>
      </c>
      <c r="C364" s="1004">
        <v>0</v>
      </c>
      <c r="D364" s="1004">
        <v>282.91000000000003</v>
      </c>
      <c r="E364" s="1004">
        <v>282.91000000000003</v>
      </c>
      <c r="F364" s="1002" t="s">
        <v>401</v>
      </c>
      <c r="G364" s="1002" t="s">
        <v>2657</v>
      </c>
      <c r="H364" s="961"/>
      <c r="I364" s="964"/>
      <c r="J364" s="964"/>
      <c r="K364" s="964"/>
      <c r="L364" s="153">
        <f t="shared" si="18"/>
        <v>6559</v>
      </c>
      <c r="M364" s="154" t="str">
        <f t="shared" si="19"/>
        <v>SERVICE EXTERIEUR</v>
      </c>
      <c r="N364" s="155">
        <f>+IF(OR($Q364=Parametres!$G$2,$Q364=Parametres!$G$3),I364,C364)</f>
        <v>0</v>
      </c>
      <c r="O364" s="155">
        <f>+IF(OR($Q364=Parametres!$G$2,$Q364=Parametres!$G$3),J364,D364)</f>
        <v>282.91000000000003</v>
      </c>
      <c r="P364" s="155">
        <f>+IF(OR($Q364=Parametres!$G$2,$Q364=Parametres!$G$3),K364,E364)</f>
        <v>282.91000000000003</v>
      </c>
      <c r="Q364" s="154" t="str">
        <f t="shared" si="26"/>
        <v>7-Dépenses</v>
      </c>
      <c r="R364" s="153" t="str">
        <f t="shared" si="26"/>
        <v>6159</v>
      </c>
      <c r="S364" s="154">
        <f t="shared" si="26"/>
        <v>0</v>
      </c>
      <c r="T364" s="156">
        <f>+VLOOKUP($L364,Data_Validation!$A:$D,1,0)</f>
        <v>6559</v>
      </c>
      <c r="U364" s="156" t="str">
        <f>+VLOOKUP($L364,Data_Validation!$A:$D,3,0)</f>
        <v>Carrosserie</v>
      </c>
      <c r="V364" s="156" t="str">
        <f>+VLOOKUP($L364,Data_Validation!$A:$D,4,0)</f>
        <v>Services extérieurs</v>
      </c>
      <c r="W364" s="156" t="str">
        <f>+VLOOKUP($L364,Data_Validation!$A:$E,5,0)</f>
        <v>$</v>
      </c>
      <c r="X364" s="156">
        <f>+VLOOKUP($L364,Data_Validation!$A:$F,6,0)</f>
        <v>0</v>
      </c>
    </row>
    <row r="365" spans="1:24" ht="15" hidden="1" customHeight="1">
      <c r="A365" s="1002" t="s">
        <v>1333</v>
      </c>
      <c r="B365" s="1145">
        <v>6561</v>
      </c>
      <c r="C365" s="1004">
        <v>0</v>
      </c>
      <c r="D365" s="1004">
        <v>641.69000000000005</v>
      </c>
      <c r="E365" s="1004">
        <v>641.69000000000005</v>
      </c>
      <c r="F365" s="1002" t="s">
        <v>401</v>
      </c>
      <c r="G365" s="1002" t="s">
        <v>2648</v>
      </c>
      <c r="H365" s="961"/>
      <c r="I365" s="964"/>
      <c r="J365" s="964"/>
      <c r="K365" s="964"/>
      <c r="L365" s="153">
        <f t="shared" si="18"/>
        <v>6561</v>
      </c>
      <c r="M365" s="154" t="str">
        <f t="shared" si="19"/>
        <v>DEPRECIATION EQUIP. &amp; FIXTURES</v>
      </c>
      <c r="N365" s="155">
        <f>+IF(OR($Q365=Parametres!$G$2,$Q365=Parametres!$G$3),I365,C365)</f>
        <v>0</v>
      </c>
      <c r="O365" s="155">
        <f>+IF(OR($Q365=Parametres!$G$2,$Q365=Parametres!$G$3),J365,D365)</f>
        <v>641.69000000000005</v>
      </c>
      <c r="P365" s="155">
        <f>+IF(OR($Q365=Parametres!$G$2,$Q365=Parametres!$G$3),K365,E365)</f>
        <v>641.69000000000005</v>
      </c>
      <c r="Q365" s="154" t="str">
        <f t="shared" si="26"/>
        <v>7-Dépenses</v>
      </c>
      <c r="R365" s="153" t="str">
        <f t="shared" si="26"/>
        <v>6161</v>
      </c>
      <c r="S365" s="154">
        <f t="shared" si="26"/>
        <v>0</v>
      </c>
      <c r="T365" s="156">
        <f>+VLOOKUP($L365,Data_Validation!$A:$D,1,0)</f>
        <v>6561</v>
      </c>
      <c r="U365" s="156" t="str">
        <f>+VLOOKUP($L365,Data_Validation!$A:$D,3,0)</f>
        <v>Carrosserie</v>
      </c>
      <c r="V365" s="156" t="str">
        <f>+VLOOKUP($L365,Data_Validation!$A:$D,4,0)</f>
        <v>Amortissement</v>
      </c>
      <c r="W365" s="156" t="str">
        <f>+VLOOKUP($L365,Data_Validation!$A:$E,5,0)</f>
        <v>$</v>
      </c>
      <c r="X365" s="156">
        <f>+VLOOKUP($L365,Data_Validation!$A:$F,6,0)</f>
        <v>0</v>
      </c>
    </row>
    <row r="366" spans="1:24" ht="15" hidden="1" customHeight="1">
      <c r="A366" s="1002" t="s">
        <v>1244</v>
      </c>
      <c r="B366" s="1145">
        <v>6581</v>
      </c>
      <c r="C366" s="1004">
        <v>0</v>
      </c>
      <c r="D366" s="1004">
        <v>118.7</v>
      </c>
      <c r="E366" s="1004">
        <v>118.7</v>
      </c>
      <c r="F366" s="1002" t="s">
        <v>401</v>
      </c>
      <c r="G366" s="1002" t="s">
        <v>2599</v>
      </c>
      <c r="H366" s="961"/>
      <c r="I366" s="964"/>
      <c r="J366" s="964"/>
      <c r="K366" s="964"/>
      <c r="L366" s="153">
        <f t="shared" si="18"/>
        <v>6581</v>
      </c>
      <c r="M366" s="154" t="str">
        <f t="shared" si="19"/>
        <v>CHAUFFAGE,ELECTRICITE,EAU-CARROS.</v>
      </c>
      <c r="N366" s="155">
        <f>+IF(OR($Q366=Parametres!$G$2,$Q366=Parametres!$G$3),I366,C366)</f>
        <v>0</v>
      </c>
      <c r="O366" s="155">
        <f>+IF(OR($Q366=Parametres!$G$2,$Q366=Parametres!$G$3),J366,D366)</f>
        <v>118.7</v>
      </c>
      <c r="P366" s="155">
        <f>+IF(OR($Q366=Parametres!$G$2,$Q366=Parametres!$G$3),K366,E366)</f>
        <v>118.7</v>
      </c>
      <c r="Q366" s="154" t="str">
        <f t="shared" si="26"/>
        <v>7-Dépenses</v>
      </c>
      <c r="R366" s="153" t="str">
        <f t="shared" si="26"/>
        <v>6181</v>
      </c>
      <c r="S366" s="154">
        <f t="shared" si="26"/>
        <v>0</v>
      </c>
      <c r="T366" s="156">
        <f>+VLOOKUP($L366,Data_Validation!$A:$D,1,0)</f>
        <v>6581</v>
      </c>
      <c r="U366" s="156" t="str">
        <f>+VLOOKUP($L366,Data_Validation!$A:$D,3,0)</f>
        <v>Carrosserie</v>
      </c>
      <c r="V366" s="156" t="str">
        <f>+VLOOKUP($L366,Data_Validation!$A:$D,4,0)</f>
        <v>Chauffage, éclairage</v>
      </c>
      <c r="W366" s="156" t="str">
        <f>+VLOOKUP($L366,Data_Validation!$A:$E,5,0)</f>
        <v>$</v>
      </c>
      <c r="X366" s="156">
        <f>+VLOOKUP($L366,Data_Validation!$A:$F,6,0)</f>
        <v>0</v>
      </c>
    </row>
    <row r="367" spans="1:24" ht="15" hidden="1" customHeight="1">
      <c r="A367" s="1002" t="s">
        <v>1398</v>
      </c>
      <c r="B367" s="1145">
        <v>6582</v>
      </c>
      <c r="C367" s="1004">
        <v>0</v>
      </c>
      <c r="D367" s="1004">
        <v>1820</v>
      </c>
      <c r="E367" s="1004">
        <v>1820</v>
      </c>
      <c r="F367" s="1002" t="s">
        <v>401</v>
      </c>
      <c r="G367" s="1002" t="s">
        <v>2704</v>
      </c>
      <c r="H367" s="961"/>
      <c r="I367" s="964"/>
      <c r="J367" s="964"/>
      <c r="K367" s="964"/>
      <c r="L367" s="153">
        <f t="shared" si="18"/>
        <v>6582</v>
      </c>
      <c r="M367" s="154" t="str">
        <f t="shared" si="19"/>
        <v>LOYER - CARROSSERIE</v>
      </c>
      <c r="N367" s="155">
        <f>+IF(OR($Q367=Parametres!$G$2,$Q367=Parametres!$G$3),I367,C367)</f>
        <v>0</v>
      </c>
      <c r="O367" s="155">
        <f>+IF(OR($Q367=Parametres!$G$2,$Q367=Parametres!$G$3),J367,D367)</f>
        <v>1820</v>
      </c>
      <c r="P367" s="155">
        <f>+IF(OR($Q367=Parametres!$G$2,$Q367=Parametres!$G$3),K367,E367)</f>
        <v>1820</v>
      </c>
      <c r="Q367" s="154" t="str">
        <f t="shared" si="26"/>
        <v>7-Dépenses</v>
      </c>
      <c r="R367" s="153" t="str">
        <f t="shared" si="26"/>
        <v>6182</v>
      </c>
      <c r="S367" s="154">
        <f t="shared" si="26"/>
        <v>0</v>
      </c>
      <c r="T367" s="156">
        <f>+VLOOKUP($L367,Data_Validation!$A:$D,1,0)</f>
        <v>6582</v>
      </c>
      <c r="U367" s="156" t="str">
        <f>+VLOOKUP($L367,Data_Validation!$A:$D,3,0)</f>
        <v>Carrosserie</v>
      </c>
      <c r="V367" s="156" t="str">
        <f>+VLOOKUP($L367,Data_Validation!$A:$D,4,0)</f>
        <v>Loyer</v>
      </c>
      <c r="W367" s="156" t="str">
        <f>+VLOOKUP($L367,Data_Validation!$A:$E,5,0)</f>
        <v>$</v>
      </c>
      <c r="X367" s="156">
        <f>+VLOOKUP($L367,Data_Validation!$A:$F,6,0)</f>
        <v>0</v>
      </c>
    </row>
    <row r="368" spans="1:24" ht="15" hidden="1" customHeight="1">
      <c r="A368" s="1002" t="s">
        <v>1255</v>
      </c>
      <c r="B368" s="1145">
        <v>6586</v>
      </c>
      <c r="C368" s="1004">
        <v>0</v>
      </c>
      <c r="D368" s="1004">
        <v>259.57</v>
      </c>
      <c r="E368" s="1004">
        <v>259.57</v>
      </c>
      <c r="F368" s="1002" t="s">
        <v>401</v>
      </c>
      <c r="G368" s="1002" t="s">
        <v>2589</v>
      </c>
      <c r="H368" s="961"/>
      <c r="I368" s="964"/>
      <c r="J368" s="964"/>
      <c r="K368" s="964"/>
      <c r="L368" s="153">
        <f t="shared" si="18"/>
        <v>6586</v>
      </c>
      <c r="M368" s="154" t="str">
        <f t="shared" si="19"/>
        <v>ASSURANCE BATISSE &amp; AMEL.-CARROS.</v>
      </c>
      <c r="N368" s="155">
        <f>+IF(OR($Q368=Parametres!$G$2,$Q368=Parametres!$G$3),I368,C368)</f>
        <v>0</v>
      </c>
      <c r="O368" s="155">
        <f>+IF(OR($Q368=Parametres!$G$2,$Q368=Parametres!$G$3),J368,D368)</f>
        <v>259.57</v>
      </c>
      <c r="P368" s="155">
        <f>+IF(OR($Q368=Parametres!$G$2,$Q368=Parametres!$G$3),K368,E368)</f>
        <v>259.57</v>
      </c>
      <c r="Q368" s="154" t="str">
        <f t="shared" si="26"/>
        <v>7-Dépenses</v>
      </c>
      <c r="R368" s="153" t="str">
        <f t="shared" si="26"/>
        <v>6186</v>
      </c>
      <c r="S368" s="154">
        <f t="shared" si="26"/>
        <v>0</v>
      </c>
      <c r="T368" s="156">
        <f>+VLOOKUP($L368,Data_Validation!$A:$D,1,0)</f>
        <v>6586</v>
      </c>
      <c r="U368" s="156" t="str">
        <f>+VLOOKUP($L368,Data_Validation!$A:$D,3,0)</f>
        <v>Carrosserie</v>
      </c>
      <c r="V368" s="156" t="str">
        <f>+VLOOKUP($L368,Data_Validation!$A:$D,4,0)</f>
        <v>Assurances</v>
      </c>
      <c r="W368" s="156" t="str">
        <f>+VLOOKUP($L368,Data_Validation!$A:$E,5,0)</f>
        <v>$</v>
      </c>
      <c r="X368" s="156">
        <f>+VLOOKUP($L368,Data_Validation!$A:$F,6,0)</f>
        <v>0</v>
      </c>
    </row>
    <row r="369" spans="1:24" ht="15.75" hidden="1" customHeight="1">
      <c r="A369" s="1002" t="s">
        <v>1264</v>
      </c>
      <c r="B369" s="1145">
        <v>6587</v>
      </c>
      <c r="C369" s="1004">
        <v>0</v>
      </c>
      <c r="D369" s="1004">
        <v>336.7</v>
      </c>
      <c r="E369" s="1004">
        <v>336.7</v>
      </c>
      <c r="F369" s="1002" t="s">
        <v>401</v>
      </c>
      <c r="G369" s="1002" t="s">
        <v>2609</v>
      </c>
      <c r="H369" s="961"/>
      <c r="I369" s="964"/>
      <c r="J369" s="964"/>
      <c r="K369" s="964"/>
      <c r="L369" s="153">
        <f t="shared" si="18"/>
        <v>6587</v>
      </c>
      <c r="M369" s="154" t="str">
        <f t="shared" si="19"/>
        <v>TAXES FONCIERES - CAROSSERIE</v>
      </c>
      <c r="N369" s="155">
        <f>+IF(OR($Q369=Parametres!$G$2,$Q369=Parametres!$G$3),I369,C369)</f>
        <v>0</v>
      </c>
      <c r="O369" s="155">
        <f>+IF(OR($Q369=Parametres!$G$2,$Q369=Parametres!$G$3),J369,D369)</f>
        <v>336.7</v>
      </c>
      <c r="P369" s="155">
        <f>+IF(OR($Q369=Parametres!$G$2,$Q369=Parametres!$G$3),K369,E369)</f>
        <v>336.7</v>
      </c>
      <c r="Q369" s="154" t="str">
        <f t="shared" si="26"/>
        <v>7-Dépenses</v>
      </c>
      <c r="R369" s="153" t="str">
        <f t="shared" si="26"/>
        <v>6187</v>
      </c>
      <c r="S369" s="154">
        <f t="shared" si="26"/>
        <v>0</v>
      </c>
      <c r="T369" s="156">
        <f>+VLOOKUP($L369,Data_Validation!$A:$D,1,0)</f>
        <v>6587</v>
      </c>
      <c r="U369" s="156" t="str">
        <f>+VLOOKUP($L369,Data_Validation!$A:$D,3,0)</f>
        <v>Carrosserie</v>
      </c>
      <c r="V369" s="156" t="str">
        <f>+VLOOKUP($L369,Data_Validation!$A:$D,4,0)</f>
        <v>Taxes foncières</v>
      </c>
      <c r="W369" s="156" t="str">
        <f>+VLOOKUP($L369,Data_Validation!$A:$E,5,0)</f>
        <v>$</v>
      </c>
      <c r="X369" s="156">
        <f>+VLOOKUP($L369,Data_Validation!$A:$F,6,0)</f>
        <v>0</v>
      </c>
    </row>
    <row r="370" spans="1:24" ht="15" hidden="1" customHeight="1">
      <c r="A370" s="1002" t="s">
        <v>1225</v>
      </c>
      <c r="B370" s="1145">
        <v>6593</v>
      </c>
      <c r="C370" s="1004">
        <v>0</v>
      </c>
      <c r="D370" s="1004">
        <v>224</v>
      </c>
      <c r="E370" s="1004">
        <v>224</v>
      </c>
      <c r="F370" s="1002" t="s">
        <v>401</v>
      </c>
      <c r="G370" s="1002" t="s">
        <v>2592</v>
      </c>
      <c r="H370" s="961"/>
      <c r="I370" s="964"/>
      <c r="J370" s="964"/>
      <c r="K370" s="964"/>
      <c r="L370" s="153">
        <f t="shared" si="18"/>
        <v>6593</v>
      </c>
      <c r="M370" s="154" t="str">
        <f t="shared" si="19"/>
        <v>AUTRES TAXES -CARROSSERIE</v>
      </c>
      <c r="N370" s="155">
        <f>+IF(OR($Q370=Parametres!$G$2,$Q370=Parametres!$G$3),I370,C370)</f>
        <v>0</v>
      </c>
      <c r="O370" s="155">
        <f>+IF(OR($Q370=Parametres!$G$2,$Q370=Parametres!$G$3),J370,D370)</f>
        <v>224</v>
      </c>
      <c r="P370" s="155">
        <f>+IF(OR($Q370=Parametres!$G$2,$Q370=Parametres!$G$3),K370,E370)</f>
        <v>224</v>
      </c>
      <c r="Q370" s="154" t="str">
        <f t="shared" ref="Q370:S385" si="27">+F370</f>
        <v>7-Dépenses</v>
      </c>
      <c r="R370" s="153" t="str">
        <f t="shared" si="27"/>
        <v>6193</v>
      </c>
      <c r="S370" s="154">
        <f t="shared" si="27"/>
        <v>0</v>
      </c>
      <c r="T370" s="156">
        <f>+VLOOKUP($L370,Data_Validation!$A:$D,1,0)</f>
        <v>6593</v>
      </c>
      <c r="U370" s="156" t="str">
        <f>+VLOOKUP($L370,Data_Validation!$A:$D,3,0)</f>
        <v>Carrosserie</v>
      </c>
      <c r="V370" s="156" t="str">
        <f>+VLOOKUP($L370,Data_Validation!$A:$D,4,0)</f>
        <v>Taxes d`affaires</v>
      </c>
      <c r="W370" s="156" t="str">
        <f>+VLOOKUP($L370,Data_Validation!$A:$E,5,0)</f>
        <v>$</v>
      </c>
      <c r="X370" s="156">
        <f>+VLOOKUP($L370,Data_Validation!$A:$F,6,0)</f>
        <v>0</v>
      </c>
    </row>
    <row r="371" spans="1:24" ht="15" hidden="1" customHeight="1">
      <c r="A371" s="1002" t="s">
        <v>1271</v>
      </c>
      <c r="B371" s="1145">
        <v>6594</v>
      </c>
      <c r="C371" s="1004">
        <v>0</v>
      </c>
      <c r="D371" s="1004">
        <v>435.2</v>
      </c>
      <c r="E371" s="1004">
        <v>435.2</v>
      </c>
      <c r="F371" s="1002" t="s">
        <v>401</v>
      </c>
      <c r="G371" s="1002" t="s">
        <v>2630</v>
      </c>
      <c r="H371" s="961"/>
      <c r="I371" s="964"/>
      <c r="J371" s="964"/>
      <c r="K371" s="964"/>
      <c r="L371" s="153">
        <f t="shared" si="18"/>
        <v>6594</v>
      </c>
      <c r="M371" s="154" t="str">
        <f t="shared" si="19"/>
        <v>FRAIS PROFESSIONNEL-CARROS.</v>
      </c>
      <c r="N371" s="155">
        <f>+IF(OR($Q371=Parametres!$G$2,$Q371=Parametres!$G$3),I371,C371)</f>
        <v>0</v>
      </c>
      <c r="O371" s="155">
        <f>+IF(OR($Q371=Parametres!$G$2,$Q371=Parametres!$G$3),J371,D371)</f>
        <v>435.2</v>
      </c>
      <c r="P371" s="155">
        <f>+IF(OR($Q371=Parametres!$G$2,$Q371=Parametres!$G$3),K371,E371)</f>
        <v>435.2</v>
      </c>
      <c r="Q371" s="154" t="str">
        <f t="shared" si="27"/>
        <v>7-Dépenses</v>
      </c>
      <c r="R371" s="153" t="str">
        <f t="shared" si="27"/>
        <v>6194</v>
      </c>
      <c r="S371" s="154">
        <f t="shared" si="27"/>
        <v>0</v>
      </c>
      <c r="T371" s="156">
        <f>+VLOOKUP($L371,Data_Validation!$A:$D,1,0)</f>
        <v>6594</v>
      </c>
      <c r="U371" s="156" t="str">
        <f>+VLOOKUP($L371,Data_Validation!$A:$D,3,0)</f>
        <v>Carrosserie</v>
      </c>
      <c r="V371" s="156" t="str">
        <f>+VLOOKUP($L371,Data_Validation!$A:$D,4,0)</f>
        <v>Honoraires</v>
      </c>
      <c r="W371" s="156" t="str">
        <f>+VLOOKUP($L371,Data_Validation!$A:$E,5,0)</f>
        <v>$</v>
      </c>
      <c r="X371" s="156">
        <f>+VLOOKUP($L371,Data_Validation!$A:$F,6,0)</f>
        <v>0</v>
      </c>
    </row>
    <row r="372" spans="1:24" ht="15" hidden="1" customHeight="1">
      <c r="A372" s="1002" t="s">
        <v>399</v>
      </c>
      <c r="B372" s="1145">
        <v>6703</v>
      </c>
      <c r="C372" s="1004">
        <v>0</v>
      </c>
      <c r="D372" s="1004">
        <v>145.72999999999999</v>
      </c>
      <c r="E372" s="1004">
        <v>145.72999999999999</v>
      </c>
      <c r="F372" s="1002" t="s">
        <v>401</v>
      </c>
      <c r="G372" s="1002" t="s">
        <v>2462</v>
      </c>
      <c r="H372" s="961"/>
      <c r="I372" s="964"/>
      <c r="J372" s="964"/>
      <c r="K372" s="964"/>
      <c r="L372" s="153">
        <f t="shared" si="18"/>
        <v>6703</v>
      </c>
      <c r="M372" s="154" t="str">
        <f t="shared" si="19"/>
        <v>RELAT. A LA CLIENTELE &amp; AJUST.</v>
      </c>
      <c r="N372" s="155">
        <f>+IF(OR($Q372=Parametres!$G$2,$Q372=Parametres!$G$3),I372,C372)</f>
        <v>0</v>
      </c>
      <c r="O372" s="155">
        <f>+IF(OR($Q372=Parametres!$G$2,$Q372=Parametres!$G$3),J372,D372)</f>
        <v>145.72999999999999</v>
      </c>
      <c r="P372" s="155">
        <f>+IF(OR($Q372=Parametres!$G$2,$Q372=Parametres!$G$3),K372,E372)</f>
        <v>145.72999999999999</v>
      </c>
      <c r="Q372" s="154" t="str">
        <f t="shared" si="27"/>
        <v>7-Dépenses</v>
      </c>
      <c r="R372" s="153" t="str">
        <f t="shared" si="27"/>
        <v>6112</v>
      </c>
      <c r="S372" s="154">
        <f t="shared" si="27"/>
        <v>0</v>
      </c>
      <c r="T372" s="156">
        <f>+VLOOKUP($L372,Data_Validation!$A:$D,1,0)</f>
        <v>6703</v>
      </c>
      <c r="U372" s="156" t="str">
        <f>+VLOOKUP($L372,Data_Validation!$A:$D,3,0)</f>
        <v>Pièces</v>
      </c>
      <c r="V372" s="156" t="str">
        <f>+VLOOKUP($L372,Data_Validation!$A:$D,4,0)</f>
        <v>Service gratuit 2</v>
      </c>
      <c r="W372" s="156" t="str">
        <f>+VLOOKUP($L372,Data_Validation!$A:$E,5,0)</f>
        <v>$</v>
      </c>
      <c r="X372" s="156">
        <f>+VLOOKUP($L372,Data_Validation!$A:$F,6,0)</f>
        <v>0</v>
      </c>
    </row>
    <row r="373" spans="1:24" ht="15" hidden="1" customHeight="1">
      <c r="A373" s="1002" t="s">
        <v>1374</v>
      </c>
      <c r="B373" s="1145">
        <v>6714</v>
      </c>
      <c r="C373" s="1004">
        <v>0</v>
      </c>
      <c r="D373" s="1004">
        <v>5397.13</v>
      </c>
      <c r="E373" s="1004">
        <v>5397.13</v>
      </c>
      <c r="F373" s="1002" t="s">
        <v>401</v>
      </c>
      <c r="G373" s="1002" t="s">
        <v>2110</v>
      </c>
      <c r="H373" s="961"/>
      <c r="I373" s="964"/>
      <c r="J373" s="964"/>
      <c r="K373" s="964"/>
      <c r="L373" s="153">
        <f t="shared" si="18"/>
        <v>6714</v>
      </c>
      <c r="M373" s="154" t="str">
        <f t="shared" si="19"/>
        <v>PUBLICITE</v>
      </c>
      <c r="N373" s="155">
        <f>+IF(OR($Q373=Parametres!$G$2,$Q373=Parametres!$G$3),I373,C373)</f>
        <v>0</v>
      </c>
      <c r="O373" s="155">
        <f>+IF(OR($Q373=Parametres!$G$2,$Q373=Parametres!$G$3),J373,D373)</f>
        <v>5397.13</v>
      </c>
      <c r="P373" s="155">
        <f>+IF(OR($Q373=Parametres!$G$2,$Q373=Parametres!$G$3),K373,E373)</f>
        <v>5397.13</v>
      </c>
      <c r="Q373" s="154" t="str">
        <f t="shared" si="27"/>
        <v>7-Dépenses</v>
      </c>
      <c r="R373" s="153" t="str">
        <f t="shared" si="27"/>
        <v>6114</v>
      </c>
      <c r="S373" s="154">
        <f t="shared" si="27"/>
        <v>0</v>
      </c>
      <c r="T373" s="156">
        <f>+VLOOKUP($L373,Data_Validation!$A:$D,1,0)</f>
        <v>6714</v>
      </c>
      <c r="U373" s="156" t="str">
        <f>+VLOOKUP($L373,Data_Validation!$A:$D,3,0)</f>
        <v>Pièces</v>
      </c>
      <c r="V373" s="156" t="str">
        <f>+VLOOKUP($L373,Data_Validation!$A:$D,4,0)</f>
        <v>Publicité 2</v>
      </c>
      <c r="W373" s="156" t="str">
        <f>+VLOOKUP($L373,Data_Validation!$A:$E,5,0)</f>
        <v>$</v>
      </c>
      <c r="X373" s="156">
        <f>+VLOOKUP($L373,Data_Validation!$A:$F,6,0)</f>
        <v>0</v>
      </c>
    </row>
    <row r="374" spans="1:24" ht="15.75" hidden="1" customHeight="1">
      <c r="A374" s="1002" t="s">
        <v>1357</v>
      </c>
      <c r="B374" s="1145">
        <v>6721</v>
      </c>
      <c r="C374" s="1004">
        <v>0</v>
      </c>
      <c r="D374" s="1004">
        <v>729.17</v>
      </c>
      <c r="E374" s="1004">
        <v>729.17</v>
      </c>
      <c r="F374" s="1002" t="s">
        <v>401</v>
      </c>
      <c r="G374" s="1002" t="s">
        <v>2643</v>
      </c>
      <c r="H374" s="961"/>
      <c r="I374" s="964"/>
      <c r="J374" s="964"/>
      <c r="K374" s="964"/>
      <c r="L374" s="153">
        <f t="shared" si="18"/>
        <v>6721</v>
      </c>
      <c r="M374" s="154" t="str">
        <f t="shared" si="19"/>
        <v>SALAIRES - PROPRIEATIRES</v>
      </c>
      <c r="N374" s="155">
        <f>+IF(OR($Q374=Parametres!$G$2,$Q374=Parametres!$G$3),I374,C374)</f>
        <v>0</v>
      </c>
      <c r="O374" s="155">
        <f>+IF(OR($Q374=Parametres!$G$2,$Q374=Parametres!$G$3),J374,D374)</f>
        <v>729.17</v>
      </c>
      <c r="P374" s="155">
        <f>+IF(OR($Q374=Parametres!$G$2,$Q374=Parametres!$G$3),K374,E374)</f>
        <v>729.17</v>
      </c>
      <c r="Q374" s="154" t="str">
        <f t="shared" si="27"/>
        <v>7-Dépenses</v>
      </c>
      <c r="R374" s="153" t="str">
        <f t="shared" si="27"/>
        <v>6121</v>
      </c>
      <c r="S374" s="154">
        <f t="shared" si="27"/>
        <v>0</v>
      </c>
      <c r="T374" s="156">
        <f>+VLOOKUP($L374,Data_Validation!$A:$D,1,0)</f>
        <v>6721</v>
      </c>
      <c r="U374" s="156" t="str">
        <f>+VLOOKUP($L374,Data_Validation!$A:$D,3,0)</f>
        <v>Pièces</v>
      </c>
      <c r="V374" s="156" t="str">
        <f>+VLOOKUP($L374,Data_Validation!$A:$D,4,0)</f>
        <v>Salaires propriétaire</v>
      </c>
      <c r="W374" s="156" t="str">
        <f>+VLOOKUP($L374,Data_Validation!$A:$E,5,0)</f>
        <v>$</v>
      </c>
      <c r="X374" s="156">
        <f>+VLOOKUP($L374,Data_Validation!$A:$F,6,0)</f>
        <v>0</v>
      </c>
    </row>
    <row r="375" spans="1:24" ht="15" hidden="1" customHeight="1">
      <c r="A375" s="1002" t="s">
        <v>2619</v>
      </c>
      <c r="B375" s="1145">
        <v>6722</v>
      </c>
      <c r="C375" s="1004">
        <v>0</v>
      </c>
      <c r="D375" s="1004">
        <v>3692.69</v>
      </c>
      <c r="E375" s="1004">
        <v>3692.69</v>
      </c>
      <c r="F375" s="1002" t="s">
        <v>401</v>
      </c>
      <c r="G375" s="1002" t="s">
        <v>2621</v>
      </c>
      <c r="H375" s="961"/>
      <c r="I375" s="964"/>
      <c r="J375" s="964"/>
      <c r="K375" s="964"/>
      <c r="L375" s="153">
        <f t="shared" si="18"/>
        <v>6722</v>
      </c>
      <c r="M375" s="154" t="str">
        <f t="shared" si="19"/>
        <v>SAL SUPERVISION / GERANT</v>
      </c>
      <c r="N375" s="155">
        <f>+IF(OR($Q375=Parametres!$G$2,$Q375=Parametres!$G$3),I375,C375)</f>
        <v>0</v>
      </c>
      <c r="O375" s="155">
        <f>+IF(OR($Q375=Parametres!$G$2,$Q375=Parametres!$G$3),J375,D375)</f>
        <v>3692.69</v>
      </c>
      <c r="P375" s="155">
        <f>+IF(OR($Q375=Parametres!$G$2,$Q375=Parametres!$G$3),K375,E375)</f>
        <v>3692.69</v>
      </c>
      <c r="Q375" s="154" t="str">
        <f t="shared" si="27"/>
        <v>7-Dépenses</v>
      </c>
      <c r="R375" s="153" t="str">
        <f t="shared" si="27"/>
        <v>6122</v>
      </c>
      <c r="S375" s="154">
        <f t="shared" si="27"/>
        <v>0</v>
      </c>
      <c r="T375" s="156">
        <f>+VLOOKUP($L375,Data_Validation!$A:$D,1,0)</f>
        <v>6722</v>
      </c>
      <c r="U375" s="156" t="str">
        <f>+VLOOKUP($L375,Data_Validation!$A:$D,3,0)</f>
        <v>Pièces</v>
      </c>
      <c r="V375" s="156" t="str">
        <f>+VLOOKUP($L375,Data_Validation!$A:$D,4,0)</f>
        <v>Salaires cadres</v>
      </c>
      <c r="W375" s="156" t="str">
        <f>+VLOOKUP($L375,Data_Validation!$A:$E,5,0)</f>
        <v>$</v>
      </c>
      <c r="X375" s="156">
        <f>+VLOOKUP($L375,Data_Validation!$A:$F,6,0)</f>
        <v>0</v>
      </c>
    </row>
    <row r="376" spans="1:24" ht="15" hidden="1" customHeight="1">
      <c r="A376" s="1002" t="s">
        <v>1342</v>
      </c>
      <c r="B376" s="1145">
        <v>6723</v>
      </c>
      <c r="C376" s="1004">
        <v>0</v>
      </c>
      <c r="D376" s="1004">
        <v>4211.63</v>
      </c>
      <c r="E376" s="1004">
        <v>4211.63</v>
      </c>
      <c r="F376" s="1002" t="s">
        <v>401</v>
      </c>
      <c r="G376" s="1002" t="s">
        <v>2674</v>
      </c>
      <c r="H376" s="961"/>
      <c r="I376" s="964"/>
      <c r="J376" s="964"/>
      <c r="K376" s="964"/>
      <c r="L376" s="153">
        <f t="shared" si="18"/>
        <v>6723</v>
      </c>
      <c r="M376" s="154" t="str">
        <f t="shared" si="19"/>
        <v>SAL. &amp; RENUM. - CLERICAL</v>
      </c>
      <c r="N376" s="155">
        <f>+IF(OR($Q376=Parametres!$G$2,$Q376=Parametres!$G$3),I376,C376)</f>
        <v>0</v>
      </c>
      <c r="O376" s="155">
        <f>+IF(OR($Q376=Parametres!$G$2,$Q376=Parametres!$G$3),J376,D376)</f>
        <v>4211.63</v>
      </c>
      <c r="P376" s="155">
        <f>+IF(OR($Q376=Parametres!$G$2,$Q376=Parametres!$G$3),K376,E376)</f>
        <v>4211.63</v>
      </c>
      <c r="Q376" s="154" t="str">
        <f t="shared" si="27"/>
        <v>7-Dépenses</v>
      </c>
      <c r="R376" s="153" t="str">
        <f t="shared" si="27"/>
        <v>6123</v>
      </c>
      <c r="S376" s="154">
        <f t="shared" si="27"/>
        <v>0</v>
      </c>
      <c r="T376" s="156">
        <f>+VLOOKUP($L376,Data_Validation!$A:$D,1,0)</f>
        <v>6723</v>
      </c>
      <c r="U376" s="156" t="str">
        <f>+VLOOKUP($L376,Data_Validation!$A:$D,3,0)</f>
        <v>Pièces</v>
      </c>
      <c r="V376" s="156" t="str">
        <f>+VLOOKUP($L376,Data_Validation!$A:$D,4,0)</f>
        <v>Salaires commis</v>
      </c>
      <c r="W376" s="156" t="str">
        <f>+VLOOKUP($L376,Data_Validation!$A:$E,5,0)</f>
        <v>$</v>
      </c>
      <c r="X376" s="156">
        <f>+VLOOKUP($L376,Data_Validation!$A:$F,6,0)</f>
        <v>0</v>
      </c>
    </row>
    <row r="377" spans="1:24" ht="15" hidden="1" customHeight="1">
      <c r="A377" s="1002" t="s">
        <v>1249</v>
      </c>
      <c r="B377" s="1145">
        <v>6724</v>
      </c>
      <c r="C377" s="1004">
        <v>0</v>
      </c>
      <c r="D377" s="1004">
        <v>23019.06</v>
      </c>
      <c r="E377" s="1004">
        <v>23019.06</v>
      </c>
      <c r="F377" s="1002" t="s">
        <v>401</v>
      </c>
      <c r="G377" s="1002" t="s">
        <v>2730</v>
      </c>
      <c r="H377" s="961"/>
      <c r="I377" s="964"/>
      <c r="J377" s="964"/>
      <c r="K377" s="964"/>
      <c r="L377" s="153">
        <f t="shared" si="18"/>
        <v>6724</v>
      </c>
      <c r="M377" s="154" t="str">
        <f t="shared" si="19"/>
        <v>SALAIRES &amp; RENUM. - AUTRES</v>
      </c>
      <c r="N377" s="155">
        <f>+IF(OR($Q377=Parametres!$G$2,$Q377=Parametres!$G$3),I377,C377)</f>
        <v>0</v>
      </c>
      <c r="O377" s="155">
        <f>+IF(OR($Q377=Parametres!$G$2,$Q377=Parametres!$G$3),J377,D377)</f>
        <v>23019.06</v>
      </c>
      <c r="P377" s="155">
        <f>+IF(OR($Q377=Parametres!$G$2,$Q377=Parametres!$G$3),K377,E377)</f>
        <v>23019.06</v>
      </c>
      <c r="Q377" s="154" t="str">
        <f t="shared" si="27"/>
        <v>7-Dépenses</v>
      </c>
      <c r="R377" s="153" t="str">
        <f t="shared" si="27"/>
        <v>6124</v>
      </c>
      <c r="S377" s="154">
        <f t="shared" si="27"/>
        <v>0</v>
      </c>
      <c r="T377" s="156">
        <f>+VLOOKUP($L377,Data_Validation!$A:$D,1,0)</f>
        <v>6724</v>
      </c>
      <c r="U377" s="156" t="str">
        <f>+VLOOKUP($L377,Data_Validation!$A:$D,3,0)</f>
        <v>Pièces</v>
      </c>
      <c r="V377" s="156" t="str">
        <f>+VLOOKUP($L377,Data_Validation!$A:$D,4,0)</f>
        <v>Salaires autres</v>
      </c>
      <c r="W377" s="156" t="str">
        <f>+VLOOKUP($L377,Data_Validation!$A:$E,5,0)</f>
        <v>$</v>
      </c>
      <c r="X377" s="156">
        <f>+VLOOKUP($L377,Data_Validation!$A:$F,6,0)</f>
        <v>0</v>
      </c>
    </row>
    <row r="378" spans="1:24" ht="15" hidden="1" customHeight="1">
      <c r="A378" s="1002" t="s">
        <v>1328</v>
      </c>
      <c r="B378" s="1145">
        <v>6729</v>
      </c>
      <c r="C378" s="1004">
        <v>0</v>
      </c>
      <c r="D378" s="1004">
        <v>2490.75</v>
      </c>
      <c r="E378" s="1004">
        <v>2490.75</v>
      </c>
      <c r="F378" s="1002" t="s">
        <v>401</v>
      </c>
      <c r="G378" s="1002" t="s">
        <v>2636</v>
      </c>
      <c r="H378" s="961"/>
      <c r="I378" s="964"/>
      <c r="J378" s="964"/>
      <c r="K378" s="964"/>
      <c r="L378" s="153">
        <f t="shared" si="18"/>
        <v>6729</v>
      </c>
      <c r="M378" s="154" t="str">
        <f t="shared" si="19"/>
        <v>ABSENCES, VACANCES, ETC</v>
      </c>
      <c r="N378" s="155">
        <f>+IF(OR($Q378=Parametres!$G$2,$Q378=Parametres!$G$3),I378,C378)</f>
        <v>0</v>
      </c>
      <c r="O378" s="155">
        <f>+IF(OR($Q378=Parametres!$G$2,$Q378=Parametres!$G$3),J378,D378)</f>
        <v>2490.75</v>
      </c>
      <c r="P378" s="155">
        <f>+IF(OR($Q378=Parametres!$G$2,$Q378=Parametres!$G$3),K378,E378)</f>
        <v>2490.75</v>
      </c>
      <c r="Q378" s="154" t="str">
        <f t="shared" si="27"/>
        <v>7-Dépenses</v>
      </c>
      <c r="R378" s="153" t="str">
        <f t="shared" si="27"/>
        <v>6129</v>
      </c>
      <c r="S378" s="154">
        <f t="shared" si="27"/>
        <v>0</v>
      </c>
      <c r="T378" s="156">
        <f>+VLOOKUP($L378,Data_Validation!$A:$D,1,0)</f>
        <v>6729</v>
      </c>
      <c r="U378" s="156" t="str">
        <f>+VLOOKUP($L378,Data_Validation!$A:$D,3,0)</f>
        <v>Pièces</v>
      </c>
      <c r="V378" s="156" t="str">
        <f>+VLOOKUP($L378,Data_Validation!$A:$D,4,0)</f>
        <v>Salaires en absences</v>
      </c>
      <c r="W378" s="156" t="str">
        <f>+VLOOKUP($L378,Data_Validation!$A:$E,5,0)</f>
        <v>$</v>
      </c>
      <c r="X378" s="156">
        <f>+VLOOKUP($L378,Data_Validation!$A:$F,6,0)</f>
        <v>0</v>
      </c>
    </row>
    <row r="379" spans="1:24" ht="15.75" hidden="1" customHeight="1">
      <c r="A379" s="1002" t="s">
        <v>1283</v>
      </c>
      <c r="B379" s="1145">
        <v>6732</v>
      </c>
      <c r="C379" s="1004">
        <v>0</v>
      </c>
      <c r="D379" s="1004">
        <v>5020.3100000000004</v>
      </c>
      <c r="E379" s="1004">
        <v>5020.3100000000004</v>
      </c>
      <c r="F379" s="1002" t="s">
        <v>401</v>
      </c>
      <c r="G379" s="1002" t="s">
        <v>2680</v>
      </c>
      <c r="H379" s="961"/>
      <c r="I379" s="964"/>
      <c r="J379" s="964"/>
      <c r="K379" s="964"/>
      <c r="L379" s="153">
        <f t="shared" si="18"/>
        <v>6732</v>
      </c>
      <c r="M379" s="154" t="str">
        <f t="shared" si="19"/>
        <v>RRQ RAMQ AC</v>
      </c>
      <c r="N379" s="155">
        <f>+IF(OR($Q379=Parametres!$G$2,$Q379=Parametres!$G$3),I379,C379)</f>
        <v>0</v>
      </c>
      <c r="O379" s="155">
        <f>+IF(OR($Q379=Parametres!$G$2,$Q379=Parametres!$G$3),J379,D379)</f>
        <v>5020.3100000000004</v>
      </c>
      <c r="P379" s="155">
        <f>+IF(OR($Q379=Parametres!$G$2,$Q379=Parametres!$G$3),K379,E379)</f>
        <v>5020.3100000000004</v>
      </c>
      <c r="Q379" s="154" t="str">
        <f t="shared" si="27"/>
        <v>7-Dépenses</v>
      </c>
      <c r="R379" s="153" t="str">
        <f t="shared" si="27"/>
        <v>6132</v>
      </c>
      <c r="S379" s="154">
        <f t="shared" si="27"/>
        <v>0</v>
      </c>
      <c r="T379" s="156">
        <f>+VLOOKUP($L379,Data_Validation!$A:$D,1,0)</f>
        <v>6732</v>
      </c>
      <c r="U379" s="156" t="str">
        <f>+VLOOKUP($L379,Data_Validation!$A:$D,3,0)</f>
        <v>Pièces</v>
      </c>
      <c r="V379" s="156" t="str">
        <f>+VLOOKUP($L379,Data_Validation!$A:$D,4,0)</f>
        <v>Csst</v>
      </c>
      <c r="W379" s="156" t="str">
        <f>+VLOOKUP($L379,Data_Validation!$A:$E,5,0)</f>
        <v>$</v>
      </c>
      <c r="X379" s="156">
        <f>+VLOOKUP($L379,Data_Validation!$A:$F,6,0)</f>
        <v>0</v>
      </c>
    </row>
    <row r="380" spans="1:24" ht="15" hidden="1" customHeight="1">
      <c r="A380" s="1002" t="s">
        <v>1164</v>
      </c>
      <c r="B380" s="1145">
        <v>6733</v>
      </c>
      <c r="C380" s="1004">
        <v>0</v>
      </c>
      <c r="D380" s="1004">
        <v>36.33</v>
      </c>
      <c r="E380" s="1004">
        <v>36.33</v>
      </c>
      <c r="F380" s="1002" t="s">
        <v>401</v>
      </c>
      <c r="G380" s="1002" t="s">
        <v>2574</v>
      </c>
      <c r="H380" s="961"/>
      <c r="I380" s="964"/>
      <c r="J380" s="964"/>
      <c r="K380" s="964"/>
      <c r="L380" s="153">
        <f t="shared" si="18"/>
        <v>6733</v>
      </c>
      <c r="M380" s="154" t="str">
        <f t="shared" si="19"/>
        <v>FOND PENSION - PIECES</v>
      </c>
      <c r="N380" s="155">
        <f>+IF(OR($Q380=Parametres!$G$2,$Q380=Parametres!$G$3),I380,C380)</f>
        <v>0</v>
      </c>
      <c r="O380" s="155">
        <f>+IF(OR($Q380=Parametres!$G$2,$Q380=Parametres!$G$3),J380,D380)</f>
        <v>36.33</v>
      </c>
      <c r="P380" s="155">
        <f>+IF(OR($Q380=Parametres!$G$2,$Q380=Parametres!$G$3),K380,E380)</f>
        <v>36.33</v>
      </c>
      <c r="Q380" s="154" t="str">
        <f t="shared" si="27"/>
        <v>7-Dépenses</v>
      </c>
      <c r="R380" s="153" t="str">
        <f t="shared" si="27"/>
        <v>6133</v>
      </c>
      <c r="S380" s="154">
        <f t="shared" si="27"/>
        <v>0</v>
      </c>
      <c r="T380" s="156">
        <f>+VLOOKUP($L380,Data_Validation!$A:$D,1,0)</f>
        <v>6733</v>
      </c>
      <c r="U380" s="156" t="str">
        <f>+VLOOKUP($L380,Data_Validation!$A:$D,3,0)</f>
        <v>Pièces</v>
      </c>
      <c r="V380" s="156" t="str">
        <f>+VLOOKUP($L380,Data_Validation!$A:$D,4,0)</f>
        <v>Déduction à la source</v>
      </c>
      <c r="W380" s="156" t="str">
        <f>+VLOOKUP($L380,Data_Validation!$A:$E,5,0)</f>
        <v>$</v>
      </c>
      <c r="X380" s="156">
        <f>+VLOOKUP($L380,Data_Validation!$A:$F,6,0)</f>
        <v>0</v>
      </c>
    </row>
    <row r="381" spans="1:24" ht="15" hidden="1" customHeight="1">
      <c r="A381" s="1002" t="s">
        <v>1305</v>
      </c>
      <c r="B381" s="1145">
        <v>6739</v>
      </c>
      <c r="C381" s="1004">
        <v>0</v>
      </c>
      <c r="D381" s="1004">
        <v>4575.01</v>
      </c>
      <c r="E381" s="1004">
        <v>4575.01</v>
      </c>
      <c r="F381" s="1002" t="s">
        <v>401</v>
      </c>
      <c r="G381" s="1002" t="s">
        <v>2689</v>
      </c>
      <c r="H381" s="961"/>
      <c r="I381" s="964"/>
      <c r="J381" s="964"/>
      <c r="K381" s="964"/>
      <c r="L381" s="153">
        <f t="shared" si="18"/>
        <v>6739</v>
      </c>
      <c r="M381" s="154" t="str">
        <f t="shared" si="19"/>
        <v>ASSURANCE GROUPE</v>
      </c>
      <c r="N381" s="155">
        <f>+IF(OR($Q381=Parametres!$G$2,$Q381=Parametres!$G$3),I381,C381)</f>
        <v>0</v>
      </c>
      <c r="O381" s="155">
        <f>+IF(OR($Q381=Parametres!$G$2,$Q381=Parametres!$G$3),J381,D381)</f>
        <v>4575.01</v>
      </c>
      <c r="P381" s="155">
        <f>+IF(OR($Q381=Parametres!$G$2,$Q381=Parametres!$G$3),K381,E381)</f>
        <v>4575.01</v>
      </c>
      <c r="Q381" s="154" t="str">
        <f t="shared" si="27"/>
        <v>7-Dépenses</v>
      </c>
      <c r="R381" s="153" t="str">
        <f t="shared" si="27"/>
        <v>6139</v>
      </c>
      <c r="S381" s="154">
        <f t="shared" si="27"/>
        <v>0</v>
      </c>
      <c r="T381" s="156">
        <f>+VLOOKUP($L381,Data_Validation!$A:$D,1,0)</f>
        <v>6739</v>
      </c>
      <c r="U381" s="156" t="str">
        <f>+VLOOKUP($L381,Data_Validation!$A:$D,3,0)</f>
        <v>Pièces</v>
      </c>
      <c r="V381" s="156" t="str">
        <f>+VLOOKUP($L381,Data_Validation!$A:$D,4,0)</f>
        <v>Bénéfices marginaux</v>
      </c>
      <c r="W381" s="156" t="str">
        <f>+VLOOKUP($L381,Data_Validation!$A:$E,5,0)</f>
        <v>$</v>
      </c>
      <c r="X381" s="156">
        <f>+VLOOKUP($L381,Data_Validation!$A:$F,6,0)</f>
        <v>0</v>
      </c>
    </row>
    <row r="382" spans="1:24" ht="15" hidden="1" customHeight="1">
      <c r="A382" s="1002" t="s">
        <v>1157</v>
      </c>
      <c r="B382" s="1145">
        <v>6742</v>
      </c>
      <c r="C382" s="1004">
        <v>0</v>
      </c>
      <c r="D382" s="1004">
        <v>164.65</v>
      </c>
      <c r="E382" s="1004">
        <v>164.65</v>
      </c>
      <c r="F382" s="1002" t="s">
        <v>401</v>
      </c>
      <c r="G382" s="1002" t="s">
        <v>2558</v>
      </c>
      <c r="H382" s="961"/>
      <c r="I382" s="964"/>
      <c r="J382" s="964"/>
      <c r="K382" s="964"/>
      <c r="L382" s="153">
        <f t="shared" si="18"/>
        <v>6742</v>
      </c>
      <c r="M382" s="154" t="str">
        <f t="shared" si="19"/>
        <v>FOURNITURES &amp; PETITS OUTILS</v>
      </c>
      <c r="N382" s="155">
        <f>+IF(OR($Q382=Parametres!$G$2,$Q382=Parametres!$G$3),I382,C382)</f>
        <v>0</v>
      </c>
      <c r="O382" s="155">
        <f>+IF(OR($Q382=Parametres!$G$2,$Q382=Parametres!$G$3),J382,D382)</f>
        <v>164.65</v>
      </c>
      <c r="P382" s="155">
        <f>+IF(OR($Q382=Parametres!$G$2,$Q382=Parametres!$G$3),K382,E382)</f>
        <v>164.65</v>
      </c>
      <c r="Q382" s="154" t="str">
        <f t="shared" si="27"/>
        <v>7-Dépenses</v>
      </c>
      <c r="R382" s="153" t="str">
        <f t="shared" si="27"/>
        <v>6142</v>
      </c>
      <c r="S382" s="154">
        <f t="shared" si="27"/>
        <v>0</v>
      </c>
      <c r="T382" s="156">
        <f>+VLOOKUP($L382,Data_Validation!$A:$D,1,0)</f>
        <v>6742</v>
      </c>
      <c r="U382" s="156" t="str">
        <f>+VLOOKUP($L382,Data_Validation!$A:$D,3,0)</f>
        <v>Pièces</v>
      </c>
      <c r="V382" s="156" t="str">
        <f>+VLOOKUP($L382,Data_Validation!$A:$D,4,0)</f>
        <v>Fournitures autres</v>
      </c>
      <c r="W382" s="156" t="str">
        <f>+VLOOKUP($L382,Data_Validation!$A:$E,5,0)</f>
        <v>$</v>
      </c>
      <c r="X382" s="156">
        <f>+VLOOKUP($L382,Data_Validation!$A:$F,6,0)</f>
        <v>0</v>
      </c>
    </row>
    <row r="383" spans="1:24" ht="15.75" hidden="1" customHeight="1">
      <c r="A383" s="1002" t="s">
        <v>934</v>
      </c>
      <c r="B383" s="1145">
        <v>6744</v>
      </c>
      <c r="C383" s="1004">
        <v>0</v>
      </c>
      <c r="D383" s="1004">
        <v>22.14</v>
      </c>
      <c r="E383" s="1004">
        <v>22.14</v>
      </c>
      <c r="F383" s="1002" t="s">
        <v>401</v>
      </c>
      <c r="G383" s="1002" t="s">
        <v>2556</v>
      </c>
      <c r="H383" s="961"/>
      <c r="I383" s="964"/>
      <c r="J383" s="964"/>
      <c r="K383" s="964"/>
      <c r="L383" s="153">
        <f t="shared" si="18"/>
        <v>6744</v>
      </c>
      <c r="M383" s="154" t="str">
        <f t="shared" si="19"/>
        <v>FORMATION</v>
      </c>
      <c r="N383" s="155">
        <f>+IF(OR($Q383=Parametres!$G$2,$Q383=Parametres!$G$3),I383,C383)</f>
        <v>0</v>
      </c>
      <c r="O383" s="155">
        <f>+IF(OR($Q383=Parametres!$G$2,$Q383=Parametres!$G$3),J383,D383)</f>
        <v>22.14</v>
      </c>
      <c r="P383" s="155">
        <f>+IF(OR($Q383=Parametres!$G$2,$Q383=Parametres!$G$3),K383,E383)</f>
        <v>22.14</v>
      </c>
      <c r="Q383" s="154" t="str">
        <f t="shared" si="27"/>
        <v>7-Dépenses</v>
      </c>
      <c r="R383" s="153" t="str">
        <f t="shared" si="27"/>
        <v>6144</v>
      </c>
      <c r="S383" s="154">
        <f t="shared" si="27"/>
        <v>0</v>
      </c>
      <c r="T383" s="156">
        <f>+VLOOKUP($L383,Data_Validation!$A:$D,1,0)</f>
        <v>6744</v>
      </c>
      <c r="U383" s="156" t="str">
        <f>+VLOOKUP($L383,Data_Validation!$A:$D,3,0)</f>
        <v>Pièces</v>
      </c>
      <c r="V383" s="156" t="str">
        <f>+VLOOKUP($L383,Data_Validation!$A:$D,4,0)</f>
        <v>Formation</v>
      </c>
      <c r="W383" s="156" t="str">
        <f>+VLOOKUP($L383,Data_Validation!$A:$E,5,0)</f>
        <v>$</v>
      </c>
      <c r="X383" s="156">
        <f>+VLOOKUP($L383,Data_Validation!$A:$F,6,0)</f>
        <v>0</v>
      </c>
    </row>
    <row r="384" spans="1:24" ht="15" hidden="1" customHeight="1">
      <c r="A384" s="1002" t="s">
        <v>1186</v>
      </c>
      <c r="B384" s="1145">
        <v>6745</v>
      </c>
      <c r="C384" s="1004">
        <v>0</v>
      </c>
      <c r="D384" s="1004">
        <v>290.89</v>
      </c>
      <c r="E384" s="1004">
        <v>290.89</v>
      </c>
      <c r="F384" s="1002" t="s">
        <v>401</v>
      </c>
      <c r="G384" s="1002" t="s">
        <v>2627</v>
      </c>
      <c r="H384" s="961"/>
      <c r="I384" s="964"/>
      <c r="J384" s="964"/>
      <c r="K384" s="964"/>
      <c r="L384" s="153">
        <f t="shared" si="18"/>
        <v>6745</v>
      </c>
      <c r="M384" s="154" t="str">
        <f t="shared" si="19"/>
        <v>VEHICULE DE COMPAGNIE - DEPENS</v>
      </c>
      <c r="N384" s="155">
        <f>+IF(OR($Q384=Parametres!$G$2,$Q384=Parametres!$G$3),I384,C384)</f>
        <v>0</v>
      </c>
      <c r="O384" s="155">
        <f>+IF(OR($Q384=Parametres!$G$2,$Q384=Parametres!$G$3),J384,D384)</f>
        <v>290.89</v>
      </c>
      <c r="P384" s="155">
        <f>+IF(OR($Q384=Parametres!$G$2,$Q384=Parametres!$G$3),K384,E384)</f>
        <v>290.89</v>
      </c>
      <c r="Q384" s="154" t="str">
        <f t="shared" si="27"/>
        <v>7-Dépenses</v>
      </c>
      <c r="R384" s="153" t="str">
        <f t="shared" si="27"/>
        <v>6145</v>
      </c>
      <c r="S384" s="154">
        <f t="shared" si="27"/>
        <v>0</v>
      </c>
      <c r="T384" s="156">
        <f>+VLOOKUP($L384,Data_Validation!$A:$D,1,0)</f>
        <v>6745</v>
      </c>
      <c r="U384" s="156" t="str">
        <f>+VLOOKUP($L384,Data_Validation!$A:$D,3,0)</f>
        <v>Pièces</v>
      </c>
      <c r="V384" s="156" t="str">
        <f>+VLOOKUP($L384,Data_Validation!$A:$D,4,0)</f>
        <v>Frais véhicules de cie</v>
      </c>
      <c r="W384" s="156" t="str">
        <f>+VLOOKUP($L384,Data_Validation!$A:$E,5,0)</f>
        <v>$</v>
      </c>
      <c r="X384" s="156">
        <f>+VLOOKUP($L384,Data_Validation!$A:$F,6,0)</f>
        <v>0</v>
      </c>
    </row>
    <row r="385" spans="1:24" ht="15" hidden="1" customHeight="1">
      <c r="A385" s="1002" t="s">
        <v>1180</v>
      </c>
      <c r="B385" s="1145">
        <v>6747</v>
      </c>
      <c r="C385" s="1004">
        <v>0</v>
      </c>
      <c r="D385" s="1004">
        <v>15.97</v>
      </c>
      <c r="E385" s="1004">
        <v>15.97</v>
      </c>
      <c r="F385" s="1002" t="s">
        <v>401</v>
      </c>
      <c r="G385" s="1002" t="s">
        <v>2576</v>
      </c>
      <c r="H385" s="961"/>
      <c r="I385" s="964"/>
      <c r="J385" s="964"/>
      <c r="K385" s="964"/>
      <c r="L385" s="153">
        <f t="shared" si="18"/>
        <v>6747</v>
      </c>
      <c r="M385" s="154" t="str">
        <f t="shared" si="19"/>
        <v>FRET/EXPRESS/TRANS. PAR CAMION</v>
      </c>
      <c r="N385" s="155">
        <f>+IF(OR($Q385=Parametres!$G$2,$Q385=Parametres!$G$3),I385,C385)</f>
        <v>0</v>
      </c>
      <c r="O385" s="155">
        <f>+IF(OR($Q385=Parametres!$G$2,$Q385=Parametres!$G$3),J385,D385)</f>
        <v>15.97</v>
      </c>
      <c r="P385" s="155">
        <f>+IF(OR($Q385=Parametres!$G$2,$Q385=Parametres!$G$3),K385,E385)</f>
        <v>15.97</v>
      </c>
      <c r="Q385" s="154" t="str">
        <f t="shared" si="27"/>
        <v>7-Dépenses</v>
      </c>
      <c r="R385" s="153" t="str">
        <f t="shared" si="27"/>
        <v>6147</v>
      </c>
      <c r="S385" s="154">
        <f t="shared" si="27"/>
        <v>0</v>
      </c>
      <c r="T385" s="156">
        <f>+VLOOKUP($L385,Data_Validation!$A:$D,1,0)</f>
        <v>6747</v>
      </c>
      <c r="U385" s="156" t="str">
        <f>+VLOOKUP($L385,Data_Validation!$A:$D,3,0)</f>
        <v>Pièces</v>
      </c>
      <c r="V385" s="156" t="str">
        <f>+VLOOKUP($L385,Data_Validation!$A:$D,4,0)</f>
        <v>Frais postaux</v>
      </c>
      <c r="W385" s="156" t="str">
        <f>+VLOOKUP($L385,Data_Validation!$A:$E,5,0)</f>
        <v>$</v>
      </c>
      <c r="X385" s="156">
        <f>+VLOOKUP($L385,Data_Validation!$A:$F,6,0)</f>
        <v>0</v>
      </c>
    </row>
    <row r="386" spans="1:24" ht="15" hidden="1" customHeight="1">
      <c r="A386" s="1002" t="s">
        <v>1286</v>
      </c>
      <c r="B386" s="1145">
        <v>6751</v>
      </c>
      <c r="C386" s="1004">
        <v>0</v>
      </c>
      <c r="D386" s="1004">
        <v>3781.12</v>
      </c>
      <c r="E386" s="1004">
        <v>3781.12</v>
      </c>
      <c r="F386" s="1002" t="s">
        <v>401</v>
      </c>
      <c r="G386" s="1002" t="s">
        <v>2697</v>
      </c>
      <c r="H386" s="961"/>
      <c r="I386" s="964"/>
      <c r="J386" s="964"/>
      <c r="K386" s="964"/>
      <c r="L386" s="153">
        <f t="shared" si="18"/>
        <v>6751</v>
      </c>
      <c r="M386" s="154" t="str">
        <f t="shared" si="19"/>
        <v>DEP. DU TRAITEMENT DES DONNEES</v>
      </c>
      <c r="N386" s="155">
        <f>+IF(OR($Q386=Parametres!$G$2,$Q386=Parametres!$G$3),I386,C386)</f>
        <v>0</v>
      </c>
      <c r="O386" s="155">
        <f>+IF(OR($Q386=Parametres!$G$2,$Q386=Parametres!$G$3),J386,D386)</f>
        <v>3781.12</v>
      </c>
      <c r="P386" s="155">
        <f>+IF(OR($Q386=Parametres!$G$2,$Q386=Parametres!$G$3),K386,E386)</f>
        <v>3781.12</v>
      </c>
      <c r="Q386" s="154" t="str">
        <f t="shared" ref="Q386:S401" si="28">+F386</f>
        <v>7-Dépenses</v>
      </c>
      <c r="R386" s="153" t="str">
        <f t="shared" si="28"/>
        <v>6151</v>
      </c>
      <c r="S386" s="154">
        <f t="shared" si="28"/>
        <v>0</v>
      </c>
      <c r="T386" s="156">
        <f>+VLOOKUP($L386,Data_Validation!$A:$D,1,0)</f>
        <v>6751</v>
      </c>
      <c r="U386" s="156" t="str">
        <f>+VLOOKUP($L386,Data_Validation!$A:$D,3,0)</f>
        <v>Pièces</v>
      </c>
      <c r="V386" s="156" t="str">
        <f>+VLOOKUP($L386,Data_Validation!$A:$D,4,0)</f>
        <v>Informatique</v>
      </c>
      <c r="W386" s="156" t="str">
        <f>+VLOOKUP($L386,Data_Validation!$A:$E,5,0)</f>
        <v>$</v>
      </c>
      <c r="X386" s="156">
        <f>+VLOOKUP($L386,Data_Validation!$A:$F,6,0)</f>
        <v>0</v>
      </c>
    </row>
    <row r="387" spans="1:24" ht="15.75" hidden="1" customHeight="1">
      <c r="A387" s="1002" t="s">
        <v>1206</v>
      </c>
      <c r="B387" s="1145">
        <v>6752</v>
      </c>
      <c r="C387" s="1004">
        <v>0</v>
      </c>
      <c r="D387" s="1004">
        <v>424.01</v>
      </c>
      <c r="E387" s="1004">
        <v>424.01</v>
      </c>
      <c r="F387" s="1002" t="s">
        <v>401</v>
      </c>
      <c r="G387" s="1002" t="s">
        <v>2583</v>
      </c>
      <c r="H387" s="961"/>
      <c r="I387" s="964"/>
      <c r="J387" s="964"/>
      <c r="K387" s="964"/>
      <c r="L387" s="153">
        <f t="shared" si="18"/>
        <v>6752</v>
      </c>
      <c r="M387" s="154" t="str">
        <f t="shared" si="19"/>
        <v>PAPETERIE</v>
      </c>
      <c r="N387" s="155">
        <f>+IF(OR($Q387=Parametres!$G$2,$Q387=Parametres!$G$3),I387,C387)</f>
        <v>0</v>
      </c>
      <c r="O387" s="155">
        <f>+IF(OR($Q387=Parametres!$G$2,$Q387=Parametres!$G$3),J387,D387)</f>
        <v>424.01</v>
      </c>
      <c r="P387" s="155">
        <f>+IF(OR($Q387=Parametres!$G$2,$Q387=Parametres!$G$3),K387,E387)</f>
        <v>424.01</v>
      </c>
      <c r="Q387" s="154" t="str">
        <f t="shared" si="28"/>
        <v>7-Dépenses</v>
      </c>
      <c r="R387" s="153" t="str">
        <f t="shared" si="28"/>
        <v>6152</v>
      </c>
      <c r="S387" s="154">
        <f t="shared" si="28"/>
        <v>0</v>
      </c>
      <c r="T387" s="156">
        <f>+VLOOKUP($L387,Data_Validation!$A:$D,1,0)</f>
        <v>6752</v>
      </c>
      <c r="U387" s="156" t="str">
        <f>+VLOOKUP($L387,Data_Validation!$A:$D,3,0)</f>
        <v>Pièces</v>
      </c>
      <c r="V387" s="156" t="str">
        <f>+VLOOKUP($L387,Data_Validation!$A:$D,4,0)</f>
        <v>Papeterie</v>
      </c>
      <c r="W387" s="156" t="str">
        <f>+VLOOKUP($L387,Data_Validation!$A:$E,5,0)</f>
        <v>$</v>
      </c>
      <c r="X387" s="156">
        <f>+VLOOKUP($L387,Data_Validation!$A:$F,6,0)</f>
        <v>0</v>
      </c>
    </row>
    <row r="388" spans="1:24" ht="15" hidden="1" customHeight="1">
      <c r="A388" s="1002" t="s">
        <v>1154</v>
      </c>
      <c r="B388" s="1145">
        <v>6753</v>
      </c>
      <c r="C388" s="1004">
        <v>0</v>
      </c>
      <c r="D388" s="1004">
        <v>256.82</v>
      </c>
      <c r="E388" s="1004">
        <v>256.82</v>
      </c>
      <c r="F388" s="1002" t="s">
        <v>401</v>
      </c>
      <c r="G388" s="1002" t="s">
        <v>2587</v>
      </c>
      <c r="H388" s="961"/>
      <c r="I388" s="964"/>
      <c r="J388" s="964"/>
      <c r="K388" s="964"/>
      <c r="L388" s="153">
        <f t="shared" si="18"/>
        <v>6753</v>
      </c>
      <c r="M388" s="154" t="str">
        <f t="shared" si="19"/>
        <v>TELEPHONE ET TELEX</v>
      </c>
      <c r="N388" s="155">
        <f>+IF(OR($Q388=Parametres!$G$2,$Q388=Parametres!$G$3),I388,C388)</f>
        <v>0</v>
      </c>
      <c r="O388" s="155">
        <f>+IF(OR($Q388=Parametres!$G$2,$Q388=Parametres!$G$3),J388,D388)</f>
        <v>256.82</v>
      </c>
      <c r="P388" s="155">
        <f>+IF(OR($Q388=Parametres!$G$2,$Q388=Parametres!$G$3),K388,E388)</f>
        <v>256.82</v>
      </c>
      <c r="Q388" s="154" t="str">
        <f t="shared" si="28"/>
        <v>7-Dépenses</v>
      </c>
      <c r="R388" s="153" t="str">
        <f t="shared" si="28"/>
        <v>6153</v>
      </c>
      <c r="S388" s="154">
        <f t="shared" si="28"/>
        <v>0</v>
      </c>
      <c r="T388" s="156">
        <f>+VLOOKUP($L388,Data_Validation!$A:$D,1,0)</f>
        <v>6753</v>
      </c>
      <c r="U388" s="156" t="str">
        <f>+VLOOKUP($L388,Data_Validation!$A:$D,3,0)</f>
        <v>Pièces</v>
      </c>
      <c r="V388" s="156" t="str">
        <f>+VLOOKUP($L388,Data_Validation!$A:$D,4,0)</f>
        <v>Téléphone</v>
      </c>
      <c r="W388" s="156" t="str">
        <f>+VLOOKUP($L388,Data_Validation!$A:$E,5,0)</f>
        <v>$</v>
      </c>
      <c r="X388" s="156">
        <f>+VLOOKUP($L388,Data_Validation!$A:$F,6,0)</f>
        <v>0</v>
      </c>
    </row>
    <row r="389" spans="1:24" ht="15" hidden="1" customHeight="1">
      <c r="A389" s="1002" t="s">
        <v>1237</v>
      </c>
      <c r="B389" s="1145">
        <v>6755</v>
      </c>
      <c r="C389" s="1004">
        <v>0</v>
      </c>
      <c r="D389" s="1004">
        <v>197.1</v>
      </c>
      <c r="E389" s="1004">
        <v>197.1</v>
      </c>
      <c r="F389" s="1002" t="s">
        <v>401</v>
      </c>
      <c r="G389" s="1002" t="s">
        <v>2632</v>
      </c>
      <c r="H389" s="961"/>
      <c r="I389" s="964"/>
      <c r="J389" s="964"/>
      <c r="K389" s="964"/>
      <c r="L389" s="153">
        <f t="shared" si="18"/>
        <v>6755</v>
      </c>
      <c r="M389" s="154" t="str">
        <f t="shared" si="19"/>
        <v>DEPENSES DIVERS</v>
      </c>
      <c r="N389" s="155">
        <f>+IF(OR($Q389=Parametres!$G$2,$Q389=Parametres!$G$3),I389,C389)</f>
        <v>0</v>
      </c>
      <c r="O389" s="155">
        <f>+IF(OR($Q389=Parametres!$G$2,$Q389=Parametres!$G$3),J389,D389)</f>
        <v>197.1</v>
      </c>
      <c r="P389" s="155">
        <f>+IF(OR($Q389=Parametres!$G$2,$Q389=Parametres!$G$3),K389,E389)</f>
        <v>197.1</v>
      </c>
      <c r="Q389" s="154" t="str">
        <f t="shared" si="28"/>
        <v>7-Dépenses</v>
      </c>
      <c r="R389" s="153" t="str">
        <f t="shared" si="28"/>
        <v>6155</v>
      </c>
      <c r="S389" s="154">
        <f t="shared" si="28"/>
        <v>0</v>
      </c>
      <c r="T389" s="156">
        <f>+VLOOKUP($L389,Data_Validation!$A:$D,1,0)</f>
        <v>6755</v>
      </c>
      <c r="U389" s="156" t="str">
        <f>+VLOOKUP($L389,Data_Validation!$A:$D,3,0)</f>
        <v>Pièces</v>
      </c>
      <c r="V389" s="156" t="str">
        <f>+VLOOKUP($L389,Data_Validation!$A:$D,4,0)</f>
        <v>Divers</v>
      </c>
      <c r="W389" s="156" t="str">
        <f>+VLOOKUP($L389,Data_Validation!$A:$E,5,0)</f>
        <v>$</v>
      </c>
      <c r="X389" s="156">
        <f>+VLOOKUP($L389,Data_Validation!$A:$F,6,0)</f>
        <v>0</v>
      </c>
    </row>
    <row r="390" spans="1:24" ht="15" hidden="1" customHeight="1">
      <c r="A390" s="1002" t="s">
        <v>1294</v>
      </c>
      <c r="B390" s="1145">
        <v>6756</v>
      </c>
      <c r="C390" s="1004">
        <v>0</v>
      </c>
      <c r="D390" s="1004">
        <v>48.43</v>
      </c>
      <c r="E390" s="1004">
        <v>48.43</v>
      </c>
      <c r="F390" s="1002" t="s">
        <v>401</v>
      </c>
      <c r="G390" s="1002" t="s">
        <v>2465</v>
      </c>
      <c r="H390" s="961"/>
      <c r="I390" s="964"/>
      <c r="J390" s="964"/>
      <c r="K390" s="964"/>
      <c r="L390" s="153">
        <f t="shared" si="18"/>
        <v>6756</v>
      </c>
      <c r="M390" s="154" t="str">
        <f t="shared" si="19"/>
        <v>FRAIS REPRESENTATION - PIECES</v>
      </c>
      <c r="N390" s="155">
        <f>+IF(OR($Q390=Parametres!$G$2,$Q390=Parametres!$G$3),I390,C390)</f>
        <v>0</v>
      </c>
      <c r="O390" s="155">
        <f>+IF(OR($Q390=Parametres!$G$2,$Q390=Parametres!$G$3),J390,D390)</f>
        <v>48.43</v>
      </c>
      <c r="P390" s="155">
        <f>+IF(OR($Q390=Parametres!$G$2,$Q390=Parametres!$G$3),K390,E390)</f>
        <v>48.43</v>
      </c>
      <c r="Q390" s="154" t="str">
        <f t="shared" si="28"/>
        <v>7-Dépenses</v>
      </c>
      <c r="R390" s="153" t="str">
        <f t="shared" si="28"/>
        <v>6156</v>
      </c>
      <c r="S390" s="154">
        <f t="shared" si="28"/>
        <v>0</v>
      </c>
      <c r="T390" s="156">
        <f>+VLOOKUP($L390,Data_Validation!$A:$D,1,0)</f>
        <v>6756</v>
      </c>
      <c r="U390" s="156" t="str">
        <f>+VLOOKUP($L390,Data_Validation!$A:$D,3,0)</f>
        <v>Pièces</v>
      </c>
      <c r="V390" s="156" t="str">
        <f>+VLOOKUP($L390,Data_Validation!$A:$D,4,0)</f>
        <v>Frais de déplacement</v>
      </c>
      <c r="W390" s="156" t="str">
        <f>+VLOOKUP($L390,Data_Validation!$A:$E,5,0)</f>
        <v>$</v>
      </c>
      <c r="X390" s="156">
        <f>+VLOOKUP($L390,Data_Validation!$A:$F,6,0)</f>
        <v>0</v>
      </c>
    </row>
    <row r="391" spans="1:24" ht="15.75" hidden="1" customHeight="1">
      <c r="A391" s="1002" t="s">
        <v>1308</v>
      </c>
      <c r="B391" s="1145">
        <v>6759</v>
      </c>
      <c r="C391" s="1004">
        <v>0</v>
      </c>
      <c r="D391" s="1004">
        <v>5169.6099999999997</v>
      </c>
      <c r="E391" s="1004">
        <v>5169.6099999999997</v>
      </c>
      <c r="F391" s="1002" t="s">
        <v>401</v>
      </c>
      <c r="G391" s="1002" t="s">
        <v>2657</v>
      </c>
      <c r="H391" s="961"/>
      <c r="I391" s="964"/>
      <c r="J391" s="964"/>
      <c r="K391" s="964"/>
      <c r="L391" s="153">
        <f t="shared" si="18"/>
        <v>6759</v>
      </c>
      <c r="M391" s="154" t="str">
        <f t="shared" si="19"/>
        <v>SERVICE EXTERIEUR</v>
      </c>
      <c r="N391" s="155">
        <f>+IF(OR($Q391=Parametres!$G$2,$Q391=Parametres!$G$3),I391,C391)</f>
        <v>0</v>
      </c>
      <c r="O391" s="155">
        <f>+IF(OR($Q391=Parametres!$G$2,$Q391=Parametres!$G$3),J391,D391)</f>
        <v>5169.6099999999997</v>
      </c>
      <c r="P391" s="155">
        <f>+IF(OR($Q391=Parametres!$G$2,$Q391=Parametres!$G$3),K391,E391)</f>
        <v>5169.6099999999997</v>
      </c>
      <c r="Q391" s="154" t="str">
        <f t="shared" si="28"/>
        <v>7-Dépenses</v>
      </c>
      <c r="R391" s="153" t="str">
        <f t="shared" si="28"/>
        <v>6159</v>
      </c>
      <c r="S391" s="154">
        <f t="shared" si="28"/>
        <v>0</v>
      </c>
      <c r="T391" s="156">
        <f>+VLOOKUP($L391,Data_Validation!$A:$D,1,0)</f>
        <v>6759</v>
      </c>
      <c r="U391" s="156" t="str">
        <f>+VLOOKUP($L391,Data_Validation!$A:$D,3,0)</f>
        <v>Pièces</v>
      </c>
      <c r="V391" s="156" t="str">
        <f>+VLOOKUP($L391,Data_Validation!$A:$D,4,0)</f>
        <v>Services extérieurs</v>
      </c>
      <c r="W391" s="156" t="str">
        <f>+VLOOKUP($L391,Data_Validation!$A:$E,5,0)</f>
        <v>$</v>
      </c>
      <c r="X391" s="156">
        <f>+VLOOKUP($L391,Data_Validation!$A:$F,6,0)</f>
        <v>0</v>
      </c>
    </row>
    <row r="392" spans="1:24" ht="15" hidden="1" customHeight="1">
      <c r="A392" s="1002" t="s">
        <v>1333</v>
      </c>
      <c r="B392" s="1145">
        <v>6761</v>
      </c>
      <c r="C392" s="1004">
        <v>0</v>
      </c>
      <c r="D392" s="1004">
        <v>2291.75</v>
      </c>
      <c r="E392" s="1004">
        <v>2291.75</v>
      </c>
      <c r="F392" s="1002" t="s">
        <v>401</v>
      </c>
      <c r="G392" s="1002" t="s">
        <v>2648</v>
      </c>
      <c r="H392" s="961"/>
      <c r="I392" s="964"/>
      <c r="J392" s="964"/>
      <c r="K392" s="964"/>
      <c r="L392" s="153">
        <f t="shared" si="18"/>
        <v>6761</v>
      </c>
      <c r="M392" s="154" t="str">
        <f t="shared" si="19"/>
        <v>DEPRECIATION EQUIP. &amp; FIXTURES</v>
      </c>
      <c r="N392" s="155">
        <f>+IF(OR($Q392=Parametres!$G$2,$Q392=Parametres!$G$3),I392,C392)</f>
        <v>0</v>
      </c>
      <c r="O392" s="155">
        <f>+IF(OR($Q392=Parametres!$G$2,$Q392=Parametres!$G$3),J392,D392)</f>
        <v>2291.75</v>
      </c>
      <c r="P392" s="155">
        <f>+IF(OR($Q392=Parametres!$G$2,$Q392=Parametres!$G$3),K392,E392)</f>
        <v>2291.75</v>
      </c>
      <c r="Q392" s="154" t="str">
        <f t="shared" si="28"/>
        <v>7-Dépenses</v>
      </c>
      <c r="R392" s="153" t="str">
        <f t="shared" si="28"/>
        <v>6161</v>
      </c>
      <c r="S392" s="154">
        <f t="shared" si="28"/>
        <v>0</v>
      </c>
      <c r="T392" s="156">
        <f>+VLOOKUP($L392,Data_Validation!$A:$D,1,0)</f>
        <v>6761</v>
      </c>
      <c r="U392" s="156" t="str">
        <f>+VLOOKUP($L392,Data_Validation!$A:$D,3,0)</f>
        <v>Pièces</v>
      </c>
      <c r="V392" s="156" t="str">
        <f>+VLOOKUP($L392,Data_Validation!$A:$D,4,0)</f>
        <v>Amortissement</v>
      </c>
      <c r="W392" s="156" t="str">
        <f>+VLOOKUP($L392,Data_Validation!$A:$E,5,0)</f>
        <v>$</v>
      </c>
      <c r="X392" s="156">
        <f>+VLOOKUP($L392,Data_Validation!$A:$F,6,0)</f>
        <v>0</v>
      </c>
    </row>
    <row r="393" spans="1:24" ht="15" hidden="1" customHeight="1">
      <c r="A393" s="1002" t="s">
        <v>1316</v>
      </c>
      <c r="B393" s="1145">
        <v>6781</v>
      </c>
      <c r="C393" s="1004">
        <v>0</v>
      </c>
      <c r="D393" s="1004">
        <v>423.95</v>
      </c>
      <c r="E393" s="1004">
        <v>423.95</v>
      </c>
      <c r="F393" s="1002" t="s">
        <v>401</v>
      </c>
      <c r="G393" s="1002" t="s">
        <v>2599</v>
      </c>
      <c r="H393" s="961"/>
      <c r="I393" s="964"/>
      <c r="J393" s="964"/>
      <c r="K393" s="964"/>
      <c r="L393" s="153">
        <f t="shared" si="18"/>
        <v>6781</v>
      </c>
      <c r="M393" s="154" t="str">
        <f t="shared" si="19"/>
        <v>CHAUFFAGE,ELECTRICITE,EAU-PIECES</v>
      </c>
      <c r="N393" s="155">
        <f>+IF(OR($Q393=Parametres!$G$2,$Q393=Parametres!$G$3),I393,C393)</f>
        <v>0</v>
      </c>
      <c r="O393" s="155">
        <f>+IF(OR($Q393=Parametres!$G$2,$Q393=Parametres!$G$3),J393,D393)</f>
        <v>423.95</v>
      </c>
      <c r="P393" s="155">
        <f>+IF(OR($Q393=Parametres!$G$2,$Q393=Parametres!$G$3),K393,E393)</f>
        <v>423.95</v>
      </c>
      <c r="Q393" s="154" t="str">
        <f t="shared" si="28"/>
        <v>7-Dépenses</v>
      </c>
      <c r="R393" s="153" t="str">
        <f t="shared" si="28"/>
        <v>6181</v>
      </c>
      <c r="S393" s="154">
        <f t="shared" si="28"/>
        <v>0</v>
      </c>
      <c r="T393" s="156">
        <f>+VLOOKUP($L393,Data_Validation!$A:$D,1,0)</f>
        <v>6781</v>
      </c>
      <c r="U393" s="156" t="str">
        <f>+VLOOKUP($L393,Data_Validation!$A:$D,3,0)</f>
        <v>Pièces</v>
      </c>
      <c r="V393" s="156" t="str">
        <f>+VLOOKUP($L393,Data_Validation!$A:$D,4,0)</f>
        <v>Chauffage, éclairage</v>
      </c>
      <c r="W393" s="156" t="str">
        <f>+VLOOKUP($L393,Data_Validation!$A:$E,5,0)</f>
        <v>$</v>
      </c>
      <c r="X393" s="156">
        <f>+VLOOKUP($L393,Data_Validation!$A:$F,6,0)</f>
        <v>0</v>
      </c>
    </row>
    <row r="394" spans="1:24" ht="15" hidden="1" customHeight="1">
      <c r="A394" s="1002" t="s">
        <v>1457</v>
      </c>
      <c r="B394" s="1145">
        <v>6782</v>
      </c>
      <c r="C394" s="1004">
        <v>0</v>
      </c>
      <c r="D394" s="1004">
        <v>6500</v>
      </c>
      <c r="E394" s="1004">
        <v>6500</v>
      </c>
      <c r="F394" s="1002" t="s">
        <v>401</v>
      </c>
      <c r="G394" s="1002" t="s">
        <v>2704</v>
      </c>
      <c r="H394" s="961"/>
      <c r="I394" s="964"/>
      <c r="J394" s="964"/>
      <c r="K394" s="964"/>
      <c r="L394" s="153">
        <f t="shared" si="18"/>
        <v>6782</v>
      </c>
      <c r="M394" s="154" t="str">
        <f t="shared" si="19"/>
        <v>LOYER - PIECES</v>
      </c>
      <c r="N394" s="155">
        <f>+IF(OR($Q394=Parametres!$G$2,$Q394=Parametres!$G$3),I394,C394)</f>
        <v>0</v>
      </c>
      <c r="O394" s="155">
        <f>+IF(OR($Q394=Parametres!$G$2,$Q394=Parametres!$G$3),J394,D394)</f>
        <v>6500</v>
      </c>
      <c r="P394" s="155">
        <f>+IF(OR($Q394=Parametres!$G$2,$Q394=Parametres!$G$3),K394,E394)</f>
        <v>6500</v>
      </c>
      <c r="Q394" s="154" t="str">
        <f t="shared" si="28"/>
        <v>7-Dépenses</v>
      </c>
      <c r="R394" s="153" t="str">
        <f t="shared" si="28"/>
        <v>6182</v>
      </c>
      <c r="S394" s="154">
        <f t="shared" si="28"/>
        <v>0</v>
      </c>
      <c r="T394" s="156">
        <f>+VLOOKUP($L394,Data_Validation!$A:$D,1,0)</f>
        <v>6782</v>
      </c>
      <c r="U394" s="156" t="str">
        <f>+VLOOKUP($L394,Data_Validation!$A:$D,3,0)</f>
        <v>Pièces</v>
      </c>
      <c r="V394" s="156" t="str">
        <f>+VLOOKUP($L394,Data_Validation!$A:$D,4,0)</f>
        <v>Loyer</v>
      </c>
      <c r="W394" s="156" t="str">
        <f>+VLOOKUP($L394,Data_Validation!$A:$E,5,0)</f>
        <v>$</v>
      </c>
      <c r="X394" s="156">
        <f>+VLOOKUP($L394,Data_Validation!$A:$F,6,0)</f>
        <v>0</v>
      </c>
    </row>
    <row r="395" spans="1:24" ht="15.75" hidden="1" customHeight="1">
      <c r="A395" s="1002" t="s">
        <v>1352</v>
      </c>
      <c r="B395" s="1145">
        <v>6786</v>
      </c>
      <c r="C395" s="1004">
        <v>0</v>
      </c>
      <c r="D395" s="1004">
        <v>927.02</v>
      </c>
      <c r="E395" s="1004">
        <v>927.02</v>
      </c>
      <c r="F395" s="1002" t="s">
        <v>401</v>
      </c>
      <c r="G395" s="1002" t="s">
        <v>2589</v>
      </c>
      <c r="H395" s="961"/>
      <c r="I395" s="964"/>
      <c r="J395" s="964"/>
      <c r="K395" s="964"/>
      <c r="L395" s="153">
        <f t="shared" si="18"/>
        <v>6786</v>
      </c>
      <c r="M395" s="154" t="str">
        <f t="shared" si="19"/>
        <v>ASSURANCE BATISSE &amp; AMEL.-PIECES</v>
      </c>
      <c r="N395" s="155">
        <f>+IF(OR($Q395=Parametres!$G$2,$Q395=Parametres!$G$3),I395,C395)</f>
        <v>0</v>
      </c>
      <c r="O395" s="155">
        <f>+IF(OR($Q395=Parametres!$G$2,$Q395=Parametres!$G$3),J395,D395)</f>
        <v>927.02</v>
      </c>
      <c r="P395" s="155">
        <f>+IF(OR($Q395=Parametres!$G$2,$Q395=Parametres!$G$3),K395,E395)</f>
        <v>927.02</v>
      </c>
      <c r="Q395" s="154" t="str">
        <f t="shared" si="28"/>
        <v>7-Dépenses</v>
      </c>
      <c r="R395" s="153" t="str">
        <f t="shared" si="28"/>
        <v>6186</v>
      </c>
      <c r="S395" s="154">
        <f t="shared" si="28"/>
        <v>0</v>
      </c>
      <c r="T395" s="156">
        <f>+VLOOKUP($L395,Data_Validation!$A:$D,1,0)</f>
        <v>6786</v>
      </c>
      <c r="U395" s="156" t="str">
        <f>+VLOOKUP($L395,Data_Validation!$A:$D,3,0)</f>
        <v>Pièces</v>
      </c>
      <c r="V395" s="156" t="str">
        <f>+VLOOKUP($L395,Data_Validation!$A:$D,4,0)</f>
        <v>Assurances</v>
      </c>
      <c r="W395" s="156" t="str">
        <f>+VLOOKUP($L395,Data_Validation!$A:$E,5,0)</f>
        <v>$</v>
      </c>
      <c r="X395" s="156">
        <f>+VLOOKUP($L395,Data_Validation!$A:$F,6,0)</f>
        <v>0</v>
      </c>
    </row>
    <row r="396" spans="1:24" ht="15" hidden="1" customHeight="1">
      <c r="A396" s="1002" t="s">
        <v>1344</v>
      </c>
      <c r="B396" s="1145">
        <v>6787</v>
      </c>
      <c r="C396" s="1004">
        <v>0</v>
      </c>
      <c r="D396" s="1004">
        <v>1202.5</v>
      </c>
      <c r="E396" s="1004">
        <v>1202.5</v>
      </c>
      <c r="F396" s="1002" t="s">
        <v>401</v>
      </c>
      <c r="G396" s="1002" t="s">
        <v>2609</v>
      </c>
      <c r="H396" s="961"/>
      <c r="I396" s="964"/>
      <c r="J396" s="964"/>
      <c r="K396" s="964"/>
      <c r="L396" s="153">
        <f t="shared" si="18"/>
        <v>6787</v>
      </c>
      <c r="M396" s="154" t="str">
        <f t="shared" si="19"/>
        <v>TAXES FONCIERES - PIECES</v>
      </c>
      <c r="N396" s="155">
        <f>+IF(OR($Q396=Parametres!$G$2,$Q396=Parametres!$G$3),I396,C396)</f>
        <v>0</v>
      </c>
      <c r="O396" s="155">
        <f>+IF(OR($Q396=Parametres!$G$2,$Q396=Parametres!$G$3),J396,D396)</f>
        <v>1202.5</v>
      </c>
      <c r="P396" s="155">
        <f>+IF(OR($Q396=Parametres!$G$2,$Q396=Parametres!$G$3),K396,E396)</f>
        <v>1202.5</v>
      </c>
      <c r="Q396" s="154" t="str">
        <f t="shared" si="28"/>
        <v>7-Dépenses</v>
      </c>
      <c r="R396" s="153" t="str">
        <f t="shared" si="28"/>
        <v>6187</v>
      </c>
      <c r="S396" s="154">
        <f t="shared" si="28"/>
        <v>0</v>
      </c>
      <c r="T396" s="156">
        <f>+VLOOKUP($L396,Data_Validation!$A:$D,1,0)</f>
        <v>6787</v>
      </c>
      <c r="U396" s="156" t="str">
        <f>+VLOOKUP($L396,Data_Validation!$A:$D,3,0)</f>
        <v>Pièces</v>
      </c>
      <c r="V396" s="156" t="str">
        <f>+VLOOKUP($L396,Data_Validation!$A:$D,4,0)</f>
        <v>Taxes foncières</v>
      </c>
      <c r="W396" s="156" t="str">
        <f>+VLOOKUP($L396,Data_Validation!$A:$E,5,0)</f>
        <v>$</v>
      </c>
      <c r="X396" s="156">
        <f>+VLOOKUP($L396,Data_Validation!$A:$F,6,0)</f>
        <v>0</v>
      </c>
    </row>
    <row r="397" spans="1:24" ht="15" hidden="1" customHeight="1">
      <c r="A397" s="1002" t="s">
        <v>1278</v>
      </c>
      <c r="B397" s="1145">
        <v>6793</v>
      </c>
      <c r="C397" s="1004">
        <v>0</v>
      </c>
      <c r="D397" s="1004">
        <v>800</v>
      </c>
      <c r="E397" s="1004">
        <v>800</v>
      </c>
      <c r="F397" s="1002" t="s">
        <v>401</v>
      </c>
      <c r="G397" s="1002" t="s">
        <v>2592</v>
      </c>
      <c r="H397" s="961"/>
      <c r="I397" s="964"/>
      <c r="J397" s="964"/>
      <c r="K397" s="964"/>
      <c r="L397" s="153">
        <f t="shared" si="18"/>
        <v>6793</v>
      </c>
      <c r="M397" s="154" t="str">
        <f t="shared" si="19"/>
        <v>AUTRES TAXES - PIECES</v>
      </c>
      <c r="N397" s="155">
        <f>+IF(OR($Q397=Parametres!$G$2,$Q397=Parametres!$G$3),I397,C397)</f>
        <v>0</v>
      </c>
      <c r="O397" s="155">
        <f>+IF(OR($Q397=Parametres!$G$2,$Q397=Parametres!$G$3),J397,D397)</f>
        <v>800</v>
      </c>
      <c r="P397" s="155">
        <f>+IF(OR($Q397=Parametres!$G$2,$Q397=Parametres!$G$3),K397,E397)</f>
        <v>800</v>
      </c>
      <c r="Q397" s="154" t="str">
        <f t="shared" si="28"/>
        <v>7-Dépenses</v>
      </c>
      <c r="R397" s="153" t="str">
        <f t="shared" si="28"/>
        <v>6193</v>
      </c>
      <c r="S397" s="154">
        <f t="shared" si="28"/>
        <v>0</v>
      </c>
      <c r="T397" s="156">
        <f>+VLOOKUP($L397,Data_Validation!$A:$D,1,0)</f>
        <v>6793</v>
      </c>
      <c r="U397" s="156" t="str">
        <f>+VLOOKUP($L397,Data_Validation!$A:$D,3,0)</f>
        <v>Pièces</v>
      </c>
      <c r="V397" s="156" t="str">
        <f>+VLOOKUP($L397,Data_Validation!$A:$D,4,0)</f>
        <v>Taxes d`affaires</v>
      </c>
      <c r="W397" s="156" t="str">
        <f>+VLOOKUP($L397,Data_Validation!$A:$E,5,0)</f>
        <v>$</v>
      </c>
      <c r="X397" s="156">
        <f>+VLOOKUP($L397,Data_Validation!$A:$F,6,0)</f>
        <v>0</v>
      </c>
    </row>
    <row r="398" spans="1:24" ht="15" hidden="1" customHeight="1">
      <c r="A398" s="1002" t="s">
        <v>1371</v>
      </c>
      <c r="B398" s="1145">
        <v>6794</v>
      </c>
      <c r="C398" s="1004">
        <v>0</v>
      </c>
      <c r="D398" s="1004">
        <v>1554.27</v>
      </c>
      <c r="E398" s="1004">
        <v>1554.27</v>
      </c>
      <c r="F398" s="1002" t="s">
        <v>401</v>
      </c>
      <c r="G398" s="1002" t="s">
        <v>2630</v>
      </c>
      <c r="H398" s="961"/>
      <c r="I398" s="964"/>
      <c r="J398" s="964"/>
      <c r="K398" s="964"/>
      <c r="L398" s="153">
        <f t="shared" si="18"/>
        <v>6794</v>
      </c>
      <c r="M398" s="154" t="str">
        <f t="shared" si="19"/>
        <v>FRAIS PROFESSIONNEL-PIECES</v>
      </c>
      <c r="N398" s="155">
        <f>+IF(OR($Q398=Parametres!$G$2,$Q398=Parametres!$G$3),I398,C398)</f>
        <v>0</v>
      </c>
      <c r="O398" s="155">
        <f>+IF(OR($Q398=Parametres!$G$2,$Q398=Parametres!$G$3),J398,D398)</f>
        <v>1554.27</v>
      </c>
      <c r="P398" s="155">
        <f>+IF(OR($Q398=Parametres!$G$2,$Q398=Parametres!$G$3),K398,E398)</f>
        <v>1554.27</v>
      </c>
      <c r="Q398" s="154" t="str">
        <f t="shared" si="28"/>
        <v>7-Dépenses</v>
      </c>
      <c r="R398" s="153" t="str">
        <f t="shared" si="28"/>
        <v>6194</v>
      </c>
      <c r="S398" s="154">
        <f t="shared" si="28"/>
        <v>0</v>
      </c>
      <c r="T398" s="156">
        <f>+VLOOKUP($L398,Data_Validation!$A:$D,1,0)</f>
        <v>6794</v>
      </c>
      <c r="U398" s="156" t="str">
        <f>+VLOOKUP($L398,Data_Validation!$A:$D,3,0)</f>
        <v>Pièces</v>
      </c>
      <c r="V398" s="156" t="str">
        <f>+VLOOKUP($L398,Data_Validation!$A:$D,4,0)</f>
        <v>Honoraires</v>
      </c>
      <c r="W398" s="156" t="str">
        <f>+VLOOKUP($L398,Data_Validation!$A:$E,5,0)</f>
        <v>$</v>
      </c>
      <c r="X398" s="156">
        <f>+VLOOKUP($L398,Data_Validation!$A:$F,6,0)</f>
        <v>0</v>
      </c>
    </row>
    <row r="399" spans="1:24" ht="15.75" hidden="1" customHeight="1">
      <c r="A399" s="1002" t="s">
        <v>2050</v>
      </c>
      <c r="B399" s="1145">
        <v>9149</v>
      </c>
      <c r="C399" s="1004">
        <v>0</v>
      </c>
      <c r="D399" s="1004">
        <v>-22341</v>
      </c>
      <c r="E399" s="1004">
        <v>-22341</v>
      </c>
      <c r="F399" s="1002" t="s">
        <v>304</v>
      </c>
      <c r="G399" s="1002" t="s">
        <v>2052</v>
      </c>
      <c r="H399" s="961"/>
      <c r="I399" s="964"/>
      <c r="J399" s="964"/>
      <c r="K399" s="964"/>
      <c r="L399" s="153">
        <f t="shared" si="18"/>
        <v>9149</v>
      </c>
      <c r="M399" s="154" t="str">
        <f t="shared" si="19"/>
        <v>REVENU RESERVE VOLKS</v>
      </c>
      <c r="N399" s="155">
        <f>+IF(OR($Q399=Parametres!$G$2,$Q399=Parametres!$G$3),I399,C399)</f>
        <v>0</v>
      </c>
      <c r="O399" s="155">
        <f>+IF(OR($Q399=Parametres!$G$2,$Q399=Parametres!$G$3),J399,D399)</f>
        <v>-22341</v>
      </c>
      <c r="P399" s="155">
        <f>+IF(OR($Q399=Parametres!$G$2,$Q399=Parametres!$G$3),K399,E399)</f>
        <v>-22341</v>
      </c>
      <c r="Q399" s="154" t="str">
        <f t="shared" si="28"/>
        <v>8-Autres revenus</v>
      </c>
      <c r="R399" s="153" t="str">
        <f t="shared" si="28"/>
        <v>9101</v>
      </c>
      <c r="S399" s="154">
        <f t="shared" si="28"/>
        <v>0</v>
      </c>
      <c r="T399" s="156">
        <f>+VLOOKUP($L399,Data_Validation!$A:$D,1,0)</f>
        <v>9149</v>
      </c>
      <c r="U399" s="156" t="str">
        <f>+VLOOKUP($L399,Data_Validation!$A:$D,3,0)</f>
        <v>Véhicules neufs</v>
      </c>
      <c r="V399" s="156" t="str">
        <f>+VLOOKUP($L399,Data_Validation!$A:$D,4,0)</f>
        <v>Holdbacks</v>
      </c>
      <c r="W399" s="156" t="str">
        <f>+VLOOKUP($L399,Data_Validation!$A:$E,5,0)</f>
        <v>$</v>
      </c>
      <c r="X399" s="156">
        <f>+VLOOKUP($L399,Data_Validation!$A:$F,6,0)</f>
        <v>0</v>
      </c>
    </row>
    <row r="400" spans="1:24" ht="15" hidden="1" customHeight="1">
      <c r="A400" s="1002" t="s">
        <v>2135</v>
      </c>
      <c r="B400" s="1145">
        <v>9152</v>
      </c>
      <c r="C400" s="1004">
        <v>0</v>
      </c>
      <c r="D400" s="1004">
        <v>-3812.19</v>
      </c>
      <c r="E400" s="1004">
        <v>-3812.19</v>
      </c>
      <c r="F400" s="1002" t="s">
        <v>304</v>
      </c>
      <c r="G400" s="1002" t="s">
        <v>2136</v>
      </c>
      <c r="H400" s="961"/>
      <c r="I400" s="964"/>
      <c r="J400" s="964"/>
      <c r="K400" s="964"/>
      <c r="L400" s="153">
        <f t="shared" si="18"/>
        <v>9152</v>
      </c>
      <c r="M400" s="154" t="str">
        <f t="shared" si="19"/>
        <v>ESCOMPTES SUR ACHAT PIECES</v>
      </c>
      <c r="N400" s="155">
        <f>+IF(OR($Q400=Parametres!$G$2,$Q400=Parametres!$G$3),I400,C400)</f>
        <v>0</v>
      </c>
      <c r="O400" s="155">
        <f>+IF(OR($Q400=Parametres!$G$2,$Q400=Parametres!$G$3),J400,D400)</f>
        <v>-3812.19</v>
      </c>
      <c r="P400" s="155">
        <f>+IF(OR($Q400=Parametres!$G$2,$Q400=Parametres!$G$3),K400,E400)</f>
        <v>-3812.19</v>
      </c>
      <c r="Q400" s="154" t="str">
        <f t="shared" si="28"/>
        <v>8-Autres revenus</v>
      </c>
      <c r="R400" s="153" t="str">
        <f t="shared" si="28"/>
        <v>9152</v>
      </c>
      <c r="S400" s="154">
        <f t="shared" si="28"/>
        <v>0</v>
      </c>
      <c r="T400" s="156">
        <f>+VLOOKUP($L400,Data_Validation!$A:$D,1,0)</f>
        <v>9152</v>
      </c>
      <c r="U400" s="156" t="str">
        <f>+VLOOKUP($L400,Data_Validation!$A:$D,3,0)</f>
        <v>Pièces</v>
      </c>
      <c r="V400" s="156" t="str">
        <f>+VLOOKUP($L400,Data_Validation!$A:$D,4,0)</f>
        <v>Escomptes</v>
      </c>
      <c r="W400" s="156" t="str">
        <f>+VLOOKUP($L400,Data_Validation!$A:$E,5,0)</f>
        <v>$</v>
      </c>
      <c r="X400" s="156">
        <f>+VLOOKUP($L400,Data_Validation!$A:$F,6,0)</f>
        <v>0</v>
      </c>
    </row>
    <row r="401" spans="1:24" ht="15" hidden="1" customHeight="1">
      <c r="A401" s="1002" t="s">
        <v>2074</v>
      </c>
      <c r="B401" s="1145">
        <v>9157</v>
      </c>
      <c r="C401" s="1004">
        <v>0</v>
      </c>
      <c r="D401" s="1004">
        <v>-11500</v>
      </c>
      <c r="E401" s="1004">
        <v>-11500</v>
      </c>
      <c r="F401" s="1002" t="s">
        <v>304</v>
      </c>
      <c r="G401" s="1002" t="s">
        <v>2076</v>
      </c>
      <c r="H401" s="961"/>
      <c r="I401" s="964"/>
      <c r="J401" s="964"/>
      <c r="K401" s="964"/>
      <c r="L401" s="153">
        <f t="shared" si="18"/>
        <v>9157</v>
      </c>
      <c r="M401" s="154" t="str">
        <f t="shared" si="19"/>
        <v>PRIMES DE RENDEMENT (ToT)- BONUS EXPERIENCE +</v>
      </c>
      <c r="N401" s="155">
        <f>+IF(OR($Q401=Parametres!$G$2,$Q401=Parametres!$G$3),I401,C401)</f>
        <v>0</v>
      </c>
      <c r="O401" s="155">
        <f>+IF(OR($Q401=Parametres!$G$2,$Q401=Parametres!$G$3),J401,D401)</f>
        <v>-11500</v>
      </c>
      <c r="P401" s="155">
        <f>+IF(OR($Q401=Parametres!$G$2,$Q401=Parametres!$G$3),K401,E401)</f>
        <v>-11500</v>
      </c>
      <c r="Q401" s="154" t="str">
        <f t="shared" si="28"/>
        <v>8-Autres revenus</v>
      </c>
      <c r="R401" s="153" t="str">
        <f t="shared" si="28"/>
        <v>915</v>
      </c>
      <c r="S401" s="154">
        <f t="shared" si="28"/>
        <v>0</v>
      </c>
      <c r="T401" s="156">
        <f>+VLOOKUP($L401,Data_Validation!$A:$D,1,0)</f>
        <v>9157</v>
      </c>
      <c r="U401" s="156" t="str">
        <f>+VLOOKUP($L401,Data_Validation!$A:$D,3,0)</f>
        <v>Véhicules neufs</v>
      </c>
      <c r="V401" s="156" t="str">
        <f>+VLOOKUP($L401,Data_Validation!$A:$D,4,0)</f>
        <v>Programme neuf 1</v>
      </c>
      <c r="W401" s="156" t="str">
        <f>+VLOOKUP($L401,Data_Validation!$A:$E,5,0)</f>
        <v>$</v>
      </c>
      <c r="X401" s="156">
        <f>+VLOOKUP($L401,Data_Validation!$A:$F,6,0)</f>
        <v>0</v>
      </c>
    </row>
    <row r="402" spans="1:24" ht="15" hidden="1" customHeight="1">
      <c r="A402" s="1002" t="s">
        <v>2081</v>
      </c>
      <c r="B402" s="1145">
        <v>9163</v>
      </c>
      <c r="C402" s="1004">
        <v>0</v>
      </c>
      <c r="D402" s="1004">
        <v>-4641.1099999999997</v>
      </c>
      <c r="E402" s="1004">
        <v>-4641.1099999999997</v>
      </c>
      <c r="F402" s="1002" t="s">
        <v>304</v>
      </c>
      <c r="G402" s="1002" t="s">
        <v>2082</v>
      </c>
      <c r="H402" s="961"/>
      <c r="I402" s="964"/>
      <c r="J402" s="964"/>
      <c r="K402" s="964"/>
      <c r="L402" s="153">
        <f t="shared" si="18"/>
        <v>9163</v>
      </c>
      <c r="M402" s="154" t="str">
        <f t="shared" si="19"/>
        <v>RESERVE FIN ET ASS VEH OCCASION</v>
      </c>
      <c r="N402" s="155">
        <f>+IF(OR($Q402=Parametres!$G$2,$Q402=Parametres!$G$3),I402,C402)</f>
        <v>0</v>
      </c>
      <c r="O402" s="155">
        <f>+IF(OR($Q402=Parametres!$G$2,$Q402=Parametres!$G$3),J402,D402)</f>
        <v>-4641.1099999999997</v>
      </c>
      <c r="P402" s="155">
        <f>+IF(OR($Q402=Parametres!$G$2,$Q402=Parametres!$G$3),K402,E402)</f>
        <v>-4641.1099999999997</v>
      </c>
      <c r="Q402" s="154" t="str">
        <f t="shared" ref="Q402:S417" si="29">+F402</f>
        <v>8-Autres revenus</v>
      </c>
      <c r="R402" s="153" t="str">
        <f t="shared" si="29"/>
        <v>9163</v>
      </c>
      <c r="S402" s="154">
        <f t="shared" si="29"/>
        <v>0</v>
      </c>
      <c r="T402" s="156">
        <f>+VLOOKUP($L402,Data_Validation!$A:$D,1,0)</f>
        <v>9163</v>
      </c>
      <c r="U402" s="156" t="str">
        <f>+VLOOKUP($L402,Data_Validation!$A:$D,3,0)</f>
        <v>Véhicules usagés</v>
      </c>
      <c r="V402" s="156" t="str">
        <f>+VLOOKUP($L402,Data_Validation!$A:$D,4,0)</f>
        <v>Rev. Finances</v>
      </c>
      <c r="W402" s="156" t="str">
        <f>+VLOOKUP($L402,Data_Validation!$A:$E,5,0)</f>
        <v>$</v>
      </c>
      <c r="X402" s="156" t="str">
        <f>+VLOOKUP($L402,Data_Validation!$A:$F,6,0)</f>
        <v>Oui</v>
      </c>
    </row>
    <row r="403" spans="1:24" ht="15.75" hidden="1" customHeight="1">
      <c r="A403" s="1002" t="s">
        <v>2168</v>
      </c>
      <c r="B403" s="1145">
        <v>9165</v>
      </c>
      <c r="C403" s="1004">
        <v>0</v>
      </c>
      <c r="D403" s="1004">
        <v>-340.86</v>
      </c>
      <c r="E403" s="1004">
        <v>-340.86</v>
      </c>
      <c r="F403" s="1002" t="s">
        <v>304</v>
      </c>
      <c r="G403" s="1002" t="s">
        <v>2073</v>
      </c>
      <c r="H403" s="961"/>
      <c r="I403" s="964"/>
      <c r="J403" s="964"/>
      <c r="K403" s="964"/>
      <c r="L403" s="153">
        <f t="shared" si="18"/>
        <v>9165</v>
      </c>
      <c r="M403" s="154" t="str">
        <f t="shared" si="19"/>
        <v>REV. ASSURANCES NEUF</v>
      </c>
      <c r="N403" s="155">
        <f>+IF(OR($Q403=Parametres!$G$2,$Q403=Parametres!$G$3),I403,C403)</f>
        <v>0</v>
      </c>
      <c r="O403" s="155">
        <f>+IF(OR($Q403=Parametres!$G$2,$Q403=Parametres!$G$3),J403,D403)</f>
        <v>-340.86</v>
      </c>
      <c r="P403" s="155">
        <f>+IF(OR($Q403=Parametres!$G$2,$Q403=Parametres!$G$3),K403,E403)</f>
        <v>-340.86</v>
      </c>
      <c r="Q403" s="154" t="str">
        <f t="shared" si="29"/>
        <v>8-Autres revenus</v>
      </c>
      <c r="R403" s="153" t="str">
        <f t="shared" si="29"/>
        <v>9161</v>
      </c>
      <c r="S403" s="154">
        <f t="shared" si="29"/>
        <v>0</v>
      </c>
      <c r="T403" s="156">
        <f>+VLOOKUP($L403,Data_Validation!$A:$D,1,0)</f>
        <v>9165</v>
      </c>
      <c r="U403" s="156" t="str">
        <f>+VLOOKUP($L403,Data_Validation!$A:$D,3,0)</f>
        <v>Véhicules neufs</v>
      </c>
      <c r="V403" s="156" t="str">
        <f>+VLOOKUP($L403,Data_Validation!$A:$D,4,0)</f>
        <v>Rev. Autres</v>
      </c>
      <c r="W403" s="156" t="str">
        <f>+VLOOKUP($L403,Data_Validation!$A:$E,5,0)</f>
        <v>$</v>
      </c>
      <c r="X403" s="156" t="str">
        <f>+VLOOKUP($L403,Data_Validation!$A:$F,6,0)</f>
        <v>Oui</v>
      </c>
    </row>
    <row r="404" spans="1:24" ht="15" hidden="1" customHeight="1">
      <c r="A404" s="1002" t="s">
        <v>2176</v>
      </c>
      <c r="B404" s="1145">
        <v>9167</v>
      </c>
      <c r="C404" s="1004">
        <v>0</v>
      </c>
      <c r="D404" s="1004">
        <v>-647.89</v>
      </c>
      <c r="E404" s="1004">
        <v>-647.89</v>
      </c>
      <c r="F404" s="1002" t="s">
        <v>304</v>
      </c>
      <c r="G404" s="1002" t="s">
        <v>2082</v>
      </c>
      <c r="H404" s="961"/>
      <c r="I404" s="964"/>
      <c r="J404" s="964"/>
      <c r="K404" s="964"/>
      <c r="L404" s="153">
        <f t="shared" si="18"/>
        <v>9167</v>
      </c>
      <c r="M404" s="154" t="str">
        <f t="shared" si="19"/>
        <v>REV ASSURANCE USAGE</v>
      </c>
      <c r="N404" s="155">
        <f>+IF(OR($Q404=Parametres!$G$2,$Q404=Parametres!$G$3),I404,C404)</f>
        <v>0</v>
      </c>
      <c r="O404" s="155">
        <f>+IF(OR($Q404=Parametres!$G$2,$Q404=Parametres!$G$3),J404,D404)</f>
        <v>-647.89</v>
      </c>
      <c r="P404" s="155">
        <f>+IF(OR($Q404=Parametres!$G$2,$Q404=Parametres!$G$3),K404,E404)</f>
        <v>-647.89</v>
      </c>
      <c r="Q404" s="154" t="str">
        <f t="shared" si="29"/>
        <v>8-Autres revenus</v>
      </c>
      <c r="R404" s="153" t="str">
        <f t="shared" si="29"/>
        <v>9163</v>
      </c>
      <c r="S404" s="154">
        <f t="shared" si="29"/>
        <v>0</v>
      </c>
      <c r="T404" s="156">
        <f>+VLOOKUP($L404,Data_Validation!$A:$D,1,0)</f>
        <v>9167</v>
      </c>
      <c r="U404" s="156" t="str">
        <f>+VLOOKUP($L404,Data_Validation!$A:$D,3,0)</f>
        <v>Véhicules usagés</v>
      </c>
      <c r="V404" s="156" t="str">
        <f>+VLOOKUP($L404,Data_Validation!$A:$D,4,0)</f>
        <v>Rev. Autres</v>
      </c>
      <c r="W404" s="156" t="str">
        <f>+VLOOKUP($L404,Data_Validation!$A:$E,5,0)</f>
        <v>$</v>
      </c>
      <c r="X404" s="156" t="str">
        <f>+VLOOKUP($L404,Data_Validation!$A:$F,6,0)</f>
        <v>Oui</v>
      </c>
    </row>
    <row r="405" spans="1:24" ht="15" hidden="1" customHeight="1">
      <c r="A405" s="1002" t="s">
        <v>2089</v>
      </c>
      <c r="B405" s="1145">
        <v>9169</v>
      </c>
      <c r="C405" s="1004">
        <v>0</v>
      </c>
      <c r="D405" s="1004">
        <v>-7100</v>
      </c>
      <c r="E405" s="1004">
        <v>-7100</v>
      </c>
      <c r="F405" s="1002" t="s">
        <v>304</v>
      </c>
      <c r="G405" s="1002" t="s">
        <v>2073</v>
      </c>
      <c r="H405" s="961"/>
      <c r="I405" s="964"/>
      <c r="J405" s="964"/>
      <c r="K405" s="964"/>
      <c r="L405" s="153">
        <f t="shared" si="18"/>
        <v>9169</v>
      </c>
      <c r="M405" s="154" t="str">
        <f t="shared" si="19"/>
        <v>REV GARANTIE PROLONGEE NEUF</v>
      </c>
      <c r="N405" s="155">
        <f>+IF(OR($Q405=Parametres!$G$2,$Q405=Parametres!$G$3),I405,C405)</f>
        <v>0</v>
      </c>
      <c r="O405" s="155">
        <f>+IF(OR($Q405=Parametres!$G$2,$Q405=Parametres!$G$3),J405,D405)</f>
        <v>-7100</v>
      </c>
      <c r="P405" s="155">
        <f>+IF(OR($Q405=Parametres!$G$2,$Q405=Parametres!$G$3),K405,E405)</f>
        <v>-7100</v>
      </c>
      <c r="Q405" s="154" t="str">
        <f t="shared" si="29"/>
        <v>8-Autres revenus</v>
      </c>
      <c r="R405" s="153" t="str">
        <f t="shared" si="29"/>
        <v>9161</v>
      </c>
      <c r="S405" s="154">
        <f t="shared" si="29"/>
        <v>0</v>
      </c>
      <c r="T405" s="156">
        <f>+VLOOKUP($L405,Data_Validation!$A:$D,1,0)</f>
        <v>9169</v>
      </c>
      <c r="U405" s="156" t="str">
        <f>+VLOOKUP($L405,Data_Validation!$A:$D,3,0)</f>
        <v>Véhicules neufs</v>
      </c>
      <c r="V405" s="156" t="str">
        <f>+VLOOKUP($L405,Data_Validation!$A:$D,4,0)</f>
        <v>Rev. Protections</v>
      </c>
      <c r="W405" s="156" t="str">
        <f>+VLOOKUP($L405,Data_Validation!$A:$E,5,0)</f>
        <v>$</v>
      </c>
      <c r="X405" s="156" t="str">
        <f>+VLOOKUP($L405,Data_Validation!$A:$F,6,0)</f>
        <v>Oui</v>
      </c>
    </row>
    <row r="406" spans="1:24" ht="15" hidden="1" customHeight="1">
      <c r="A406" s="1002" t="s">
        <v>2071</v>
      </c>
      <c r="B406" s="1145">
        <v>9170</v>
      </c>
      <c r="C406" s="1004">
        <v>0</v>
      </c>
      <c r="D406" s="1004">
        <v>-9151.56</v>
      </c>
      <c r="E406" s="1004">
        <v>-9151.56</v>
      </c>
      <c r="F406" s="1002" t="s">
        <v>304</v>
      </c>
      <c r="G406" s="1002" t="s">
        <v>2073</v>
      </c>
      <c r="H406" s="961"/>
      <c r="I406" s="964"/>
      <c r="J406" s="964"/>
      <c r="K406" s="964"/>
      <c r="L406" s="153">
        <f t="shared" si="18"/>
        <v>9170</v>
      </c>
      <c r="M406" s="154" t="str">
        <f t="shared" si="19"/>
        <v>PROFIT PROTECTIONS - NEUFS</v>
      </c>
      <c r="N406" s="155">
        <f>+IF(OR($Q406=Parametres!$G$2,$Q406=Parametres!$G$3),I406,C406)</f>
        <v>0</v>
      </c>
      <c r="O406" s="155">
        <f>+IF(OR($Q406=Parametres!$G$2,$Q406=Parametres!$G$3),J406,D406)</f>
        <v>-9151.56</v>
      </c>
      <c r="P406" s="155">
        <f>+IF(OR($Q406=Parametres!$G$2,$Q406=Parametres!$G$3),K406,E406)</f>
        <v>-9151.56</v>
      </c>
      <c r="Q406" s="154" t="str">
        <f t="shared" si="29"/>
        <v>8-Autres revenus</v>
      </c>
      <c r="R406" s="153" t="str">
        <f t="shared" si="29"/>
        <v>9161</v>
      </c>
      <c r="S406" s="154">
        <f t="shared" si="29"/>
        <v>0</v>
      </c>
      <c r="T406" s="156">
        <f>+VLOOKUP($L406,Data_Validation!$A:$D,1,0)</f>
        <v>9170</v>
      </c>
      <c r="U406" s="156" t="str">
        <f>+VLOOKUP($L406,Data_Validation!$A:$D,3,0)</f>
        <v>Véhicules neufs</v>
      </c>
      <c r="V406" s="156" t="str">
        <f>+VLOOKUP($L406,Data_Validation!$A:$D,4,0)</f>
        <v>Rev. Protections</v>
      </c>
      <c r="W406" s="156" t="str">
        <f>+VLOOKUP($L406,Data_Validation!$A:$E,5,0)</f>
        <v>$</v>
      </c>
      <c r="X406" s="156" t="str">
        <f>+VLOOKUP($L406,Data_Validation!$A:$F,6,0)</f>
        <v>Oui</v>
      </c>
    </row>
    <row r="407" spans="1:24" ht="15.75" hidden="1" customHeight="1">
      <c r="A407" s="1002" t="s">
        <v>2085</v>
      </c>
      <c r="B407" s="1145">
        <v>9171</v>
      </c>
      <c r="C407" s="1004">
        <v>0</v>
      </c>
      <c r="D407" s="1004">
        <v>-13914</v>
      </c>
      <c r="E407" s="1004">
        <v>-13914</v>
      </c>
      <c r="F407" s="1002" t="s">
        <v>304</v>
      </c>
      <c r="G407" s="1002" t="s">
        <v>2082</v>
      </c>
      <c r="H407" s="961"/>
      <c r="I407" s="964"/>
      <c r="J407" s="964"/>
      <c r="K407" s="964"/>
      <c r="L407" s="153">
        <f t="shared" si="18"/>
        <v>9171</v>
      </c>
      <c r="M407" s="154" t="str">
        <f t="shared" si="19"/>
        <v>REV GARANTIE PROLONGEE USAGE</v>
      </c>
      <c r="N407" s="155">
        <f>+IF(OR($Q407=Parametres!$G$2,$Q407=Parametres!$G$3),I407,C407)</f>
        <v>0</v>
      </c>
      <c r="O407" s="155">
        <f>+IF(OR($Q407=Parametres!$G$2,$Q407=Parametres!$G$3),J407,D407)</f>
        <v>-13914</v>
      </c>
      <c r="P407" s="155">
        <f>+IF(OR($Q407=Parametres!$G$2,$Q407=Parametres!$G$3),K407,E407)</f>
        <v>-13914</v>
      </c>
      <c r="Q407" s="154" t="str">
        <f t="shared" si="29"/>
        <v>8-Autres revenus</v>
      </c>
      <c r="R407" s="153" t="str">
        <f t="shared" si="29"/>
        <v>9163</v>
      </c>
      <c r="S407" s="154">
        <f t="shared" si="29"/>
        <v>0</v>
      </c>
      <c r="T407" s="156">
        <f>+VLOOKUP($L407,Data_Validation!$A:$D,1,0)</f>
        <v>9171</v>
      </c>
      <c r="U407" s="156" t="str">
        <f>+VLOOKUP($L407,Data_Validation!$A:$D,3,0)</f>
        <v>Véhicules usagés</v>
      </c>
      <c r="V407" s="156" t="str">
        <f>+VLOOKUP($L407,Data_Validation!$A:$D,4,0)</f>
        <v>Rev. Protections</v>
      </c>
      <c r="W407" s="156" t="str">
        <f>+VLOOKUP($L407,Data_Validation!$A:$E,5,0)</f>
        <v>$</v>
      </c>
      <c r="X407" s="156" t="str">
        <f>+VLOOKUP($L407,Data_Validation!$A:$F,6,0)</f>
        <v>Oui</v>
      </c>
    </row>
    <row r="408" spans="1:24" ht="15" hidden="1" customHeight="1">
      <c r="A408" s="1002" t="s">
        <v>2093</v>
      </c>
      <c r="B408" s="1145">
        <v>9172</v>
      </c>
      <c r="C408" s="1004">
        <v>0</v>
      </c>
      <c r="D408" s="1004">
        <v>-6372.14</v>
      </c>
      <c r="E408" s="1004">
        <v>-6372.14</v>
      </c>
      <c r="F408" s="1002" t="s">
        <v>304</v>
      </c>
      <c r="G408" s="1002" t="s">
        <v>2082</v>
      </c>
      <c r="H408" s="961"/>
      <c r="I408" s="964"/>
      <c r="J408" s="964"/>
      <c r="K408" s="964"/>
      <c r="L408" s="153">
        <f t="shared" si="18"/>
        <v>9172</v>
      </c>
      <c r="M408" s="154" t="str">
        <f t="shared" si="19"/>
        <v>PROFIT PROTECTIONS - USAGES</v>
      </c>
      <c r="N408" s="155">
        <f>+IF(OR($Q408=Parametres!$G$2,$Q408=Parametres!$G$3),I408,C408)</f>
        <v>0</v>
      </c>
      <c r="O408" s="155">
        <f>+IF(OR($Q408=Parametres!$G$2,$Q408=Parametres!$G$3),J408,D408)</f>
        <v>-6372.14</v>
      </c>
      <c r="P408" s="155">
        <f>+IF(OR($Q408=Parametres!$G$2,$Q408=Parametres!$G$3),K408,E408)</f>
        <v>-6372.14</v>
      </c>
      <c r="Q408" s="154" t="str">
        <f t="shared" si="29"/>
        <v>8-Autres revenus</v>
      </c>
      <c r="R408" s="153" t="str">
        <f t="shared" si="29"/>
        <v>9163</v>
      </c>
      <c r="S408" s="154">
        <f t="shared" si="29"/>
        <v>0</v>
      </c>
      <c r="T408" s="156">
        <f>+VLOOKUP($L408,Data_Validation!$A:$D,1,0)</f>
        <v>9172</v>
      </c>
      <c r="U408" s="156" t="str">
        <f>+VLOOKUP($L408,Data_Validation!$A:$D,3,0)</f>
        <v>Véhicules usagés</v>
      </c>
      <c r="V408" s="156" t="str">
        <f>+VLOOKUP($L408,Data_Validation!$A:$D,4,0)</f>
        <v>Rev. Protections</v>
      </c>
      <c r="W408" s="156" t="str">
        <f>+VLOOKUP($L408,Data_Validation!$A:$E,5,0)</f>
        <v>$</v>
      </c>
      <c r="X408" s="156" t="str">
        <f>+VLOOKUP($L408,Data_Validation!$A:$F,6,0)</f>
        <v>Oui</v>
      </c>
    </row>
    <row r="409" spans="1:24" ht="15" hidden="1" customHeight="1">
      <c r="A409" s="1002" t="s">
        <v>2077</v>
      </c>
      <c r="B409" s="1145">
        <v>9173</v>
      </c>
      <c r="C409" s="1004">
        <v>0</v>
      </c>
      <c r="D409" s="1004">
        <v>-11496</v>
      </c>
      <c r="E409" s="1004">
        <v>-11496</v>
      </c>
      <c r="F409" s="1002" t="s">
        <v>304</v>
      </c>
      <c r="G409" s="1002" t="s">
        <v>2060</v>
      </c>
      <c r="H409" s="961"/>
      <c r="I409" s="964"/>
      <c r="J409" s="964"/>
      <c r="K409" s="964"/>
      <c r="L409" s="153">
        <f t="shared" si="18"/>
        <v>9173</v>
      </c>
      <c r="M409" s="154" t="str">
        <f t="shared" si="19"/>
        <v>FRAIS ADMIN. VOLKS</v>
      </c>
      <c r="N409" s="155">
        <f>+IF(OR($Q409=Parametres!$G$2,$Q409=Parametres!$G$3),I409,C409)</f>
        <v>0</v>
      </c>
      <c r="O409" s="155">
        <f>+IF(OR($Q409=Parametres!$G$2,$Q409=Parametres!$G$3),J409,D409)</f>
        <v>-11496</v>
      </c>
      <c r="P409" s="155">
        <f>+IF(OR($Q409=Parametres!$G$2,$Q409=Parametres!$G$3),K409,E409)</f>
        <v>-11496</v>
      </c>
      <c r="Q409" s="154" t="str">
        <f t="shared" si="29"/>
        <v>8-Autres revenus</v>
      </c>
      <c r="R409" s="153" t="str">
        <f t="shared" si="29"/>
        <v>9191</v>
      </c>
      <c r="S409" s="154">
        <f t="shared" si="29"/>
        <v>0</v>
      </c>
      <c r="T409" s="156">
        <f>+VLOOKUP($L409,Data_Validation!$A:$D,1,0)</f>
        <v>9173</v>
      </c>
      <c r="U409" s="156" t="str">
        <f>+VLOOKUP($L409,Data_Validation!$A:$D,3,0)</f>
        <v>Véhicules neufs</v>
      </c>
      <c r="V409" s="156" t="str">
        <f>+VLOOKUP($L409,Data_Validation!$A:$D,4,0)</f>
        <v>Frais administration</v>
      </c>
      <c r="W409" s="156" t="str">
        <f>+VLOOKUP($L409,Data_Validation!$A:$E,5,0)</f>
        <v>$</v>
      </c>
      <c r="X409" s="156">
        <f>+VLOOKUP($L409,Data_Validation!$A:$F,6,0)</f>
        <v>0</v>
      </c>
    </row>
    <row r="410" spans="1:24" ht="15" hidden="1" customHeight="1">
      <c r="A410" s="1002" t="s">
        <v>2059</v>
      </c>
      <c r="B410" s="1145">
        <v>9191</v>
      </c>
      <c r="C410" s="1004">
        <v>0</v>
      </c>
      <c r="D410" s="1004">
        <v>-33828.54</v>
      </c>
      <c r="E410" s="1004">
        <v>-33828.54</v>
      </c>
      <c r="F410" s="1002" t="s">
        <v>304</v>
      </c>
      <c r="G410" s="1002" t="s">
        <v>2060</v>
      </c>
      <c r="H410" s="961"/>
      <c r="I410" s="964"/>
      <c r="J410" s="964"/>
      <c r="K410" s="964"/>
      <c r="L410" s="153">
        <f t="shared" si="18"/>
        <v>9191</v>
      </c>
      <c r="M410" s="154" t="str">
        <f t="shared" si="19"/>
        <v>REVENUS DIVERS</v>
      </c>
      <c r="N410" s="155">
        <f>+IF(OR($Q410=Parametres!$G$2,$Q410=Parametres!$G$3),I410,C410)</f>
        <v>0</v>
      </c>
      <c r="O410" s="155">
        <f>+IF(OR($Q410=Parametres!$G$2,$Q410=Parametres!$G$3),J410,D410)</f>
        <v>-33828.54</v>
      </c>
      <c r="P410" s="155">
        <f>+IF(OR($Q410=Parametres!$G$2,$Q410=Parametres!$G$3),K410,E410)</f>
        <v>-33828.54</v>
      </c>
      <c r="Q410" s="154" t="str">
        <f t="shared" si="29"/>
        <v>8-Autres revenus</v>
      </c>
      <c r="R410" s="153" t="str">
        <f t="shared" si="29"/>
        <v>9191</v>
      </c>
      <c r="S410" s="154">
        <f t="shared" si="29"/>
        <v>0</v>
      </c>
      <c r="T410" s="156">
        <f>+VLOOKUP($L410,Data_Validation!$A:$D,1,0)</f>
        <v>9191</v>
      </c>
      <c r="U410" s="156" t="str">
        <f>+VLOOKUP($L410,Data_Validation!$A:$D,3,0)</f>
        <v>TOTAL  DES  REVENUS  ET  DÉPENSES</v>
      </c>
      <c r="V410" s="156" t="str">
        <f>+VLOOKUP($L410,Data_Validation!$A:$D,4,0)</f>
        <v>Revenus autres</v>
      </c>
      <c r="W410" s="156" t="str">
        <f>+VLOOKUP($L410,Data_Validation!$A:$E,5,0)</f>
        <v>$</v>
      </c>
      <c r="X410" s="156">
        <f>+VLOOKUP($L410,Data_Validation!$A:$F,6,0)</f>
        <v>0</v>
      </c>
    </row>
    <row r="411" spans="1:24" ht="15.75" hidden="1" customHeight="1">
      <c r="A411" s="1002" t="s">
        <v>2645</v>
      </c>
      <c r="B411" s="1145">
        <v>9402</v>
      </c>
      <c r="C411" s="1004">
        <v>0</v>
      </c>
      <c r="D411" s="1004">
        <v>398.34</v>
      </c>
      <c r="E411" s="1004">
        <v>398.34</v>
      </c>
      <c r="F411" s="1002" t="s">
        <v>1235</v>
      </c>
      <c r="G411" s="1002" t="s">
        <v>2173</v>
      </c>
      <c r="H411" s="961"/>
      <c r="I411" s="964"/>
      <c r="J411" s="964"/>
      <c r="K411" s="964"/>
      <c r="L411" s="153">
        <f t="shared" si="18"/>
        <v>9402</v>
      </c>
      <c r="M411" s="154" t="str">
        <f t="shared" si="19"/>
        <v>DEPENSE D'INTERETS</v>
      </c>
      <c r="N411" s="155">
        <f>+IF(OR($Q411=Parametres!$G$2,$Q411=Parametres!$G$3),I411,C411)</f>
        <v>0</v>
      </c>
      <c r="O411" s="155">
        <f>+IF(OR($Q411=Parametres!$G$2,$Q411=Parametres!$G$3),J411,D411)</f>
        <v>398.34</v>
      </c>
      <c r="P411" s="155">
        <f>+IF(OR($Q411=Parametres!$G$2,$Q411=Parametres!$G$3),K411,E411)</f>
        <v>398.34</v>
      </c>
      <c r="Q411" s="154" t="str">
        <f t="shared" si="29"/>
        <v>9-Autres déductions</v>
      </c>
      <c r="R411" s="153" t="str">
        <f t="shared" si="29"/>
        <v>9402</v>
      </c>
      <c r="S411" s="154">
        <f t="shared" si="29"/>
        <v>0</v>
      </c>
      <c r="T411" s="156">
        <f>+VLOOKUP($L411,Data_Validation!$A:$D,1,0)</f>
        <v>9402</v>
      </c>
      <c r="U411" s="156" t="str">
        <f>+VLOOKUP($L411,Data_Validation!$A:$D,3,0)</f>
        <v>TOTAL  DES  REVENUS  ET  DÉPENSES</v>
      </c>
      <c r="V411" s="156" t="str">
        <f>+VLOOKUP($L411,Data_Validation!$A:$D,4,0)</f>
        <v>Intérêts sur prêt</v>
      </c>
      <c r="W411" s="156" t="str">
        <f>+VLOOKUP($L411,Data_Validation!$A:$E,5,0)</f>
        <v>$</v>
      </c>
      <c r="X411" s="156">
        <f>+VLOOKUP($L411,Data_Validation!$A:$F,6,0)</f>
        <v>0</v>
      </c>
    </row>
    <row r="412" spans="1:24" ht="15" hidden="1" customHeight="1">
      <c r="A412" s="1002" t="s">
        <v>2171</v>
      </c>
      <c r="B412" s="1145">
        <v>9403</v>
      </c>
      <c r="C412" s="1004">
        <v>0</v>
      </c>
      <c r="D412" s="1004">
        <v>-3540.56</v>
      </c>
      <c r="E412" s="1004">
        <v>-3540.56</v>
      </c>
      <c r="F412" s="1002" t="s">
        <v>1235</v>
      </c>
      <c r="G412" s="1002" t="s">
        <v>2173</v>
      </c>
      <c r="H412" s="961"/>
      <c r="I412" s="964"/>
      <c r="J412" s="964"/>
      <c r="K412" s="964"/>
      <c r="L412" s="153">
        <f t="shared" si="18"/>
        <v>9403</v>
      </c>
      <c r="M412" s="154" t="str">
        <f t="shared" si="19"/>
        <v>INTERETS SUR MARGE CREDIT</v>
      </c>
      <c r="N412" s="155">
        <f>+IF(OR($Q412=Parametres!$G$2,$Q412=Parametres!$G$3),I412,C412)</f>
        <v>0</v>
      </c>
      <c r="O412" s="155">
        <f>+IF(OR($Q412=Parametres!$G$2,$Q412=Parametres!$G$3),J412,D412)</f>
        <v>-3540.56</v>
      </c>
      <c r="P412" s="155">
        <f>+IF(OR($Q412=Parametres!$G$2,$Q412=Parametres!$G$3),K412,E412)</f>
        <v>-3540.56</v>
      </c>
      <c r="Q412" s="154" t="str">
        <f t="shared" si="29"/>
        <v>9-Autres déductions</v>
      </c>
      <c r="R412" s="153" t="str">
        <f t="shared" si="29"/>
        <v>9402</v>
      </c>
      <c r="S412" s="154">
        <f t="shared" si="29"/>
        <v>0</v>
      </c>
      <c r="T412" s="156">
        <f>+VLOOKUP($L412,Data_Validation!$A:$D,1,0)</f>
        <v>9403</v>
      </c>
      <c r="U412" s="156" t="str">
        <f>+VLOOKUP($L412,Data_Validation!$A:$D,3,0)</f>
        <v>TOTAL  DES  REVENUS  ET  DÉPENSES</v>
      </c>
      <c r="V412" s="156" t="str">
        <f>+VLOOKUP($L412,Data_Validation!$A:$D,4,0)</f>
        <v>Intérêts sur marge</v>
      </c>
      <c r="W412" s="156" t="str">
        <f>+VLOOKUP($L412,Data_Validation!$A:$E,5,0)</f>
        <v>$</v>
      </c>
      <c r="X412" s="156">
        <f>+VLOOKUP($L412,Data_Validation!$A:$F,6,0)</f>
        <v>0</v>
      </c>
    </row>
    <row r="413" spans="1:24" ht="15" hidden="1" customHeight="1">
      <c r="A413" s="1002" t="s">
        <v>1389</v>
      </c>
      <c r="B413" s="1145">
        <v>9404</v>
      </c>
      <c r="C413" s="1004">
        <v>0</v>
      </c>
      <c r="D413" s="1004">
        <v>172.25</v>
      </c>
      <c r="E413" s="1004">
        <v>172.25</v>
      </c>
      <c r="F413" s="1002" t="s">
        <v>1235</v>
      </c>
      <c r="G413" s="1002" t="s">
        <v>2173</v>
      </c>
      <c r="H413" s="961"/>
      <c r="I413" s="964"/>
      <c r="J413" s="964"/>
      <c r="K413" s="964"/>
      <c r="L413" s="153">
        <f t="shared" si="18"/>
        <v>9404</v>
      </c>
      <c r="M413" s="154" t="str">
        <f t="shared" si="19"/>
        <v>INTERETS SUR PRET</v>
      </c>
      <c r="N413" s="155">
        <f>+IF(OR($Q413=Parametres!$G$2,$Q413=Parametres!$G$3),I413,C413)</f>
        <v>0</v>
      </c>
      <c r="O413" s="155">
        <f>+IF(OR($Q413=Parametres!$G$2,$Q413=Parametres!$G$3),J413,D413)</f>
        <v>172.25</v>
      </c>
      <c r="P413" s="155">
        <f>+IF(OR($Q413=Parametres!$G$2,$Q413=Parametres!$G$3),K413,E413)</f>
        <v>172.25</v>
      </c>
      <c r="Q413" s="154" t="str">
        <f t="shared" si="29"/>
        <v>9-Autres déductions</v>
      </c>
      <c r="R413" s="153" t="str">
        <f t="shared" si="29"/>
        <v>9402</v>
      </c>
      <c r="S413" s="154">
        <f t="shared" si="29"/>
        <v>0</v>
      </c>
      <c r="T413" s="156">
        <f>+VLOOKUP($L413,Data_Validation!$A:$D,1,0)</f>
        <v>9404</v>
      </c>
      <c r="U413" s="156" t="str">
        <f>+VLOOKUP($L413,Data_Validation!$A:$D,3,0)</f>
        <v>TOTAL  DES  REVENUS  ET  DÉPENSES</v>
      </c>
      <c r="V413" s="156" t="str">
        <f>+VLOOKUP($L413,Data_Validation!$A:$D,4,0)</f>
        <v>Intérêts sur prêt</v>
      </c>
      <c r="W413" s="156" t="str">
        <f>+VLOOKUP($L413,Data_Validation!$A:$E,5,0)</f>
        <v>$</v>
      </c>
      <c r="X413" s="156">
        <f>+VLOOKUP($L413,Data_Validation!$A:$F,6,0)</f>
        <v>0</v>
      </c>
    </row>
    <row r="414" spans="1:24" ht="15" hidden="1" customHeight="1">
      <c r="A414" s="1002" t="s">
        <v>1385</v>
      </c>
      <c r="B414" s="1145">
        <v>9406</v>
      </c>
      <c r="C414" s="1004">
        <v>0</v>
      </c>
      <c r="D414" s="1004">
        <v>4281.22</v>
      </c>
      <c r="E414" s="1004">
        <v>4281.22</v>
      </c>
      <c r="F414" s="1002" t="s">
        <v>1235</v>
      </c>
      <c r="G414" s="1002" t="s">
        <v>2173</v>
      </c>
      <c r="H414" s="961"/>
      <c r="I414" s="964"/>
      <c r="J414" s="964"/>
      <c r="K414" s="964"/>
      <c r="L414" s="153">
        <f t="shared" si="18"/>
        <v>9406</v>
      </c>
      <c r="M414" s="154" t="str">
        <f t="shared" si="19"/>
        <v>FRAIS BANCAIRES</v>
      </c>
      <c r="N414" s="155">
        <f>+IF(OR($Q414=Parametres!$G$2,$Q414=Parametres!$G$3),I414,C414)</f>
        <v>0</v>
      </c>
      <c r="O414" s="155">
        <f>+IF(OR($Q414=Parametres!$G$2,$Q414=Parametres!$G$3),J414,D414)</f>
        <v>4281.22</v>
      </c>
      <c r="P414" s="155">
        <f>+IF(OR($Q414=Parametres!$G$2,$Q414=Parametres!$G$3),K414,E414)</f>
        <v>4281.22</v>
      </c>
      <c r="Q414" s="154" t="str">
        <f t="shared" si="29"/>
        <v>9-Autres déductions</v>
      </c>
      <c r="R414" s="153" t="str">
        <f t="shared" si="29"/>
        <v>9402</v>
      </c>
      <c r="S414" s="154">
        <f t="shared" si="29"/>
        <v>0</v>
      </c>
      <c r="T414" s="156">
        <f>+VLOOKUP($L414,Data_Validation!$A:$D,1,0)</f>
        <v>9406</v>
      </c>
      <c r="U414" s="156" t="str">
        <f>+VLOOKUP($L414,Data_Validation!$A:$D,3,0)</f>
        <v>Véhicules neufs</v>
      </c>
      <c r="V414" s="156" t="str">
        <f>+VLOOKUP($L414,Data_Validation!$A:$D,4,0)</f>
        <v>Frais bancaires</v>
      </c>
      <c r="W414" s="156" t="str">
        <f>+VLOOKUP($L414,Data_Validation!$A:$E,5,0)</f>
        <v>$</v>
      </c>
      <c r="X414" s="156">
        <f>+VLOOKUP($L414,Data_Validation!$A:$F,6,0)</f>
        <v>0</v>
      </c>
    </row>
    <row r="415" spans="1:24" ht="15.75" customHeight="1">
      <c r="A415" s="1002"/>
      <c r="B415" s="1145"/>
      <c r="C415" s="1004"/>
      <c r="D415" s="1004"/>
      <c r="E415" s="1004"/>
      <c r="F415" s="1002"/>
      <c r="G415" s="1002"/>
      <c r="H415" s="961"/>
      <c r="I415" s="964"/>
      <c r="J415" s="964"/>
      <c r="K415" s="964"/>
      <c r="L415" s="153">
        <f t="shared" si="18"/>
        <v>0</v>
      </c>
      <c r="M415" s="154">
        <f t="shared" si="19"/>
        <v>0</v>
      </c>
      <c r="N415" s="155">
        <f>+IF(OR($Q415=Parametres!$G$2,$Q415=Parametres!$G$3),I415,C415)</f>
        <v>0</v>
      </c>
      <c r="O415" s="155">
        <f>+IF(OR($Q415=Parametres!$G$2,$Q415=Parametres!$G$3),J415,D415)</f>
        <v>0</v>
      </c>
      <c r="P415" s="155">
        <f>+IF(OR($Q415=Parametres!$G$2,$Q415=Parametres!$G$3),K415,E415)</f>
        <v>0</v>
      </c>
      <c r="Q415" s="154">
        <f t="shared" si="29"/>
        <v>0</v>
      </c>
      <c r="R415" s="153">
        <f t="shared" si="29"/>
        <v>0</v>
      </c>
      <c r="S415" s="154">
        <f t="shared" si="29"/>
        <v>0</v>
      </c>
      <c r="T415" s="156" t="e">
        <f>+VLOOKUP($L415,Data_Validation!$A:$D,1,0)</f>
        <v>#N/A</v>
      </c>
      <c r="U415" s="156" t="e">
        <f>+VLOOKUP($L415,Data_Validation!$A:$D,3,0)</f>
        <v>#N/A</v>
      </c>
      <c r="V415" s="156" t="e">
        <f>+VLOOKUP($L415,Data_Validation!$A:$D,4,0)</f>
        <v>#N/A</v>
      </c>
      <c r="W415" s="156" t="e">
        <f>+VLOOKUP($L415,Data_Validation!$A:$E,5,0)</f>
        <v>#N/A</v>
      </c>
      <c r="X415" s="156" t="e">
        <f>+VLOOKUP($L415,Data_Validation!$A:$F,6,0)</f>
        <v>#N/A</v>
      </c>
    </row>
    <row r="416" spans="1:24" ht="15" customHeight="1">
      <c r="A416" s="1002"/>
      <c r="B416" s="1145"/>
      <c r="C416" s="1004"/>
      <c r="D416" s="1004"/>
      <c r="E416" s="1004"/>
      <c r="F416" s="1002"/>
      <c r="G416" s="1002"/>
      <c r="H416" s="961"/>
      <c r="I416" s="964"/>
      <c r="J416" s="964"/>
      <c r="K416" s="964"/>
      <c r="L416" s="153">
        <f t="shared" si="18"/>
        <v>0</v>
      </c>
      <c r="M416" s="154">
        <f t="shared" si="19"/>
        <v>0</v>
      </c>
      <c r="N416" s="155">
        <f>+IF(OR($Q416=Parametres!$G$2,$Q416=Parametres!$G$3),I416,C416)</f>
        <v>0</v>
      </c>
      <c r="O416" s="155">
        <f>+IF(OR($Q416=Parametres!$G$2,$Q416=Parametres!$G$3),J416,D416)</f>
        <v>0</v>
      </c>
      <c r="P416" s="155">
        <f>+IF(OR($Q416=Parametres!$G$2,$Q416=Parametres!$G$3),K416,E416)</f>
        <v>0</v>
      </c>
      <c r="Q416" s="154">
        <f t="shared" si="29"/>
        <v>0</v>
      </c>
      <c r="R416" s="153">
        <f t="shared" si="29"/>
        <v>0</v>
      </c>
      <c r="S416" s="154">
        <f t="shared" si="29"/>
        <v>0</v>
      </c>
      <c r="T416" s="156" t="e">
        <f>+VLOOKUP($L416,Data_Validation!$A:$D,1,0)</f>
        <v>#N/A</v>
      </c>
      <c r="U416" s="156" t="e">
        <f>+VLOOKUP($L416,Data_Validation!$A:$D,3,0)</f>
        <v>#N/A</v>
      </c>
      <c r="V416" s="156" t="e">
        <f>+VLOOKUP($L416,Data_Validation!$A:$D,4,0)</f>
        <v>#N/A</v>
      </c>
      <c r="W416" s="156" t="e">
        <f>+VLOOKUP($L416,Data_Validation!$A:$E,5,0)</f>
        <v>#N/A</v>
      </c>
      <c r="X416" s="156" t="e">
        <f>+VLOOKUP($L416,Data_Validation!$A:$F,6,0)</f>
        <v>#N/A</v>
      </c>
    </row>
    <row r="417" spans="1:24" ht="15" customHeight="1">
      <c r="A417" s="1002"/>
      <c r="B417" s="1145"/>
      <c r="C417" s="1004"/>
      <c r="D417" s="1004"/>
      <c r="E417" s="1004"/>
      <c r="F417" s="1002"/>
      <c r="G417" s="1002"/>
      <c r="H417" s="961"/>
      <c r="I417" s="964"/>
      <c r="J417" s="964"/>
      <c r="K417" s="964"/>
      <c r="L417" s="153">
        <f t="shared" si="18"/>
        <v>0</v>
      </c>
      <c r="M417" s="154">
        <f t="shared" si="19"/>
        <v>0</v>
      </c>
      <c r="N417" s="155">
        <f>+IF(OR($Q417=Parametres!$G$2,$Q417=Parametres!$G$3),I417,C417)</f>
        <v>0</v>
      </c>
      <c r="O417" s="155">
        <f>+IF(OR($Q417=Parametres!$G$2,$Q417=Parametres!$G$3),J417,D417)</f>
        <v>0</v>
      </c>
      <c r="P417" s="155">
        <f>+IF(OR($Q417=Parametres!$G$2,$Q417=Parametres!$G$3),K417,E417)</f>
        <v>0</v>
      </c>
      <c r="Q417" s="154">
        <f t="shared" si="29"/>
        <v>0</v>
      </c>
      <c r="R417" s="153">
        <f t="shared" si="29"/>
        <v>0</v>
      </c>
      <c r="S417" s="154">
        <f t="shared" si="29"/>
        <v>0</v>
      </c>
      <c r="T417" s="156" t="e">
        <f>+VLOOKUP($L417,Data_Validation!$A:$D,1,0)</f>
        <v>#N/A</v>
      </c>
      <c r="U417" s="156" t="e">
        <f>+VLOOKUP($L417,Data_Validation!$A:$D,3,0)</f>
        <v>#N/A</v>
      </c>
      <c r="V417" s="156" t="e">
        <f>+VLOOKUP($L417,Data_Validation!$A:$D,4,0)</f>
        <v>#N/A</v>
      </c>
      <c r="W417" s="156" t="e">
        <f>+VLOOKUP($L417,Data_Validation!$A:$E,5,0)</f>
        <v>#N/A</v>
      </c>
      <c r="X417" s="156" t="e">
        <f>+VLOOKUP($L417,Data_Validation!$A:$F,6,0)</f>
        <v>#N/A</v>
      </c>
    </row>
    <row r="418" spans="1:24" ht="15" customHeight="1">
      <c r="A418" s="1002"/>
      <c r="B418" s="1145"/>
      <c r="C418" s="1004"/>
      <c r="D418" s="1004"/>
      <c r="E418" s="1004"/>
      <c r="F418" s="1002"/>
      <c r="G418" s="1002"/>
      <c r="H418" s="961"/>
      <c r="I418" s="964"/>
      <c r="J418" s="964"/>
      <c r="K418" s="964"/>
      <c r="L418" s="153">
        <f t="shared" si="18"/>
        <v>0</v>
      </c>
      <c r="M418" s="154">
        <f t="shared" si="19"/>
        <v>0</v>
      </c>
      <c r="N418" s="155">
        <f>+IF(OR($Q418=Parametres!$G$2,$Q418=Parametres!$G$3),I418,C418)</f>
        <v>0</v>
      </c>
      <c r="O418" s="155">
        <f>+IF(OR($Q418=Parametres!$G$2,$Q418=Parametres!$G$3),J418,D418)</f>
        <v>0</v>
      </c>
      <c r="P418" s="155">
        <f>+IF(OR($Q418=Parametres!$G$2,$Q418=Parametres!$G$3),K418,E418)</f>
        <v>0</v>
      </c>
      <c r="Q418" s="154">
        <f t="shared" ref="Q418:S433" si="30">+F418</f>
        <v>0</v>
      </c>
      <c r="R418" s="153">
        <f t="shared" si="30"/>
        <v>0</v>
      </c>
      <c r="S418" s="154">
        <f t="shared" si="30"/>
        <v>0</v>
      </c>
      <c r="T418" s="156" t="e">
        <f>+VLOOKUP($L418,Data_Validation!$A:$D,1,0)</f>
        <v>#N/A</v>
      </c>
      <c r="U418" s="156" t="e">
        <f>+VLOOKUP($L418,Data_Validation!$A:$D,3,0)</f>
        <v>#N/A</v>
      </c>
      <c r="V418" s="156" t="e">
        <f>+VLOOKUP($L418,Data_Validation!$A:$D,4,0)</f>
        <v>#N/A</v>
      </c>
      <c r="W418" s="156" t="e">
        <f>+VLOOKUP($L418,Data_Validation!$A:$E,5,0)</f>
        <v>#N/A</v>
      </c>
      <c r="X418" s="156" t="e">
        <f>+VLOOKUP($L418,Data_Validation!$A:$F,6,0)</f>
        <v>#N/A</v>
      </c>
    </row>
    <row r="419" spans="1:24" ht="15.75" customHeight="1">
      <c r="A419" s="1002"/>
      <c r="B419" s="1145"/>
      <c r="C419" s="1004"/>
      <c r="D419" s="1004"/>
      <c r="E419" s="1004"/>
      <c r="F419" s="1002"/>
      <c r="G419" s="1002"/>
      <c r="H419" s="961"/>
      <c r="I419" s="964"/>
      <c r="J419" s="964"/>
      <c r="K419" s="964"/>
      <c r="L419" s="153">
        <f t="shared" si="18"/>
        <v>0</v>
      </c>
      <c r="M419" s="154">
        <f t="shared" si="19"/>
        <v>0</v>
      </c>
      <c r="N419" s="155">
        <f>+IF(OR($Q419=Parametres!$G$2,$Q419=Parametres!$G$3),I419,C419)</f>
        <v>0</v>
      </c>
      <c r="O419" s="155">
        <f>+IF(OR($Q419=Parametres!$G$2,$Q419=Parametres!$G$3),J419,D419)</f>
        <v>0</v>
      </c>
      <c r="P419" s="155">
        <f>+IF(OR($Q419=Parametres!$G$2,$Q419=Parametres!$G$3),K419,E419)</f>
        <v>0</v>
      </c>
      <c r="Q419" s="154">
        <f t="shared" si="30"/>
        <v>0</v>
      </c>
      <c r="R419" s="153">
        <f t="shared" si="30"/>
        <v>0</v>
      </c>
      <c r="S419" s="154">
        <f t="shared" si="30"/>
        <v>0</v>
      </c>
      <c r="T419" s="156" t="e">
        <f>+VLOOKUP($L419,Data_Validation!$A:$D,1,0)</f>
        <v>#N/A</v>
      </c>
      <c r="U419" s="156" t="e">
        <f>+VLOOKUP($L419,Data_Validation!$A:$D,3,0)</f>
        <v>#N/A</v>
      </c>
      <c r="V419" s="156" t="e">
        <f>+VLOOKUP($L419,Data_Validation!$A:$D,4,0)</f>
        <v>#N/A</v>
      </c>
      <c r="W419" s="156" t="e">
        <f>+VLOOKUP($L419,Data_Validation!$A:$E,5,0)</f>
        <v>#N/A</v>
      </c>
      <c r="X419" s="156" t="e">
        <f>+VLOOKUP($L419,Data_Validation!$A:$F,6,0)</f>
        <v>#N/A</v>
      </c>
    </row>
    <row r="420" spans="1:24" ht="15.75" customHeight="1">
      <c r="A420" s="1002"/>
      <c r="B420" s="1145"/>
      <c r="C420" s="1004"/>
      <c r="D420" s="1004"/>
      <c r="E420" s="1004"/>
      <c r="F420" s="1002"/>
      <c r="G420" s="1002"/>
      <c r="H420" s="961"/>
      <c r="I420" s="964"/>
      <c r="J420" s="964"/>
      <c r="K420" s="964"/>
      <c r="L420" s="153">
        <f t="shared" si="18"/>
        <v>0</v>
      </c>
      <c r="M420" s="154">
        <f t="shared" si="19"/>
        <v>0</v>
      </c>
      <c r="N420" s="155">
        <f>+IF(OR($Q420=Parametres!$G$2,$Q420=Parametres!$G$3),I420,C420)</f>
        <v>0</v>
      </c>
      <c r="O420" s="155">
        <f>+IF(OR($Q420=Parametres!$G$2,$Q420=Parametres!$G$3),J420,D420)</f>
        <v>0</v>
      </c>
      <c r="P420" s="155">
        <f>+IF(OR($Q420=Parametres!$G$2,$Q420=Parametres!$G$3),K420,E420)</f>
        <v>0</v>
      </c>
      <c r="Q420" s="154">
        <f t="shared" si="30"/>
        <v>0</v>
      </c>
      <c r="R420" s="153">
        <f t="shared" si="30"/>
        <v>0</v>
      </c>
      <c r="S420" s="154">
        <f t="shared" si="30"/>
        <v>0</v>
      </c>
      <c r="T420" s="156" t="e">
        <f>+VLOOKUP($L420,Data_Validation!$A:$D,1,0)</f>
        <v>#N/A</v>
      </c>
      <c r="U420" s="156" t="e">
        <f>+VLOOKUP($L420,Data_Validation!$A:$D,3,0)</f>
        <v>#N/A</v>
      </c>
      <c r="V420" s="156" t="e">
        <f>+VLOOKUP($L420,Data_Validation!$A:$D,4,0)</f>
        <v>#N/A</v>
      </c>
      <c r="W420" s="156" t="e">
        <f>+VLOOKUP($L420,Data_Validation!$A:$E,5,0)</f>
        <v>#N/A</v>
      </c>
      <c r="X420" s="156" t="e">
        <f>+VLOOKUP($L420,Data_Validation!$A:$F,6,0)</f>
        <v>#N/A</v>
      </c>
    </row>
    <row r="421" spans="1:24" ht="15" customHeight="1">
      <c r="A421" s="1002"/>
      <c r="B421" s="1145"/>
      <c r="C421" s="1004"/>
      <c r="D421" s="1004"/>
      <c r="E421" s="1004"/>
      <c r="F421" s="1002"/>
      <c r="G421" s="1002"/>
      <c r="H421" s="961"/>
      <c r="I421" s="964"/>
      <c r="J421" s="964"/>
      <c r="K421" s="964"/>
      <c r="L421" s="153">
        <f t="shared" si="18"/>
        <v>0</v>
      </c>
      <c r="M421" s="154">
        <f t="shared" si="19"/>
        <v>0</v>
      </c>
      <c r="N421" s="155">
        <f>+IF(OR($Q421=Parametres!$G$2,$Q421=Parametres!$G$3),I421,C421)</f>
        <v>0</v>
      </c>
      <c r="O421" s="155">
        <f>+IF(OR($Q421=Parametres!$G$2,$Q421=Parametres!$G$3),J421,D421)</f>
        <v>0</v>
      </c>
      <c r="P421" s="155">
        <f>+IF(OR($Q421=Parametres!$G$2,$Q421=Parametres!$G$3),K421,E421)</f>
        <v>0</v>
      </c>
      <c r="Q421" s="154">
        <f t="shared" si="30"/>
        <v>0</v>
      </c>
      <c r="R421" s="153">
        <f t="shared" si="30"/>
        <v>0</v>
      </c>
      <c r="S421" s="154">
        <f t="shared" si="30"/>
        <v>0</v>
      </c>
      <c r="T421" s="156" t="e">
        <f>+VLOOKUP($L421,Data_Validation!$A:$D,1,0)</f>
        <v>#N/A</v>
      </c>
      <c r="U421" s="156" t="e">
        <f>+VLOOKUP($L421,Data_Validation!$A:$D,3,0)</f>
        <v>#N/A</v>
      </c>
      <c r="V421" s="156" t="e">
        <f>+VLOOKUP($L421,Data_Validation!$A:$D,4,0)</f>
        <v>#N/A</v>
      </c>
      <c r="W421" s="156" t="e">
        <f>+VLOOKUP($L421,Data_Validation!$A:$E,5,0)</f>
        <v>#N/A</v>
      </c>
      <c r="X421" s="156" t="e">
        <f>+VLOOKUP($L421,Data_Validation!$A:$F,6,0)</f>
        <v>#N/A</v>
      </c>
    </row>
    <row r="422" spans="1:24" ht="15" customHeight="1">
      <c r="A422" s="1002"/>
      <c r="B422" s="1145"/>
      <c r="C422" s="1004"/>
      <c r="D422" s="1004"/>
      <c r="E422" s="1004"/>
      <c r="F422" s="1002"/>
      <c r="G422" s="1002"/>
      <c r="H422" s="961"/>
      <c r="I422" s="964"/>
      <c r="J422" s="964"/>
      <c r="K422" s="964"/>
      <c r="L422" s="153">
        <f t="shared" si="18"/>
        <v>0</v>
      </c>
      <c r="M422" s="154">
        <f t="shared" si="19"/>
        <v>0</v>
      </c>
      <c r="N422" s="155">
        <f>+IF(OR($Q422=Parametres!$G$2,$Q422=Parametres!$G$3),I422,C422)</f>
        <v>0</v>
      </c>
      <c r="O422" s="155">
        <f>+IF(OR($Q422=Parametres!$G$2,$Q422=Parametres!$G$3),J422,D422)</f>
        <v>0</v>
      </c>
      <c r="P422" s="155">
        <f>+IF(OR($Q422=Parametres!$G$2,$Q422=Parametres!$G$3),K422,E422)</f>
        <v>0</v>
      </c>
      <c r="Q422" s="154">
        <f t="shared" si="30"/>
        <v>0</v>
      </c>
      <c r="R422" s="153">
        <f t="shared" si="30"/>
        <v>0</v>
      </c>
      <c r="S422" s="154">
        <f t="shared" si="30"/>
        <v>0</v>
      </c>
      <c r="T422" s="156" t="e">
        <f>+VLOOKUP($L422,Data_Validation!$A:$D,1,0)</f>
        <v>#N/A</v>
      </c>
      <c r="U422" s="156" t="e">
        <f>+VLOOKUP($L422,Data_Validation!$A:$D,3,0)</f>
        <v>#N/A</v>
      </c>
      <c r="V422" s="156" t="e">
        <f>+VLOOKUP($L422,Data_Validation!$A:$D,4,0)</f>
        <v>#N/A</v>
      </c>
      <c r="W422" s="156" t="e">
        <f>+VLOOKUP($L422,Data_Validation!$A:$E,5,0)</f>
        <v>#N/A</v>
      </c>
      <c r="X422" s="156" t="e">
        <f>+VLOOKUP($L422,Data_Validation!$A:$F,6,0)</f>
        <v>#N/A</v>
      </c>
    </row>
    <row r="423" spans="1:24" ht="15" customHeight="1">
      <c r="A423" s="1002"/>
      <c r="B423" s="1145"/>
      <c r="C423" s="1004"/>
      <c r="D423" s="1004"/>
      <c r="E423" s="1004"/>
      <c r="F423" s="1002"/>
      <c r="G423" s="1002"/>
      <c r="H423" s="961"/>
      <c r="I423" s="964"/>
      <c r="J423" s="964"/>
      <c r="K423" s="964"/>
      <c r="L423" s="153">
        <f t="shared" si="18"/>
        <v>0</v>
      </c>
      <c r="M423" s="154">
        <f t="shared" si="19"/>
        <v>0</v>
      </c>
      <c r="N423" s="155">
        <f>+IF(OR($Q423=Parametres!$G$2,$Q423=Parametres!$G$3),I423,C423)</f>
        <v>0</v>
      </c>
      <c r="O423" s="155">
        <f>+IF(OR($Q423=Parametres!$G$2,$Q423=Parametres!$G$3),J423,D423)</f>
        <v>0</v>
      </c>
      <c r="P423" s="155">
        <f>+IF(OR($Q423=Parametres!$G$2,$Q423=Parametres!$G$3),K423,E423)</f>
        <v>0</v>
      </c>
      <c r="Q423" s="154">
        <f t="shared" si="30"/>
        <v>0</v>
      </c>
      <c r="R423" s="153">
        <f t="shared" si="30"/>
        <v>0</v>
      </c>
      <c r="S423" s="154">
        <f t="shared" si="30"/>
        <v>0</v>
      </c>
      <c r="T423" s="156" t="e">
        <f>+VLOOKUP($L423,Data_Validation!$A:$D,1,0)</f>
        <v>#N/A</v>
      </c>
      <c r="U423" s="156" t="e">
        <f>+VLOOKUP($L423,Data_Validation!$A:$D,3,0)</f>
        <v>#N/A</v>
      </c>
      <c r="V423" s="156" t="e">
        <f>+VLOOKUP($L423,Data_Validation!$A:$D,4,0)</f>
        <v>#N/A</v>
      </c>
      <c r="W423" s="156" t="e">
        <f>+VLOOKUP($L423,Data_Validation!$A:$E,5,0)</f>
        <v>#N/A</v>
      </c>
      <c r="X423" s="156" t="e">
        <f>+VLOOKUP($L423,Data_Validation!$A:$F,6,0)</f>
        <v>#N/A</v>
      </c>
    </row>
    <row r="424" spans="1:24" ht="15" customHeight="1">
      <c r="A424" s="1002"/>
      <c r="B424" s="1145"/>
      <c r="C424" s="1004"/>
      <c r="D424" s="1004"/>
      <c r="E424" s="1004"/>
      <c r="F424" s="1002"/>
      <c r="G424" s="1002"/>
      <c r="H424" s="961"/>
      <c r="I424" s="964"/>
      <c r="J424" s="964"/>
      <c r="K424" s="964"/>
      <c r="L424" s="153">
        <f t="shared" si="18"/>
        <v>0</v>
      </c>
      <c r="M424" s="154">
        <f t="shared" si="19"/>
        <v>0</v>
      </c>
      <c r="N424" s="155">
        <f>+IF(OR($Q424=Parametres!$G$2,$Q424=Parametres!$G$3),I424,C424)</f>
        <v>0</v>
      </c>
      <c r="O424" s="155">
        <f>+IF(OR($Q424=Parametres!$G$2,$Q424=Parametres!$G$3),J424,D424)</f>
        <v>0</v>
      </c>
      <c r="P424" s="155">
        <f>+IF(OR($Q424=Parametres!$G$2,$Q424=Parametres!$G$3),K424,E424)</f>
        <v>0</v>
      </c>
      <c r="Q424" s="154">
        <f t="shared" si="30"/>
        <v>0</v>
      </c>
      <c r="R424" s="153">
        <f t="shared" si="30"/>
        <v>0</v>
      </c>
      <c r="S424" s="154">
        <f t="shared" si="30"/>
        <v>0</v>
      </c>
      <c r="T424" s="156" t="e">
        <f>+VLOOKUP($L424,Data_Validation!$A:$D,1,0)</f>
        <v>#N/A</v>
      </c>
      <c r="U424" s="156" t="e">
        <f>+VLOOKUP($L424,Data_Validation!$A:$D,3,0)</f>
        <v>#N/A</v>
      </c>
      <c r="V424" s="156" t="e">
        <f>+VLOOKUP($L424,Data_Validation!$A:$D,4,0)</f>
        <v>#N/A</v>
      </c>
      <c r="W424" s="156" t="e">
        <f>+VLOOKUP($L424,Data_Validation!$A:$E,5,0)</f>
        <v>#N/A</v>
      </c>
      <c r="X424" s="156" t="e">
        <f>+VLOOKUP($L424,Data_Validation!$A:$F,6,0)</f>
        <v>#N/A</v>
      </c>
    </row>
    <row r="425" spans="1:24" ht="15.75" customHeight="1">
      <c r="A425" s="1002"/>
      <c r="B425" s="1145"/>
      <c r="C425" s="1004"/>
      <c r="D425" s="1004"/>
      <c r="E425" s="1004"/>
      <c r="F425" s="1002"/>
      <c r="G425" s="1002"/>
      <c r="H425" s="961"/>
      <c r="I425" s="964"/>
      <c r="J425" s="964"/>
      <c r="K425" s="964"/>
      <c r="L425" s="153">
        <f t="shared" si="18"/>
        <v>0</v>
      </c>
      <c r="M425" s="154">
        <f t="shared" si="19"/>
        <v>0</v>
      </c>
      <c r="N425" s="155">
        <f>+IF(OR($Q425=Parametres!$G$2,$Q425=Parametres!$G$3),I425,C425)</f>
        <v>0</v>
      </c>
      <c r="O425" s="155">
        <f>+IF(OR($Q425=Parametres!$G$2,$Q425=Parametres!$G$3),J425,D425)</f>
        <v>0</v>
      </c>
      <c r="P425" s="155">
        <f>+IF(OR($Q425=Parametres!$G$2,$Q425=Parametres!$G$3),K425,E425)</f>
        <v>0</v>
      </c>
      <c r="Q425" s="154">
        <f t="shared" si="30"/>
        <v>0</v>
      </c>
      <c r="R425" s="153">
        <f t="shared" si="30"/>
        <v>0</v>
      </c>
      <c r="S425" s="154">
        <f t="shared" si="30"/>
        <v>0</v>
      </c>
      <c r="T425" s="156" t="e">
        <f>+VLOOKUP($L425,Data_Validation!$A:$D,1,0)</f>
        <v>#N/A</v>
      </c>
      <c r="U425" s="156" t="e">
        <f>+VLOOKUP($L425,Data_Validation!$A:$D,3,0)</f>
        <v>#N/A</v>
      </c>
      <c r="V425" s="156" t="e">
        <f>+VLOOKUP($L425,Data_Validation!$A:$D,4,0)</f>
        <v>#N/A</v>
      </c>
      <c r="W425" s="156" t="e">
        <f>+VLOOKUP($L425,Data_Validation!$A:$E,5,0)</f>
        <v>#N/A</v>
      </c>
      <c r="X425" s="156" t="e">
        <f>+VLOOKUP($L425,Data_Validation!$A:$F,6,0)</f>
        <v>#N/A</v>
      </c>
    </row>
    <row r="426" spans="1:24" ht="15" customHeight="1">
      <c r="A426" s="1002"/>
      <c r="B426" s="1145"/>
      <c r="C426" s="1004"/>
      <c r="D426" s="1004"/>
      <c r="E426" s="1004"/>
      <c r="F426" s="1002"/>
      <c r="G426" s="1002"/>
      <c r="H426" s="961"/>
      <c r="I426" s="964"/>
      <c r="J426" s="964"/>
      <c r="K426" s="964"/>
      <c r="L426" s="153">
        <f t="shared" si="18"/>
        <v>0</v>
      </c>
      <c r="M426" s="154">
        <f t="shared" si="19"/>
        <v>0</v>
      </c>
      <c r="N426" s="155">
        <f>+IF(OR($Q426=Parametres!$G$2,$Q426=Parametres!$G$3),I426,C426)</f>
        <v>0</v>
      </c>
      <c r="O426" s="155">
        <f>+IF(OR($Q426=Parametres!$G$2,$Q426=Parametres!$G$3),J426,D426)</f>
        <v>0</v>
      </c>
      <c r="P426" s="155">
        <f>+IF(OR($Q426=Parametres!$G$2,$Q426=Parametres!$G$3),K426,E426)</f>
        <v>0</v>
      </c>
      <c r="Q426" s="154">
        <f t="shared" si="30"/>
        <v>0</v>
      </c>
      <c r="R426" s="153">
        <f t="shared" si="30"/>
        <v>0</v>
      </c>
      <c r="S426" s="154">
        <f t="shared" si="30"/>
        <v>0</v>
      </c>
      <c r="T426" s="156" t="e">
        <f>+VLOOKUP($L426,Data_Validation!$A:$D,1,0)</f>
        <v>#N/A</v>
      </c>
      <c r="U426" s="156" t="e">
        <f>+VLOOKUP($L426,Data_Validation!$A:$D,3,0)</f>
        <v>#N/A</v>
      </c>
      <c r="V426" s="156" t="e">
        <f>+VLOOKUP($L426,Data_Validation!$A:$D,4,0)</f>
        <v>#N/A</v>
      </c>
      <c r="W426" s="156" t="e">
        <f>+VLOOKUP($L426,Data_Validation!$A:$E,5,0)</f>
        <v>#N/A</v>
      </c>
      <c r="X426" s="156" t="e">
        <f>+VLOOKUP($L426,Data_Validation!$A:$F,6,0)</f>
        <v>#N/A</v>
      </c>
    </row>
    <row r="427" spans="1:24" ht="15" customHeight="1">
      <c r="A427" s="1002"/>
      <c r="B427" s="1145"/>
      <c r="C427" s="1004"/>
      <c r="D427" s="1004"/>
      <c r="E427" s="1004"/>
      <c r="F427" s="1002"/>
      <c r="G427" s="1002"/>
      <c r="H427" s="961"/>
      <c r="I427" s="964"/>
      <c r="J427" s="964"/>
      <c r="K427" s="964"/>
      <c r="L427" s="153">
        <f t="shared" si="18"/>
        <v>0</v>
      </c>
      <c r="M427" s="154">
        <f t="shared" si="19"/>
        <v>0</v>
      </c>
      <c r="N427" s="155">
        <f>+IF(OR($Q427=Parametres!$G$2,$Q427=Parametres!$G$3),I427,C427)</f>
        <v>0</v>
      </c>
      <c r="O427" s="155">
        <f>+IF(OR($Q427=Parametres!$G$2,$Q427=Parametres!$G$3),J427,D427)</f>
        <v>0</v>
      </c>
      <c r="P427" s="155">
        <f>+IF(OR($Q427=Parametres!$G$2,$Q427=Parametres!$G$3),K427,E427)</f>
        <v>0</v>
      </c>
      <c r="Q427" s="154">
        <f t="shared" si="30"/>
        <v>0</v>
      </c>
      <c r="R427" s="153">
        <f t="shared" si="30"/>
        <v>0</v>
      </c>
      <c r="S427" s="154">
        <f t="shared" si="30"/>
        <v>0</v>
      </c>
      <c r="T427" s="156" t="e">
        <f>+VLOOKUP($L427,Data_Validation!$A:$D,1,0)</f>
        <v>#N/A</v>
      </c>
      <c r="U427" s="156" t="e">
        <f>+VLOOKUP($L427,Data_Validation!$A:$D,3,0)</f>
        <v>#N/A</v>
      </c>
      <c r="V427" s="156" t="e">
        <f>+VLOOKUP($L427,Data_Validation!$A:$D,4,0)</f>
        <v>#N/A</v>
      </c>
      <c r="W427" s="156" t="e">
        <f>+VLOOKUP($L427,Data_Validation!$A:$E,5,0)</f>
        <v>#N/A</v>
      </c>
      <c r="X427" s="156" t="e">
        <f>+VLOOKUP($L427,Data_Validation!$A:$F,6,0)</f>
        <v>#N/A</v>
      </c>
    </row>
    <row r="428" spans="1:24" ht="15" customHeight="1">
      <c r="A428" s="1002"/>
      <c r="B428" s="1145"/>
      <c r="C428" s="1004"/>
      <c r="D428" s="1004"/>
      <c r="E428" s="1004"/>
      <c r="F428" s="1002"/>
      <c r="G428" s="1002"/>
      <c r="H428" s="961"/>
      <c r="I428" s="964"/>
      <c r="J428" s="964"/>
      <c r="K428" s="964"/>
      <c r="L428" s="153">
        <f t="shared" si="18"/>
        <v>0</v>
      </c>
      <c r="M428" s="154">
        <f t="shared" si="19"/>
        <v>0</v>
      </c>
      <c r="N428" s="155">
        <f>+IF(OR($Q428=Parametres!$G$2,$Q428=Parametres!$G$3),I428,C428)</f>
        <v>0</v>
      </c>
      <c r="O428" s="155">
        <f>+IF(OR($Q428=Parametres!$G$2,$Q428=Parametres!$G$3),J428,D428)</f>
        <v>0</v>
      </c>
      <c r="P428" s="155">
        <f>+IF(OR($Q428=Parametres!$G$2,$Q428=Parametres!$G$3),K428,E428)</f>
        <v>0</v>
      </c>
      <c r="Q428" s="154">
        <f t="shared" si="30"/>
        <v>0</v>
      </c>
      <c r="R428" s="153">
        <f t="shared" si="30"/>
        <v>0</v>
      </c>
      <c r="S428" s="154">
        <f t="shared" si="30"/>
        <v>0</v>
      </c>
      <c r="T428" s="156" t="e">
        <f>+VLOOKUP($L428,Data_Validation!$A:$D,1,0)</f>
        <v>#N/A</v>
      </c>
      <c r="U428" s="156" t="e">
        <f>+VLOOKUP($L428,Data_Validation!$A:$D,3,0)</f>
        <v>#N/A</v>
      </c>
      <c r="V428" s="156" t="e">
        <f>+VLOOKUP($L428,Data_Validation!$A:$D,4,0)</f>
        <v>#N/A</v>
      </c>
      <c r="W428" s="156" t="e">
        <f>+VLOOKUP($L428,Data_Validation!$A:$E,5,0)</f>
        <v>#N/A</v>
      </c>
      <c r="X428" s="156" t="e">
        <f>+VLOOKUP($L428,Data_Validation!$A:$F,6,0)</f>
        <v>#N/A</v>
      </c>
    </row>
    <row r="429" spans="1:24" ht="15" customHeight="1">
      <c r="A429" s="1002"/>
      <c r="B429" s="1145"/>
      <c r="C429" s="1004"/>
      <c r="D429" s="1004"/>
      <c r="E429" s="1004"/>
      <c r="F429" s="1002"/>
      <c r="G429" s="1002"/>
      <c r="H429" s="961"/>
      <c r="I429" s="964"/>
      <c r="J429" s="964"/>
      <c r="K429" s="964"/>
      <c r="L429" s="153">
        <f t="shared" si="18"/>
        <v>0</v>
      </c>
      <c r="M429" s="154">
        <f t="shared" si="19"/>
        <v>0</v>
      </c>
      <c r="N429" s="155">
        <f>+IF(OR($Q429=Parametres!$G$2,$Q429=Parametres!$G$3),I429,C429)</f>
        <v>0</v>
      </c>
      <c r="O429" s="155">
        <f>+IF(OR($Q429=Parametres!$G$2,$Q429=Parametres!$G$3),J429,D429)</f>
        <v>0</v>
      </c>
      <c r="P429" s="155">
        <f>+IF(OR($Q429=Parametres!$G$2,$Q429=Parametres!$G$3),K429,E429)</f>
        <v>0</v>
      </c>
      <c r="Q429" s="154">
        <f t="shared" si="30"/>
        <v>0</v>
      </c>
      <c r="R429" s="153">
        <f t="shared" si="30"/>
        <v>0</v>
      </c>
      <c r="S429" s="154">
        <f t="shared" si="30"/>
        <v>0</v>
      </c>
      <c r="T429" s="156" t="e">
        <f>+VLOOKUP($L429,Data_Validation!$A:$D,1,0)</f>
        <v>#N/A</v>
      </c>
      <c r="U429" s="156" t="e">
        <f>+VLOOKUP($L429,Data_Validation!$A:$D,3,0)</f>
        <v>#N/A</v>
      </c>
      <c r="V429" s="156" t="e">
        <f>+VLOOKUP($L429,Data_Validation!$A:$D,4,0)</f>
        <v>#N/A</v>
      </c>
      <c r="W429" s="156" t="e">
        <f>+VLOOKUP($L429,Data_Validation!$A:$E,5,0)</f>
        <v>#N/A</v>
      </c>
      <c r="X429" s="156" t="e">
        <f>+VLOOKUP($L429,Data_Validation!$A:$F,6,0)</f>
        <v>#N/A</v>
      </c>
    </row>
    <row r="430" spans="1:24" ht="15" customHeight="1">
      <c r="A430" s="1002"/>
      <c r="B430" s="1145"/>
      <c r="C430" s="1004"/>
      <c r="D430" s="1004"/>
      <c r="E430" s="1004"/>
      <c r="F430" s="1002"/>
      <c r="G430" s="1002"/>
      <c r="H430" s="961"/>
      <c r="I430" s="964"/>
      <c r="J430" s="964"/>
      <c r="K430" s="964"/>
      <c r="L430" s="153">
        <f t="shared" si="18"/>
        <v>0</v>
      </c>
      <c r="M430" s="154">
        <f t="shared" si="19"/>
        <v>0</v>
      </c>
      <c r="N430" s="155">
        <f>+IF(OR($Q430=Parametres!$G$2,$Q430=Parametres!$G$3),I430,C430)</f>
        <v>0</v>
      </c>
      <c r="O430" s="155">
        <f>+IF(OR($Q430=Parametres!$G$2,$Q430=Parametres!$G$3),J430,D430)</f>
        <v>0</v>
      </c>
      <c r="P430" s="155">
        <f>+IF(OR($Q430=Parametres!$G$2,$Q430=Parametres!$G$3),K430,E430)</f>
        <v>0</v>
      </c>
      <c r="Q430" s="154">
        <f t="shared" si="30"/>
        <v>0</v>
      </c>
      <c r="R430" s="153">
        <f t="shared" si="30"/>
        <v>0</v>
      </c>
      <c r="S430" s="154">
        <f t="shared" si="30"/>
        <v>0</v>
      </c>
      <c r="T430" s="156" t="e">
        <f>+VLOOKUP($L430,Data_Validation!$A:$D,1,0)</f>
        <v>#N/A</v>
      </c>
      <c r="U430" s="156" t="e">
        <f>+VLOOKUP($L430,Data_Validation!$A:$D,3,0)</f>
        <v>#N/A</v>
      </c>
      <c r="V430" s="156" t="e">
        <f>+VLOOKUP($L430,Data_Validation!$A:$D,4,0)</f>
        <v>#N/A</v>
      </c>
      <c r="W430" s="156" t="e">
        <f>+VLOOKUP($L430,Data_Validation!$A:$E,5,0)</f>
        <v>#N/A</v>
      </c>
      <c r="X430" s="156" t="e">
        <f>+VLOOKUP($L430,Data_Validation!$A:$F,6,0)</f>
        <v>#N/A</v>
      </c>
    </row>
    <row r="431" spans="1:24" ht="15.75" customHeight="1">
      <c r="A431" s="1002"/>
      <c r="B431" s="1145"/>
      <c r="C431" s="1004"/>
      <c r="D431" s="1004"/>
      <c r="E431" s="1004"/>
      <c r="F431" s="1002"/>
      <c r="G431" s="1002"/>
      <c r="H431" s="961"/>
      <c r="I431" s="964"/>
      <c r="J431" s="964"/>
      <c r="K431" s="964"/>
      <c r="L431" s="153">
        <f t="shared" si="18"/>
        <v>0</v>
      </c>
      <c r="M431" s="154">
        <f t="shared" si="19"/>
        <v>0</v>
      </c>
      <c r="N431" s="155">
        <f>+IF(OR($Q431=Parametres!$G$2,$Q431=Parametres!$G$3),I431,C431)</f>
        <v>0</v>
      </c>
      <c r="O431" s="155">
        <f>+IF(OR($Q431=Parametres!$G$2,$Q431=Parametres!$G$3),J431,D431)</f>
        <v>0</v>
      </c>
      <c r="P431" s="155">
        <f>+IF(OR($Q431=Parametres!$G$2,$Q431=Parametres!$G$3),K431,E431)</f>
        <v>0</v>
      </c>
      <c r="Q431" s="154">
        <f t="shared" si="30"/>
        <v>0</v>
      </c>
      <c r="R431" s="153">
        <f t="shared" si="30"/>
        <v>0</v>
      </c>
      <c r="S431" s="154">
        <f t="shared" si="30"/>
        <v>0</v>
      </c>
      <c r="T431" s="156" t="e">
        <f>+VLOOKUP($L431,Data_Validation!$A:$D,1,0)</f>
        <v>#N/A</v>
      </c>
      <c r="U431" s="156" t="e">
        <f>+VLOOKUP($L431,Data_Validation!$A:$D,3,0)</f>
        <v>#N/A</v>
      </c>
      <c r="V431" s="156" t="e">
        <f>+VLOOKUP($L431,Data_Validation!$A:$D,4,0)</f>
        <v>#N/A</v>
      </c>
      <c r="W431" s="156" t="e">
        <f>+VLOOKUP($L431,Data_Validation!$A:$E,5,0)</f>
        <v>#N/A</v>
      </c>
      <c r="X431" s="156" t="e">
        <f>+VLOOKUP($L431,Data_Validation!$A:$F,6,0)</f>
        <v>#N/A</v>
      </c>
    </row>
    <row r="432" spans="1:24" ht="15" customHeight="1">
      <c r="A432" s="1002"/>
      <c r="B432" s="1145"/>
      <c r="C432" s="1004"/>
      <c r="D432" s="1004"/>
      <c r="E432" s="1004"/>
      <c r="F432" s="1002"/>
      <c r="G432" s="1002"/>
      <c r="H432" s="961"/>
      <c r="I432" s="964"/>
      <c r="J432" s="964"/>
      <c r="K432" s="964"/>
      <c r="L432" s="153">
        <f t="shared" si="18"/>
        <v>0</v>
      </c>
      <c r="M432" s="154">
        <f t="shared" si="19"/>
        <v>0</v>
      </c>
      <c r="N432" s="155">
        <f>+IF(OR($Q432=Parametres!$G$2,$Q432=Parametres!$G$3),I432,C432)</f>
        <v>0</v>
      </c>
      <c r="O432" s="155">
        <f>+IF(OR($Q432=Parametres!$G$2,$Q432=Parametres!$G$3),J432,D432)</f>
        <v>0</v>
      </c>
      <c r="P432" s="155">
        <f>+IF(OR($Q432=Parametres!$G$2,$Q432=Parametres!$G$3),K432,E432)</f>
        <v>0</v>
      </c>
      <c r="Q432" s="154">
        <f t="shared" si="30"/>
        <v>0</v>
      </c>
      <c r="R432" s="153">
        <f t="shared" si="30"/>
        <v>0</v>
      </c>
      <c r="S432" s="154">
        <f t="shared" si="30"/>
        <v>0</v>
      </c>
      <c r="T432" s="156" t="e">
        <f>+VLOOKUP($L432,Data_Validation!$A:$D,1,0)</f>
        <v>#N/A</v>
      </c>
      <c r="U432" s="156" t="e">
        <f>+VLOOKUP($L432,Data_Validation!$A:$D,3,0)</f>
        <v>#N/A</v>
      </c>
      <c r="V432" s="156" t="e">
        <f>+VLOOKUP($L432,Data_Validation!$A:$D,4,0)</f>
        <v>#N/A</v>
      </c>
      <c r="W432" s="156" t="e">
        <f>+VLOOKUP($L432,Data_Validation!$A:$E,5,0)</f>
        <v>#N/A</v>
      </c>
      <c r="X432" s="156" t="e">
        <f>+VLOOKUP($L432,Data_Validation!$A:$F,6,0)</f>
        <v>#N/A</v>
      </c>
    </row>
    <row r="433" spans="1:24" ht="15" customHeight="1">
      <c r="A433" s="1002"/>
      <c r="B433" s="1145"/>
      <c r="C433" s="1004"/>
      <c r="D433" s="1004"/>
      <c r="E433" s="1004"/>
      <c r="F433" s="1002"/>
      <c r="G433" s="1002"/>
      <c r="H433" s="961"/>
      <c r="I433" s="964"/>
      <c r="J433" s="964"/>
      <c r="K433" s="964"/>
      <c r="L433" s="153">
        <f t="shared" si="18"/>
        <v>0</v>
      </c>
      <c r="M433" s="154">
        <f t="shared" si="19"/>
        <v>0</v>
      </c>
      <c r="N433" s="155">
        <f>+IF(OR($Q433=Parametres!$G$2,$Q433=Parametres!$G$3),I433,C433)</f>
        <v>0</v>
      </c>
      <c r="O433" s="155">
        <f>+IF(OR($Q433=Parametres!$G$2,$Q433=Parametres!$G$3),J433,D433)</f>
        <v>0</v>
      </c>
      <c r="P433" s="155">
        <f>+IF(OR($Q433=Parametres!$G$2,$Q433=Parametres!$G$3),K433,E433)</f>
        <v>0</v>
      </c>
      <c r="Q433" s="154">
        <f t="shared" si="30"/>
        <v>0</v>
      </c>
      <c r="R433" s="153">
        <f t="shared" si="30"/>
        <v>0</v>
      </c>
      <c r="S433" s="154">
        <f t="shared" si="30"/>
        <v>0</v>
      </c>
      <c r="T433" s="156" t="e">
        <f>+VLOOKUP($L433,Data_Validation!$A:$D,1,0)</f>
        <v>#N/A</v>
      </c>
      <c r="U433" s="156" t="e">
        <f>+VLOOKUP($L433,Data_Validation!$A:$D,3,0)</f>
        <v>#N/A</v>
      </c>
      <c r="V433" s="156" t="e">
        <f>+VLOOKUP($L433,Data_Validation!$A:$D,4,0)</f>
        <v>#N/A</v>
      </c>
      <c r="W433" s="156" t="e">
        <f>+VLOOKUP($L433,Data_Validation!$A:$E,5,0)</f>
        <v>#N/A</v>
      </c>
      <c r="X433" s="156" t="e">
        <f>+VLOOKUP($L433,Data_Validation!$A:$F,6,0)</f>
        <v>#N/A</v>
      </c>
    </row>
    <row r="434" spans="1:24" ht="15" customHeight="1">
      <c r="A434" s="1002"/>
      <c r="B434" s="1145"/>
      <c r="C434" s="1004"/>
      <c r="D434" s="1004"/>
      <c r="E434" s="1004"/>
      <c r="F434" s="1002"/>
      <c r="G434" s="1002"/>
      <c r="H434" s="150"/>
      <c r="I434" s="152"/>
      <c r="J434" s="152"/>
      <c r="K434" s="152"/>
      <c r="L434" s="153">
        <f t="shared" si="18"/>
        <v>0</v>
      </c>
      <c r="M434" s="154">
        <f t="shared" si="19"/>
        <v>0</v>
      </c>
      <c r="N434" s="155">
        <f>+IF(OR($Q434=Parametres!$G$2,$Q434=Parametres!$G$3),I434,C434)</f>
        <v>0</v>
      </c>
      <c r="O434" s="155">
        <f>+IF(OR($Q434=Parametres!$G$2,$Q434=Parametres!$G$3),J434,D434)</f>
        <v>0</v>
      </c>
      <c r="P434" s="155">
        <f>+IF(OR($Q434=Parametres!$G$2,$Q434=Parametres!$G$3),K434,E434)</f>
        <v>0</v>
      </c>
      <c r="Q434" s="154">
        <f t="shared" ref="Q434:S449" si="31">+F434</f>
        <v>0</v>
      </c>
      <c r="R434" s="153">
        <f t="shared" si="31"/>
        <v>0</v>
      </c>
      <c r="S434" s="154">
        <f t="shared" si="31"/>
        <v>0</v>
      </c>
      <c r="T434" s="156" t="e">
        <f>+VLOOKUP($L434,Data_Validation!$A:$D,1,0)</f>
        <v>#N/A</v>
      </c>
      <c r="U434" s="156" t="e">
        <f>+VLOOKUP($L434,Data_Validation!$A:$D,3,0)</f>
        <v>#N/A</v>
      </c>
      <c r="V434" s="156" t="e">
        <f>+VLOOKUP($L434,Data_Validation!$A:$D,4,0)</f>
        <v>#N/A</v>
      </c>
      <c r="W434" s="156" t="e">
        <f>+VLOOKUP($L434,Data_Validation!$A:$E,5,0)</f>
        <v>#N/A</v>
      </c>
      <c r="X434" s="156" t="e">
        <f>+VLOOKUP($L434,Data_Validation!$A:$F,6,0)</f>
        <v>#N/A</v>
      </c>
    </row>
    <row r="435" spans="1:24" ht="15.75" customHeight="1">
      <c r="A435" s="1002"/>
      <c r="B435" s="1145"/>
      <c r="C435" s="1004"/>
      <c r="D435" s="1004"/>
      <c r="E435" s="1004"/>
      <c r="F435" s="1002"/>
      <c r="G435" s="1002"/>
      <c r="H435" s="150"/>
      <c r="I435" s="152"/>
      <c r="J435" s="152"/>
      <c r="K435" s="152"/>
      <c r="L435" s="153">
        <f t="shared" si="18"/>
        <v>0</v>
      </c>
      <c r="M435" s="154">
        <f t="shared" si="19"/>
        <v>0</v>
      </c>
      <c r="N435" s="155">
        <f>+IF(OR($Q435=Parametres!$G$2,$Q435=Parametres!$G$3),I435,C435)</f>
        <v>0</v>
      </c>
      <c r="O435" s="155">
        <f>+IF(OR($Q435=Parametres!$G$2,$Q435=Parametres!$G$3),J435,D435)</f>
        <v>0</v>
      </c>
      <c r="P435" s="155">
        <f>+IF(OR($Q435=Parametres!$G$2,$Q435=Parametres!$G$3),K435,E435)</f>
        <v>0</v>
      </c>
      <c r="Q435" s="154">
        <f t="shared" si="31"/>
        <v>0</v>
      </c>
      <c r="R435" s="153">
        <f t="shared" si="31"/>
        <v>0</v>
      </c>
      <c r="S435" s="154">
        <f t="shared" si="31"/>
        <v>0</v>
      </c>
      <c r="T435" s="156" t="e">
        <f>+VLOOKUP($L435,Data_Validation!$A:$D,1,0)</f>
        <v>#N/A</v>
      </c>
      <c r="U435" s="156" t="e">
        <f>+VLOOKUP($L435,Data_Validation!$A:$D,3,0)</f>
        <v>#N/A</v>
      </c>
      <c r="V435" s="156" t="e">
        <f>+VLOOKUP($L435,Data_Validation!$A:$D,4,0)</f>
        <v>#N/A</v>
      </c>
      <c r="W435" s="156" t="e">
        <f>+VLOOKUP($L435,Data_Validation!$A:$E,5,0)</f>
        <v>#N/A</v>
      </c>
      <c r="X435" s="156" t="e">
        <f>+VLOOKUP($L435,Data_Validation!$A:$F,6,0)</f>
        <v>#N/A</v>
      </c>
    </row>
    <row r="436" spans="1:24" ht="15" customHeight="1">
      <c r="A436" s="1002"/>
      <c r="B436" s="1145"/>
      <c r="C436" s="1004"/>
      <c r="D436" s="1004"/>
      <c r="E436" s="1004"/>
      <c r="F436" s="1002"/>
      <c r="G436" s="1002"/>
      <c r="H436" s="150"/>
      <c r="I436" s="152"/>
      <c r="J436" s="152"/>
      <c r="K436" s="152"/>
      <c r="L436" s="153">
        <f t="shared" si="18"/>
        <v>0</v>
      </c>
      <c r="M436" s="154">
        <f t="shared" si="19"/>
        <v>0</v>
      </c>
      <c r="N436" s="155">
        <f>+IF(OR($Q436=Parametres!$G$2,$Q436=Parametres!$G$3),I436,C436)</f>
        <v>0</v>
      </c>
      <c r="O436" s="155">
        <f>+IF(OR($Q436=Parametres!$G$2,$Q436=Parametres!$G$3),J436,D436)</f>
        <v>0</v>
      </c>
      <c r="P436" s="155">
        <f>+IF(OR($Q436=Parametres!$G$2,$Q436=Parametres!$G$3),K436,E436)</f>
        <v>0</v>
      </c>
      <c r="Q436" s="154">
        <f t="shared" si="31"/>
        <v>0</v>
      </c>
      <c r="R436" s="153">
        <f t="shared" si="31"/>
        <v>0</v>
      </c>
      <c r="S436" s="154">
        <f t="shared" si="31"/>
        <v>0</v>
      </c>
      <c r="T436" s="156" t="e">
        <f>+VLOOKUP($L436,Data_Validation!$A:$D,1,0)</f>
        <v>#N/A</v>
      </c>
      <c r="U436" s="156" t="e">
        <f>+VLOOKUP($L436,Data_Validation!$A:$D,3,0)</f>
        <v>#N/A</v>
      </c>
      <c r="V436" s="156" t="e">
        <f>+VLOOKUP($L436,Data_Validation!$A:$D,4,0)</f>
        <v>#N/A</v>
      </c>
      <c r="W436" s="156" t="e">
        <f>+VLOOKUP($L436,Data_Validation!$A:$E,5,0)</f>
        <v>#N/A</v>
      </c>
      <c r="X436" s="156" t="e">
        <f>+VLOOKUP($L436,Data_Validation!$A:$F,6,0)</f>
        <v>#N/A</v>
      </c>
    </row>
    <row r="437" spans="1:24" ht="15" customHeight="1">
      <c r="A437" s="1002"/>
      <c r="B437" s="1145"/>
      <c r="C437" s="1004"/>
      <c r="D437" s="1004"/>
      <c r="E437" s="1004"/>
      <c r="F437" s="1002"/>
      <c r="G437" s="1002"/>
      <c r="H437" s="150"/>
      <c r="I437" s="152"/>
      <c r="J437" s="152"/>
      <c r="K437" s="152"/>
      <c r="L437" s="153">
        <f t="shared" si="18"/>
        <v>0</v>
      </c>
      <c r="M437" s="154">
        <f t="shared" si="19"/>
        <v>0</v>
      </c>
      <c r="N437" s="155">
        <f>+IF(OR($Q437=Parametres!$G$2,$Q437=Parametres!$G$3),I437,C437)</f>
        <v>0</v>
      </c>
      <c r="O437" s="155">
        <f>+IF(OR($Q437=Parametres!$G$2,$Q437=Parametres!$G$3),J437,D437)</f>
        <v>0</v>
      </c>
      <c r="P437" s="155">
        <f>+IF(OR($Q437=Parametres!$G$2,$Q437=Parametres!$G$3),K437,E437)</f>
        <v>0</v>
      </c>
      <c r="Q437" s="154">
        <f t="shared" si="31"/>
        <v>0</v>
      </c>
      <c r="R437" s="153">
        <f t="shared" si="31"/>
        <v>0</v>
      </c>
      <c r="S437" s="154">
        <f t="shared" si="31"/>
        <v>0</v>
      </c>
      <c r="T437" s="156" t="e">
        <f>+VLOOKUP($L437,Data_Validation!$A:$D,1,0)</f>
        <v>#N/A</v>
      </c>
      <c r="U437" s="156" t="e">
        <f>+VLOOKUP($L437,Data_Validation!$A:$D,3,0)</f>
        <v>#N/A</v>
      </c>
      <c r="V437" s="156" t="e">
        <f>+VLOOKUP($L437,Data_Validation!$A:$D,4,0)</f>
        <v>#N/A</v>
      </c>
      <c r="W437" s="156" t="e">
        <f>+VLOOKUP($L437,Data_Validation!$A:$E,5,0)</f>
        <v>#N/A</v>
      </c>
      <c r="X437" s="156" t="e">
        <f>+VLOOKUP($L437,Data_Validation!$A:$F,6,0)</f>
        <v>#N/A</v>
      </c>
    </row>
    <row r="438" spans="1:24" ht="15" customHeight="1">
      <c r="A438" s="1002"/>
      <c r="B438" s="1145"/>
      <c r="C438" s="1004"/>
      <c r="D438" s="1004"/>
      <c r="E438" s="1004"/>
      <c r="F438" s="1002"/>
      <c r="G438" s="1002"/>
      <c r="H438" s="150"/>
      <c r="I438" s="152"/>
      <c r="J438" s="152"/>
      <c r="K438" s="152"/>
      <c r="L438" s="153">
        <f t="shared" si="18"/>
        <v>0</v>
      </c>
      <c r="M438" s="154">
        <f t="shared" si="19"/>
        <v>0</v>
      </c>
      <c r="N438" s="155">
        <f>+IF(OR($Q438=Parametres!$G$2,$Q438=Parametres!$G$3),I438,C438)</f>
        <v>0</v>
      </c>
      <c r="O438" s="577">
        <f>+IF(OR($Q438=Parametres!$G$2,$Q438=Parametres!$G$3),J438,D438)</f>
        <v>0</v>
      </c>
      <c r="P438" s="155">
        <f>+IF(OR($Q438=Parametres!$G$2,$Q438=Parametres!$G$3),K438,E438)</f>
        <v>0</v>
      </c>
      <c r="Q438" s="154">
        <f t="shared" si="31"/>
        <v>0</v>
      </c>
      <c r="R438" s="153">
        <f t="shared" si="31"/>
        <v>0</v>
      </c>
      <c r="S438" s="154">
        <f t="shared" si="31"/>
        <v>0</v>
      </c>
      <c r="T438" s="156" t="e">
        <f>+VLOOKUP($L438,Data_Validation!$A:$D,1,0)</f>
        <v>#N/A</v>
      </c>
      <c r="U438" s="156" t="e">
        <f>+VLOOKUP($L438,Data_Validation!$A:$D,3,0)</f>
        <v>#N/A</v>
      </c>
      <c r="V438" s="156" t="e">
        <f>+VLOOKUP($L438,Data_Validation!$A:$D,4,0)</f>
        <v>#N/A</v>
      </c>
      <c r="W438" s="156" t="e">
        <f>+VLOOKUP($L438,Data_Validation!$A:$E,5,0)</f>
        <v>#N/A</v>
      </c>
      <c r="X438" s="156" t="e">
        <f>+VLOOKUP($L438,Data_Validation!$A:$F,6,0)</f>
        <v>#N/A</v>
      </c>
    </row>
    <row r="439" spans="1:24" ht="15" customHeight="1">
      <c r="A439" s="1002"/>
      <c r="B439" s="1145"/>
      <c r="C439" s="1004"/>
      <c r="D439" s="1004"/>
      <c r="E439" s="1004"/>
      <c r="F439" s="1002"/>
      <c r="G439" s="1002"/>
      <c r="H439" s="150"/>
      <c r="I439" s="152"/>
      <c r="J439" s="152"/>
      <c r="K439" s="152"/>
      <c r="L439" s="153">
        <f t="shared" si="18"/>
        <v>0</v>
      </c>
      <c r="M439" s="154">
        <f t="shared" si="19"/>
        <v>0</v>
      </c>
      <c r="N439" s="155">
        <f>+IF(OR($Q439=Parametres!$G$2,$Q439=Parametres!$G$3),I439,C439)</f>
        <v>0</v>
      </c>
      <c r="O439" s="155">
        <f>+IF(OR($Q439=Parametres!$G$2,$Q439=Parametres!$G$3),J439,D439)</f>
        <v>0</v>
      </c>
      <c r="P439" s="155">
        <f>+IF(OR($Q439=Parametres!$G$2,$Q439=Parametres!$G$3),K439,E439)</f>
        <v>0</v>
      </c>
      <c r="Q439" s="154">
        <f t="shared" si="31"/>
        <v>0</v>
      </c>
      <c r="R439" s="153">
        <f t="shared" si="31"/>
        <v>0</v>
      </c>
      <c r="S439" s="154">
        <f t="shared" si="31"/>
        <v>0</v>
      </c>
      <c r="T439" s="156" t="e">
        <f>+VLOOKUP($L439,Data_Validation!$A:$D,1,0)</f>
        <v>#N/A</v>
      </c>
      <c r="U439" s="156" t="e">
        <f>+VLOOKUP($L439,Data_Validation!$A:$D,3,0)</f>
        <v>#N/A</v>
      </c>
      <c r="V439" s="156" t="e">
        <f>+VLOOKUP($L439,Data_Validation!$A:$D,4,0)</f>
        <v>#N/A</v>
      </c>
      <c r="W439" s="156" t="e">
        <f>+VLOOKUP($L439,Data_Validation!$A:$E,5,0)</f>
        <v>#N/A</v>
      </c>
      <c r="X439" s="156" t="e">
        <f>+VLOOKUP($L439,Data_Validation!$A:$F,6,0)</f>
        <v>#N/A</v>
      </c>
    </row>
    <row r="440" spans="1:24" ht="15" customHeight="1">
      <c r="A440" s="1002"/>
      <c r="B440" s="1145"/>
      <c r="C440" s="1004"/>
      <c r="D440" s="1004"/>
      <c r="E440" s="1004"/>
      <c r="F440" s="1002"/>
      <c r="G440" s="1002"/>
      <c r="H440" s="150"/>
      <c r="I440" s="152"/>
      <c r="J440" s="152"/>
      <c r="K440" s="152"/>
      <c r="L440" s="153">
        <f t="shared" si="18"/>
        <v>0</v>
      </c>
      <c r="M440" s="154">
        <f t="shared" si="19"/>
        <v>0</v>
      </c>
      <c r="N440" s="155">
        <f>+IF(OR($Q440=Parametres!$G$2,$Q440=Parametres!$G$3),I440,C440)</f>
        <v>0</v>
      </c>
      <c r="O440" s="572">
        <f>+IF(OR($Q440=Parametres!$G$2,$Q440=Parametres!$G$3),J440,D440)</f>
        <v>0</v>
      </c>
      <c r="P440" s="155">
        <f>+IF(OR($Q440=Parametres!$G$2,$Q440=Parametres!$G$3),K440,E440)</f>
        <v>0</v>
      </c>
      <c r="Q440" s="154">
        <f t="shared" si="31"/>
        <v>0</v>
      </c>
      <c r="R440" s="153">
        <f t="shared" si="31"/>
        <v>0</v>
      </c>
      <c r="S440" s="154">
        <f t="shared" si="31"/>
        <v>0</v>
      </c>
      <c r="T440" s="156" t="e">
        <f>+VLOOKUP($L440,Data_Validation!$A:$D,1,0)</f>
        <v>#N/A</v>
      </c>
      <c r="U440" s="156" t="e">
        <f>+VLOOKUP($L440,Data_Validation!$A:$D,3,0)</f>
        <v>#N/A</v>
      </c>
      <c r="V440" s="156" t="e">
        <f>+VLOOKUP($L440,Data_Validation!$A:$D,4,0)</f>
        <v>#N/A</v>
      </c>
      <c r="W440" s="156" t="e">
        <f>+VLOOKUP($L440,Data_Validation!$A:$E,5,0)</f>
        <v>#N/A</v>
      </c>
      <c r="X440" s="156" t="e">
        <f>+VLOOKUP($L440,Data_Validation!$A:$F,6,0)</f>
        <v>#N/A</v>
      </c>
    </row>
    <row r="441" spans="1:24" ht="15.75" customHeight="1">
      <c r="A441" s="1002"/>
      <c r="B441" s="1145"/>
      <c r="C441" s="1004"/>
      <c r="D441" s="1004"/>
      <c r="E441" s="1004"/>
      <c r="F441" s="1002"/>
      <c r="G441" s="1002"/>
      <c r="H441" s="150"/>
      <c r="I441" s="152"/>
      <c r="J441" s="152"/>
      <c r="K441" s="152"/>
      <c r="L441" s="153">
        <f t="shared" si="18"/>
        <v>0</v>
      </c>
      <c r="M441" s="154">
        <f t="shared" si="19"/>
        <v>0</v>
      </c>
      <c r="N441" s="155">
        <f>+IF(OR($Q441=Parametres!$G$2,$Q441=Parametres!$G$3),I441,C441)</f>
        <v>0</v>
      </c>
      <c r="O441" s="155">
        <f>+IF(OR($Q441=Parametres!$G$2,$Q441=Parametres!$G$3),J441,D441)</f>
        <v>0</v>
      </c>
      <c r="P441" s="155">
        <f>+IF(OR($Q441=Parametres!$G$2,$Q441=Parametres!$G$3),K441,E441)</f>
        <v>0</v>
      </c>
      <c r="Q441" s="154">
        <f t="shared" si="31"/>
        <v>0</v>
      </c>
      <c r="R441" s="153">
        <f t="shared" si="31"/>
        <v>0</v>
      </c>
      <c r="S441" s="154">
        <f t="shared" si="31"/>
        <v>0</v>
      </c>
      <c r="T441" s="156" t="e">
        <f>+VLOOKUP($L441,Data_Validation!$A:$D,1,0)</f>
        <v>#N/A</v>
      </c>
      <c r="U441" s="156" t="e">
        <f>+VLOOKUP($L441,Data_Validation!$A:$D,3,0)</f>
        <v>#N/A</v>
      </c>
      <c r="V441" s="156" t="e">
        <f>+VLOOKUP($L441,Data_Validation!$A:$D,4,0)</f>
        <v>#N/A</v>
      </c>
      <c r="W441" s="156" t="e">
        <f>+VLOOKUP($L441,Data_Validation!$A:$E,5,0)</f>
        <v>#N/A</v>
      </c>
      <c r="X441" s="156" t="e">
        <f>+VLOOKUP($L441,Data_Validation!$A:$F,6,0)</f>
        <v>#N/A</v>
      </c>
    </row>
    <row r="442" spans="1:24" ht="15" customHeight="1">
      <c r="A442" s="1002"/>
      <c r="B442" s="1145"/>
      <c r="C442" s="1004"/>
      <c r="D442" s="1004"/>
      <c r="E442" s="1004"/>
      <c r="F442" s="1002"/>
      <c r="G442" s="1002"/>
      <c r="H442" s="150"/>
      <c r="I442" s="152"/>
      <c r="J442" s="152"/>
      <c r="K442" s="152"/>
      <c r="L442" s="153">
        <f t="shared" si="18"/>
        <v>0</v>
      </c>
      <c r="M442" s="154">
        <f t="shared" si="19"/>
        <v>0</v>
      </c>
      <c r="N442" s="155">
        <f>+IF(OR($Q442=Parametres!$G$2,$Q442=Parametres!$G$3),I442,C442)</f>
        <v>0</v>
      </c>
      <c r="O442" s="155">
        <f>+IF(OR($Q442=Parametres!$G$2,$Q442=Parametres!$G$3),J442,D442)</f>
        <v>0</v>
      </c>
      <c r="P442" s="155">
        <f>+IF(OR($Q442=Parametres!$G$2,$Q442=Parametres!$G$3),K442,E442)</f>
        <v>0</v>
      </c>
      <c r="Q442" s="154">
        <f t="shared" si="31"/>
        <v>0</v>
      </c>
      <c r="R442" s="153">
        <f t="shared" si="31"/>
        <v>0</v>
      </c>
      <c r="S442" s="154">
        <f t="shared" si="31"/>
        <v>0</v>
      </c>
      <c r="T442" s="156" t="e">
        <f>+VLOOKUP($L442,Data_Validation!$A:$D,1,0)</f>
        <v>#N/A</v>
      </c>
      <c r="U442" s="156" t="e">
        <f>+VLOOKUP($L442,Data_Validation!$A:$D,3,0)</f>
        <v>#N/A</v>
      </c>
      <c r="V442" s="156" t="e">
        <f>+VLOOKUP($L442,Data_Validation!$A:$D,4,0)</f>
        <v>#N/A</v>
      </c>
      <c r="W442" s="156" t="e">
        <f>+VLOOKUP($L442,Data_Validation!$A:$E,5,0)</f>
        <v>#N/A</v>
      </c>
      <c r="X442" s="156" t="e">
        <f>+VLOOKUP($L442,Data_Validation!$A:$F,6,0)</f>
        <v>#N/A</v>
      </c>
    </row>
    <row r="443" spans="1:24" ht="15" customHeight="1">
      <c r="A443" s="1002"/>
      <c r="B443" s="1145"/>
      <c r="C443" s="1004"/>
      <c r="D443" s="1004"/>
      <c r="E443" s="1004"/>
      <c r="F443" s="1002"/>
      <c r="G443" s="1002"/>
      <c r="H443" s="150"/>
      <c r="I443" s="152"/>
      <c r="J443" s="152"/>
      <c r="K443" s="152"/>
      <c r="L443" s="153">
        <f t="shared" si="18"/>
        <v>0</v>
      </c>
      <c r="M443" s="154">
        <f t="shared" si="19"/>
        <v>0</v>
      </c>
      <c r="N443" s="155">
        <f>+IF(OR($Q443=Parametres!$G$2,$Q443=Parametres!$G$3),I443,C443)</f>
        <v>0</v>
      </c>
      <c r="O443" s="155">
        <f>+IF(OR($Q443=Parametres!$G$2,$Q443=Parametres!$G$3),J443,D443)</f>
        <v>0</v>
      </c>
      <c r="P443" s="155">
        <f>+IF(OR($Q443=Parametres!$G$2,$Q443=Parametres!$G$3),K443,E443)</f>
        <v>0</v>
      </c>
      <c r="Q443" s="154">
        <f t="shared" si="31"/>
        <v>0</v>
      </c>
      <c r="R443" s="153">
        <f t="shared" si="31"/>
        <v>0</v>
      </c>
      <c r="S443" s="154">
        <f t="shared" si="31"/>
        <v>0</v>
      </c>
      <c r="T443" s="156" t="e">
        <f>+VLOOKUP($L443,Data_Validation!$A:$D,1,0)</f>
        <v>#N/A</v>
      </c>
      <c r="U443" s="156" t="e">
        <f>+VLOOKUP($L443,Data_Validation!$A:$D,3,0)</f>
        <v>#N/A</v>
      </c>
      <c r="V443" s="156" t="e">
        <f>+VLOOKUP($L443,Data_Validation!$A:$D,4,0)</f>
        <v>#N/A</v>
      </c>
      <c r="W443" s="156" t="e">
        <f>+VLOOKUP($L443,Data_Validation!$A:$E,5,0)</f>
        <v>#N/A</v>
      </c>
      <c r="X443" s="156" t="e">
        <f>+VLOOKUP($L443,Data_Validation!$A:$F,6,0)</f>
        <v>#N/A</v>
      </c>
    </row>
    <row r="444" spans="1:24" ht="15" customHeight="1">
      <c r="A444" s="1002"/>
      <c r="B444" s="1145"/>
      <c r="C444" s="1004"/>
      <c r="D444" s="1004"/>
      <c r="E444" s="1004"/>
      <c r="F444" s="1002"/>
      <c r="G444" s="1002"/>
      <c r="H444" s="150"/>
      <c r="I444" s="152"/>
      <c r="J444" s="152"/>
      <c r="K444" s="152"/>
      <c r="L444" s="153">
        <f t="shared" si="18"/>
        <v>0</v>
      </c>
      <c r="M444" s="154">
        <f t="shared" si="19"/>
        <v>0</v>
      </c>
      <c r="N444" s="155">
        <f>+IF(OR($Q444=Parametres!$G$2,$Q444=Parametres!$G$3),I444,C444)</f>
        <v>0</v>
      </c>
      <c r="O444" s="155">
        <f>+IF(OR($Q444=Parametres!$G$2,$Q444=Parametres!$G$3),J444,D444)</f>
        <v>0</v>
      </c>
      <c r="P444" s="155">
        <f>+IF(OR($Q444=Parametres!$G$2,$Q444=Parametres!$G$3),K444,E444)</f>
        <v>0</v>
      </c>
      <c r="Q444" s="154">
        <f t="shared" si="31"/>
        <v>0</v>
      </c>
      <c r="R444" s="153">
        <f t="shared" si="31"/>
        <v>0</v>
      </c>
      <c r="S444" s="154">
        <f t="shared" si="31"/>
        <v>0</v>
      </c>
      <c r="T444" s="156" t="e">
        <f>+VLOOKUP($L444,Data_Validation!$A:$D,1,0)</f>
        <v>#N/A</v>
      </c>
      <c r="U444" s="156" t="e">
        <f>+VLOOKUP($L444,Data_Validation!$A:$D,3,0)</f>
        <v>#N/A</v>
      </c>
      <c r="V444" s="156" t="e">
        <f>+VLOOKUP($L444,Data_Validation!$A:$D,4,0)</f>
        <v>#N/A</v>
      </c>
      <c r="W444" s="156" t="e">
        <f>+VLOOKUP($L444,Data_Validation!$A:$E,5,0)</f>
        <v>#N/A</v>
      </c>
      <c r="X444" s="156" t="e">
        <f>+VLOOKUP($L444,Data_Validation!$A:$F,6,0)</f>
        <v>#N/A</v>
      </c>
    </row>
    <row r="445" spans="1:24" ht="15" customHeight="1">
      <c r="A445" s="1002"/>
      <c r="B445" s="1145"/>
      <c r="C445" s="1004"/>
      <c r="D445" s="1004"/>
      <c r="E445" s="1004"/>
      <c r="F445" s="1002"/>
      <c r="G445" s="1002"/>
      <c r="H445" s="150"/>
      <c r="I445" s="152"/>
      <c r="J445" s="152"/>
      <c r="K445" s="152"/>
      <c r="L445" s="153">
        <f t="shared" si="18"/>
        <v>0</v>
      </c>
      <c r="M445" s="154">
        <f t="shared" si="19"/>
        <v>0</v>
      </c>
      <c r="N445" s="155">
        <f>+IF(OR($Q445=Parametres!$G$2,$Q445=Parametres!$G$3),I445,C445)</f>
        <v>0</v>
      </c>
      <c r="O445" s="155">
        <f>+IF(OR($Q445=Parametres!$G$2,$Q445=Parametres!$G$3),J445,D445)</f>
        <v>0</v>
      </c>
      <c r="P445" s="155">
        <f>+IF(OR($Q445=Parametres!$G$2,$Q445=Parametres!$G$3),K445,E445)</f>
        <v>0</v>
      </c>
      <c r="Q445" s="154">
        <f t="shared" si="31"/>
        <v>0</v>
      </c>
      <c r="R445" s="153">
        <f t="shared" si="31"/>
        <v>0</v>
      </c>
      <c r="S445" s="154">
        <f t="shared" si="31"/>
        <v>0</v>
      </c>
      <c r="T445" s="156" t="e">
        <f>+VLOOKUP($L445,Data_Validation!$A:$D,1,0)</f>
        <v>#N/A</v>
      </c>
      <c r="U445" s="156" t="e">
        <f>+VLOOKUP($L445,Data_Validation!$A:$D,3,0)</f>
        <v>#N/A</v>
      </c>
      <c r="V445" s="156" t="e">
        <f>+VLOOKUP($L445,Data_Validation!$A:$D,4,0)</f>
        <v>#N/A</v>
      </c>
      <c r="W445" s="156" t="e">
        <f>+VLOOKUP($L445,Data_Validation!$A:$E,5,0)</f>
        <v>#N/A</v>
      </c>
      <c r="X445" s="156" t="e">
        <f>+VLOOKUP($L445,Data_Validation!$A:$F,6,0)</f>
        <v>#N/A</v>
      </c>
    </row>
    <row r="446" spans="1:24" ht="15.75" customHeight="1">
      <c r="A446" s="1002"/>
      <c r="B446" s="1145"/>
      <c r="C446" s="1004"/>
      <c r="D446" s="1004"/>
      <c r="E446" s="1004"/>
      <c r="F446" s="1002"/>
      <c r="G446" s="1002"/>
      <c r="H446" s="150"/>
      <c r="I446" s="152"/>
      <c r="J446" s="152"/>
      <c r="K446" s="152"/>
      <c r="L446" s="153">
        <f t="shared" si="18"/>
        <v>0</v>
      </c>
      <c r="M446" s="154">
        <f t="shared" si="19"/>
        <v>0</v>
      </c>
      <c r="N446" s="155">
        <f>+IF(OR($Q446=Parametres!$G$2,$Q446=Parametres!$G$3),I446,C446)</f>
        <v>0</v>
      </c>
      <c r="O446" s="155">
        <f>+IF(OR($Q446=Parametres!$G$2,$Q446=Parametres!$G$3),J446,D446)</f>
        <v>0</v>
      </c>
      <c r="P446" s="155">
        <f>+IF(OR($Q446=Parametres!$G$2,$Q446=Parametres!$G$3),K446,E446)</f>
        <v>0</v>
      </c>
      <c r="Q446" s="154">
        <f t="shared" si="31"/>
        <v>0</v>
      </c>
      <c r="R446" s="153">
        <f t="shared" si="31"/>
        <v>0</v>
      </c>
      <c r="S446" s="154">
        <f t="shared" si="31"/>
        <v>0</v>
      </c>
      <c r="T446" s="156" t="e">
        <f>+VLOOKUP($L446,Data_Validation!$A:$D,1,0)</f>
        <v>#N/A</v>
      </c>
      <c r="U446" s="156" t="e">
        <f>+VLOOKUP($L446,Data_Validation!$A:$D,3,0)</f>
        <v>#N/A</v>
      </c>
      <c r="V446" s="156" t="e">
        <f>+VLOOKUP($L446,Data_Validation!$A:$D,4,0)</f>
        <v>#N/A</v>
      </c>
      <c r="W446" s="156" t="e">
        <f>+VLOOKUP($L446,Data_Validation!$A:$E,5,0)</f>
        <v>#N/A</v>
      </c>
      <c r="X446" s="156" t="e">
        <f>+VLOOKUP($L446,Data_Validation!$A:$F,6,0)</f>
        <v>#N/A</v>
      </c>
    </row>
    <row r="447" spans="1:24" ht="15.75" customHeight="1">
      <c r="A447" s="1002"/>
      <c r="B447" s="1145"/>
      <c r="C447" s="1004"/>
      <c r="D447" s="1004"/>
      <c r="E447" s="1004"/>
      <c r="F447" s="1002"/>
      <c r="G447" s="1002"/>
      <c r="H447" s="150"/>
      <c r="I447" s="152"/>
      <c r="J447" s="152"/>
      <c r="K447" s="152"/>
      <c r="L447" s="153">
        <f t="shared" si="18"/>
        <v>0</v>
      </c>
      <c r="M447" s="154">
        <f t="shared" si="19"/>
        <v>0</v>
      </c>
      <c r="N447" s="155">
        <f>+IF(OR($Q447=Parametres!$G$2,$Q447=Parametres!$G$3),I447,C447)</f>
        <v>0</v>
      </c>
      <c r="O447" s="155">
        <f>+IF(OR($Q447=Parametres!$G$2,$Q447=Parametres!$G$3),J447,D447)</f>
        <v>0</v>
      </c>
      <c r="P447" s="155">
        <f>+IF(OR($Q447=Parametres!$G$2,$Q447=Parametres!$G$3),K447,E447)</f>
        <v>0</v>
      </c>
      <c r="Q447" s="154">
        <f t="shared" si="31"/>
        <v>0</v>
      </c>
      <c r="R447" s="153">
        <f t="shared" si="31"/>
        <v>0</v>
      </c>
      <c r="S447" s="154">
        <f t="shared" si="31"/>
        <v>0</v>
      </c>
      <c r="T447" s="156" t="e">
        <f>+VLOOKUP($L447,Data_Validation!$A:$D,1,0)</f>
        <v>#N/A</v>
      </c>
      <c r="U447" s="156" t="e">
        <f>+VLOOKUP($L447,Data_Validation!$A:$D,3,0)</f>
        <v>#N/A</v>
      </c>
      <c r="V447" s="156" t="e">
        <f>+VLOOKUP($L447,Data_Validation!$A:$D,4,0)</f>
        <v>#N/A</v>
      </c>
      <c r="W447" s="156" t="e">
        <f>+VLOOKUP($L447,Data_Validation!$A:$E,5,0)</f>
        <v>#N/A</v>
      </c>
      <c r="X447" s="156" t="e">
        <f>+VLOOKUP($L447,Data_Validation!$A:$F,6,0)</f>
        <v>#N/A</v>
      </c>
    </row>
    <row r="448" spans="1:24" ht="15" customHeight="1">
      <c r="A448" s="1002"/>
      <c r="B448" s="1145"/>
      <c r="C448" s="1004"/>
      <c r="D448" s="1004"/>
      <c r="E448" s="1004"/>
      <c r="F448" s="1002"/>
      <c r="G448" s="1002"/>
      <c r="H448" s="150"/>
      <c r="I448" s="152"/>
      <c r="J448" s="152"/>
      <c r="K448" s="152"/>
      <c r="L448" s="153">
        <f t="shared" si="18"/>
        <v>0</v>
      </c>
      <c r="M448" s="154">
        <f t="shared" si="19"/>
        <v>0</v>
      </c>
      <c r="N448" s="155">
        <f>+IF(OR($Q448=Parametres!$G$2,$Q448=Parametres!$G$3),I448,C448)</f>
        <v>0</v>
      </c>
      <c r="O448" s="155">
        <f>+IF(OR($Q448=Parametres!$G$2,$Q448=Parametres!$G$3),J448,D448)</f>
        <v>0</v>
      </c>
      <c r="P448" s="155">
        <f>+IF(OR($Q448=Parametres!$G$2,$Q448=Parametres!$G$3),K448,E448)</f>
        <v>0</v>
      </c>
      <c r="Q448" s="154">
        <f t="shared" si="31"/>
        <v>0</v>
      </c>
      <c r="R448" s="153">
        <f t="shared" si="31"/>
        <v>0</v>
      </c>
      <c r="S448" s="154">
        <f t="shared" si="31"/>
        <v>0</v>
      </c>
      <c r="T448" s="156" t="e">
        <f>+VLOOKUP($L448,Data_Validation!$A:$D,1,0)</f>
        <v>#N/A</v>
      </c>
      <c r="U448" s="156" t="e">
        <f>+VLOOKUP($L448,Data_Validation!$A:$D,3,0)</f>
        <v>#N/A</v>
      </c>
      <c r="V448" s="156" t="e">
        <f>+VLOOKUP($L448,Data_Validation!$A:$D,4,0)</f>
        <v>#N/A</v>
      </c>
      <c r="W448" s="156" t="e">
        <f>+VLOOKUP($L448,Data_Validation!$A:$E,5,0)</f>
        <v>#N/A</v>
      </c>
      <c r="X448" s="156" t="e">
        <f>+VLOOKUP($L448,Data_Validation!$A:$F,6,0)</f>
        <v>#N/A</v>
      </c>
    </row>
    <row r="449" spans="1:24" ht="15" customHeight="1">
      <c r="A449" s="1002"/>
      <c r="B449" s="1145"/>
      <c r="C449" s="1004"/>
      <c r="D449" s="1004"/>
      <c r="E449" s="1004"/>
      <c r="F449" s="1002"/>
      <c r="G449" s="1002"/>
      <c r="H449" s="150"/>
      <c r="I449" s="157"/>
      <c r="J449" s="157"/>
      <c r="K449" s="157"/>
      <c r="L449" s="153">
        <f t="shared" si="18"/>
        <v>0</v>
      </c>
      <c r="M449" s="154">
        <f t="shared" si="19"/>
        <v>0</v>
      </c>
      <c r="N449" s="155">
        <f>+IF(OR($Q449=Parametres!$G$2,$Q449=Parametres!$G$3),I449,C449)</f>
        <v>0</v>
      </c>
      <c r="O449" s="155">
        <f>+IF(OR($Q449=Parametres!$G$2,$Q449=Parametres!$G$3),J449,D449)</f>
        <v>0</v>
      </c>
      <c r="P449" s="155">
        <f>+IF(OR($Q449=Parametres!$G$2,$Q449=Parametres!$G$3),K449,E449)</f>
        <v>0</v>
      </c>
      <c r="Q449" s="154">
        <f t="shared" si="31"/>
        <v>0</v>
      </c>
      <c r="R449" s="153">
        <f t="shared" si="31"/>
        <v>0</v>
      </c>
      <c r="S449" s="154">
        <f t="shared" si="31"/>
        <v>0</v>
      </c>
      <c r="T449" s="156" t="e">
        <f>+VLOOKUP($L449,Data_Validation!$A:$D,1,0)</f>
        <v>#N/A</v>
      </c>
      <c r="U449" s="156" t="e">
        <f>+VLOOKUP($L449,Data_Validation!$A:$D,3,0)</f>
        <v>#N/A</v>
      </c>
      <c r="V449" s="156" t="e">
        <f>+VLOOKUP($L449,Data_Validation!$A:$D,4,0)</f>
        <v>#N/A</v>
      </c>
      <c r="W449" s="156" t="e">
        <f>+VLOOKUP($L449,Data_Validation!$A:$E,5,0)</f>
        <v>#N/A</v>
      </c>
      <c r="X449" s="156" t="e">
        <f>+VLOOKUP($L449,Data_Validation!$A:$F,6,0)</f>
        <v>#N/A</v>
      </c>
    </row>
    <row r="450" spans="1:24" ht="15" customHeight="1">
      <c r="A450" s="1002"/>
      <c r="B450" s="1145"/>
      <c r="C450" s="1004"/>
      <c r="D450" s="1004"/>
      <c r="E450" s="1004"/>
      <c r="F450" s="1002"/>
      <c r="G450" s="1002"/>
      <c r="H450" s="150"/>
      <c r="I450" s="157"/>
      <c r="J450" s="157"/>
      <c r="K450" s="157"/>
      <c r="L450" s="153">
        <f t="shared" si="18"/>
        <v>0</v>
      </c>
      <c r="M450" s="154">
        <f t="shared" si="19"/>
        <v>0</v>
      </c>
      <c r="N450" s="155">
        <f>+IF(OR($Q450=Parametres!$G$2,$Q450=Parametres!$G$3),I450,C450)</f>
        <v>0</v>
      </c>
      <c r="O450" s="155">
        <f>+IF(OR($Q450=Parametres!$G$2,$Q450=Parametres!$G$3),J450,D450)</f>
        <v>0</v>
      </c>
      <c r="P450" s="155">
        <f>+IF(OR($Q450=Parametres!$G$2,$Q450=Parametres!$G$3),K450,E450)</f>
        <v>0</v>
      </c>
      <c r="Q450" s="154">
        <f t="shared" ref="Q450:S465" si="32">+F450</f>
        <v>0</v>
      </c>
      <c r="R450" s="153">
        <f t="shared" si="32"/>
        <v>0</v>
      </c>
      <c r="S450" s="154">
        <f t="shared" si="32"/>
        <v>0</v>
      </c>
      <c r="T450" s="156" t="e">
        <f>+VLOOKUP($L450,Data_Validation!$A:$D,1,0)</f>
        <v>#N/A</v>
      </c>
      <c r="U450" s="156" t="e">
        <f>+VLOOKUP($L450,Data_Validation!$A:$D,3,0)</f>
        <v>#N/A</v>
      </c>
      <c r="V450" s="156" t="e">
        <f>+VLOOKUP($L450,Data_Validation!$A:$D,4,0)</f>
        <v>#N/A</v>
      </c>
      <c r="W450" s="156" t="e">
        <f>+VLOOKUP($L450,Data_Validation!$A:$E,5,0)</f>
        <v>#N/A</v>
      </c>
      <c r="X450" s="156" t="e">
        <f>+VLOOKUP($L450,Data_Validation!$A:$F,6,0)</f>
        <v>#N/A</v>
      </c>
    </row>
    <row r="451" spans="1:24" ht="15" customHeight="1">
      <c r="A451" s="1002"/>
      <c r="B451" s="1145"/>
      <c r="C451" s="1004"/>
      <c r="D451" s="1004"/>
      <c r="E451" s="1004"/>
      <c r="F451" s="1002"/>
      <c r="G451" s="1002"/>
      <c r="H451" s="150"/>
      <c r="I451" s="157"/>
      <c r="J451" s="157"/>
      <c r="K451" s="157"/>
      <c r="L451" s="153">
        <f t="shared" si="18"/>
        <v>0</v>
      </c>
      <c r="M451" s="154">
        <f t="shared" si="19"/>
        <v>0</v>
      </c>
      <c r="N451" s="155">
        <f>+IF(OR($Q451=Parametres!$G$2,$Q451=Parametres!$G$3),I451,C451)</f>
        <v>0</v>
      </c>
      <c r="O451" s="155">
        <f>+IF(OR($Q451=Parametres!$G$2,$Q451=Parametres!$G$3),J451,D451)</f>
        <v>0</v>
      </c>
      <c r="P451" s="155">
        <f>+IF(OR($Q451=Parametres!$G$2,$Q451=Parametres!$G$3),K451,E451)</f>
        <v>0</v>
      </c>
      <c r="Q451" s="154">
        <f t="shared" si="32"/>
        <v>0</v>
      </c>
      <c r="R451" s="153">
        <f t="shared" si="32"/>
        <v>0</v>
      </c>
      <c r="S451" s="154">
        <f t="shared" si="32"/>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75" customHeight="1">
      <c r="A452" s="1002"/>
      <c r="B452" s="1145"/>
      <c r="C452" s="1004"/>
      <c r="D452" s="1004"/>
      <c r="E452" s="1004"/>
      <c r="F452" s="1002"/>
      <c r="G452" s="1002"/>
      <c r="H452" s="150"/>
      <c r="I452" s="157"/>
      <c r="J452" s="157"/>
      <c r="K452" s="157"/>
      <c r="L452" s="153">
        <f t="shared" si="18"/>
        <v>0</v>
      </c>
      <c r="M452" s="154">
        <f t="shared" si="19"/>
        <v>0</v>
      </c>
      <c r="N452" s="155">
        <f>+IF(OR($Q452=Parametres!$G$2,$Q452=Parametres!$G$3),I452,C452)</f>
        <v>0</v>
      </c>
      <c r="O452" s="155">
        <f>+IF(OR($Q452=Parametres!$G$2,$Q452=Parametres!$G$3),J452,D452)</f>
        <v>0</v>
      </c>
      <c r="P452" s="155">
        <f>+IF(OR($Q452=Parametres!$G$2,$Q452=Parametres!$G$3),K452,E452)</f>
        <v>0</v>
      </c>
      <c r="Q452" s="154">
        <f t="shared" si="32"/>
        <v>0</v>
      </c>
      <c r="R452" s="153">
        <f t="shared" si="32"/>
        <v>0</v>
      </c>
      <c r="S452" s="154">
        <f t="shared" si="32"/>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1002"/>
      <c r="B453" s="1145"/>
      <c r="C453" s="1004"/>
      <c r="D453" s="1004"/>
      <c r="E453" s="1004"/>
      <c r="F453" s="1002"/>
      <c r="G453" s="1002"/>
      <c r="H453" s="150"/>
      <c r="I453" s="157"/>
      <c r="J453" s="157"/>
      <c r="K453" s="157"/>
      <c r="L453" s="153">
        <f t="shared" si="18"/>
        <v>0</v>
      </c>
      <c r="M453" s="154">
        <f t="shared" si="19"/>
        <v>0</v>
      </c>
      <c r="N453" s="155">
        <f>+IF(OR($Q453=Parametres!$G$2,$Q453=Parametres!$G$3),I453,C453)</f>
        <v>0</v>
      </c>
      <c r="O453" s="155">
        <f>+IF(OR($Q453=Parametres!$G$2,$Q453=Parametres!$G$3),J453,D453)</f>
        <v>0</v>
      </c>
      <c r="P453" s="155">
        <f>+IF(OR($Q453=Parametres!$G$2,$Q453=Parametres!$G$3),K453,E453)</f>
        <v>0</v>
      </c>
      <c r="Q453" s="154">
        <f t="shared" si="32"/>
        <v>0</v>
      </c>
      <c r="R453" s="153">
        <f t="shared" si="32"/>
        <v>0</v>
      </c>
      <c r="S453" s="154">
        <f t="shared" si="32"/>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1002"/>
      <c r="B454" s="1145"/>
      <c r="C454" s="1004"/>
      <c r="D454" s="1004"/>
      <c r="E454" s="1004"/>
      <c r="F454" s="1002"/>
      <c r="G454" s="1002"/>
      <c r="H454" s="150"/>
      <c r="I454" s="157"/>
      <c r="J454" s="157"/>
      <c r="K454" s="157"/>
      <c r="L454" s="153">
        <f t="shared" si="18"/>
        <v>0</v>
      </c>
      <c r="M454" s="154">
        <f t="shared" si="19"/>
        <v>0</v>
      </c>
      <c r="N454" s="155">
        <f>+IF(OR($Q454=Parametres!$G$2,$Q454=Parametres!$G$3),I454,C454)</f>
        <v>0</v>
      </c>
      <c r="O454" s="155">
        <f>+IF(OR($Q454=Parametres!$G$2,$Q454=Parametres!$G$3),J454,D454)</f>
        <v>0</v>
      </c>
      <c r="P454" s="155">
        <f>+IF(OR($Q454=Parametres!$G$2,$Q454=Parametres!$G$3),K454,E454)</f>
        <v>0</v>
      </c>
      <c r="Q454" s="154">
        <f t="shared" si="32"/>
        <v>0</v>
      </c>
      <c r="R454" s="153">
        <f t="shared" si="32"/>
        <v>0</v>
      </c>
      <c r="S454" s="154">
        <f t="shared" si="32"/>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 customHeight="1">
      <c r="A455" s="1002"/>
      <c r="B455" s="1145"/>
      <c r="C455" s="1004"/>
      <c r="D455" s="1004"/>
      <c r="E455" s="1004"/>
      <c r="F455" s="1002"/>
      <c r="G455" s="1002"/>
      <c r="H455" s="150"/>
      <c r="I455" s="157"/>
      <c r="J455" s="157"/>
      <c r="K455" s="157"/>
      <c r="L455" s="153">
        <f t="shared" si="18"/>
        <v>0</v>
      </c>
      <c r="M455" s="154">
        <f t="shared" si="19"/>
        <v>0</v>
      </c>
      <c r="N455" s="155">
        <f>+IF(OR($Q455=Parametres!$G$2,$Q455=Parametres!$G$3),I455,C455)</f>
        <v>0</v>
      </c>
      <c r="O455" s="155">
        <f>+IF(OR($Q455=Parametres!$G$2,$Q455=Parametres!$G$3),J455,D455)</f>
        <v>0</v>
      </c>
      <c r="P455" s="155">
        <f>+IF(OR($Q455=Parametres!$G$2,$Q455=Parametres!$G$3),K455,E455)</f>
        <v>0</v>
      </c>
      <c r="Q455" s="154">
        <f t="shared" si="32"/>
        <v>0</v>
      </c>
      <c r="R455" s="153">
        <f t="shared" si="32"/>
        <v>0</v>
      </c>
      <c r="S455" s="154">
        <f t="shared" si="32"/>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75" customHeight="1">
      <c r="A456" s="1002"/>
      <c r="B456" s="1145"/>
      <c r="C456" s="1004"/>
      <c r="D456" s="1004"/>
      <c r="E456" s="1004"/>
      <c r="F456" s="1002"/>
      <c r="G456" s="1002"/>
      <c r="H456" s="150"/>
      <c r="I456" s="157"/>
      <c r="J456" s="157"/>
      <c r="K456" s="157"/>
      <c r="L456" s="153">
        <f t="shared" si="18"/>
        <v>0</v>
      </c>
      <c r="M456" s="154">
        <f t="shared" si="19"/>
        <v>0</v>
      </c>
      <c r="N456" s="155">
        <f>+IF(OR($Q456=Parametres!$G$2,$Q456=Parametres!$G$3),I456,C456)</f>
        <v>0</v>
      </c>
      <c r="O456" s="155">
        <f>+IF(OR($Q456=Parametres!$G$2,$Q456=Parametres!$G$3),J456,D456)</f>
        <v>0</v>
      </c>
      <c r="P456" s="155">
        <f>+IF(OR($Q456=Parametres!$G$2,$Q456=Parametres!$G$3),K456,E456)</f>
        <v>0</v>
      </c>
      <c r="Q456" s="154">
        <f t="shared" si="32"/>
        <v>0</v>
      </c>
      <c r="R456" s="153">
        <f t="shared" si="32"/>
        <v>0</v>
      </c>
      <c r="S456" s="154">
        <f t="shared" si="32"/>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1002"/>
      <c r="B457" s="1145"/>
      <c r="C457" s="1004"/>
      <c r="D457" s="1004"/>
      <c r="E457" s="1004"/>
      <c r="F457" s="1002"/>
      <c r="G457" s="1002"/>
      <c r="H457" s="150"/>
      <c r="I457" s="157"/>
      <c r="J457" s="157"/>
      <c r="K457" s="157"/>
      <c r="L457" s="153">
        <f t="shared" si="18"/>
        <v>0</v>
      </c>
      <c r="M457" s="154">
        <f t="shared" si="19"/>
        <v>0</v>
      </c>
      <c r="N457" s="155">
        <f>+IF(OR($Q457=Parametres!$G$2,$Q457=Parametres!$G$3),I457,C457)</f>
        <v>0</v>
      </c>
      <c r="O457" s="155">
        <f>+IF(OR($Q457=Parametres!$G$2,$Q457=Parametres!$G$3),J457,D457)</f>
        <v>0</v>
      </c>
      <c r="P457" s="155">
        <f>+IF(OR($Q457=Parametres!$G$2,$Q457=Parametres!$G$3),K457,E457)</f>
        <v>0</v>
      </c>
      <c r="Q457" s="154">
        <f t="shared" si="32"/>
        <v>0</v>
      </c>
      <c r="R457" s="153">
        <f t="shared" si="32"/>
        <v>0</v>
      </c>
      <c r="S457" s="154">
        <f t="shared" si="32"/>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36"/>
      <c r="B458" s="1160"/>
      <c r="C458" s="937"/>
      <c r="D458" s="937"/>
      <c r="E458" s="937"/>
      <c r="F458" s="936"/>
      <c r="G458" s="936"/>
      <c r="H458" s="150"/>
      <c r="I458" s="157"/>
      <c r="J458" s="157"/>
      <c r="K458" s="157"/>
      <c r="L458" s="153">
        <f t="shared" si="18"/>
        <v>0</v>
      </c>
      <c r="M458" s="154">
        <f t="shared" si="19"/>
        <v>0</v>
      </c>
      <c r="N458" s="155">
        <f>+IF(OR($Q458=Parametres!$G$2,$Q458=Parametres!$G$3),I458,C458)</f>
        <v>0</v>
      </c>
      <c r="O458" s="155">
        <f>+IF(OR($Q458=Parametres!$G$2,$Q458=Parametres!$G$3),J458,D458)</f>
        <v>0</v>
      </c>
      <c r="P458" s="155">
        <f>+IF(OR($Q458=Parametres!$G$2,$Q458=Parametres!$G$3),K458,E458)</f>
        <v>0</v>
      </c>
      <c r="Q458" s="154">
        <f t="shared" si="32"/>
        <v>0</v>
      </c>
      <c r="R458" s="153">
        <f t="shared" si="32"/>
        <v>0</v>
      </c>
      <c r="S458" s="154">
        <f t="shared" si="32"/>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36"/>
      <c r="B459" s="1160"/>
      <c r="C459" s="937"/>
      <c r="D459" s="937"/>
      <c r="E459" s="937"/>
      <c r="F459" s="936"/>
      <c r="G459" s="936"/>
      <c r="H459" s="150"/>
      <c r="I459" s="157"/>
      <c r="J459" s="157"/>
      <c r="K459" s="157"/>
      <c r="L459" s="153">
        <f t="shared" si="18"/>
        <v>0</v>
      </c>
      <c r="M459" s="154">
        <f t="shared" si="19"/>
        <v>0</v>
      </c>
      <c r="N459" s="155">
        <f>+IF(OR($Q459=Parametres!$G$2,$Q459=Parametres!$G$3),I459,C459)</f>
        <v>0</v>
      </c>
      <c r="O459" s="155">
        <f>+IF(OR($Q459=Parametres!$G$2,$Q459=Parametres!$G$3),J459,D459)</f>
        <v>0</v>
      </c>
      <c r="P459" s="155">
        <f>+IF(OR($Q459=Parametres!$G$2,$Q459=Parametres!$G$3),K459,E459)</f>
        <v>0</v>
      </c>
      <c r="Q459" s="154">
        <f t="shared" si="32"/>
        <v>0</v>
      </c>
      <c r="R459" s="153">
        <f t="shared" si="32"/>
        <v>0</v>
      </c>
      <c r="S459" s="154">
        <f t="shared" si="32"/>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36"/>
      <c r="B460" s="1160"/>
      <c r="C460" s="937"/>
      <c r="D460" s="937"/>
      <c r="E460" s="937"/>
      <c r="F460" s="936"/>
      <c r="G460" s="936"/>
      <c r="H460" s="150"/>
      <c r="I460" s="157"/>
      <c r="J460" s="157"/>
      <c r="K460" s="157"/>
      <c r="L460" s="153">
        <f t="shared" si="18"/>
        <v>0</v>
      </c>
      <c r="M460" s="154">
        <f t="shared" si="19"/>
        <v>0</v>
      </c>
      <c r="N460" s="155">
        <f>+IF(OR($Q460=Parametres!$G$2,$Q460=Parametres!$G$3),I460,C460)</f>
        <v>0</v>
      </c>
      <c r="O460" s="155">
        <f>+IF(OR($Q460=Parametres!$G$2,$Q460=Parametres!$G$3),J460,D460)</f>
        <v>0</v>
      </c>
      <c r="P460" s="155">
        <f>+IF(OR($Q460=Parametres!$G$2,$Q460=Parametres!$G$3),K460,E460)</f>
        <v>0</v>
      </c>
      <c r="Q460" s="154">
        <f t="shared" si="32"/>
        <v>0</v>
      </c>
      <c r="R460" s="153">
        <f t="shared" si="32"/>
        <v>0</v>
      </c>
      <c r="S460" s="154">
        <f t="shared" si="32"/>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 customHeight="1">
      <c r="A461" s="936"/>
      <c r="B461" s="1160"/>
      <c r="C461" s="937"/>
      <c r="D461" s="937"/>
      <c r="E461" s="937"/>
      <c r="F461" s="936"/>
      <c r="G461" s="936"/>
      <c r="H461" s="150"/>
      <c r="I461" s="157"/>
      <c r="J461" s="157"/>
      <c r="K461" s="157"/>
      <c r="L461" s="153">
        <f t="shared" si="18"/>
        <v>0</v>
      </c>
      <c r="M461" s="154">
        <f t="shared" si="19"/>
        <v>0</v>
      </c>
      <c r="N461" s="155">
        <f>+IF(OR($Q461=Parametres!$G$2,$Q461=Parametres!$G$3),I461,C461)</f>
        <v>0</v>
      </c>
      <c r="O461" s="155">
        <f>+IF(OR($Q461=Parametres!$G$2,$Q461=Parametres!$G$3),J461,D461)</f>
        <v>0</v>
      </c>
      <c r="P461" s="155">
        <f>+IF(OR($Q461=Parametres!$G$2,$Q461=Parametres!$G$3),K461,E461)</f>
        <v>0</v>
      </c>
      <c r="Q461" s="154">
        <f t="shared" si="32"/>
        <v>0</v>
      </c>
      <c r="R461" s="153">
        <f t="shared" si="32"/>
        <v>0</v>
      </c>
      <c r="S461" s="154">
        <f t="shared" si="32"/>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75" customHeight="1">
      <c r="A462" s="936"/>
      <c r="B462" s="1160"/>
      <c r="C462" s="937"/>
      <c r="D462" s="937"/>
      <c r="E462" s="937"/>
      <c r="F462" s="936"/>
      <c r="G462" s="936"/>
      <c r="H462" s="150"/>
      <c r="I462" s="157"/>
      <c r="J462" s="157"/>
      <c r="K462" s="157"/>
      <c r="L462" s="153">
        <f t="shared" si="18"/>
        <v>0</v>
      </c>
      <c r="M462" s="154">
        <f t="shared" si="19"/>
        <v>0</v>
      </c>
      <c r="N462" s="155">
        <f>+IF(OR($Q462=Parametres!$G$2,$Q462=Parametres!$G$3),I462,C462)</f>
        <v>0</v>
      </c>
      <c r="O462" s="155">
        <f>+IF(OR($Q462=Parametres!$G$2,$Q462=Parametres!$G$3),J462,D462)</f>
        <v>0</v>
      </c>
      <c r="P462" s="155">
        <f>+IF(OR($Q462=Parametres!$G$2,$Q462=Parametres!$G$3),K462,E462)</f>
        <v>0</v>
      </c>
      <c r="Q462" s="154">
        <f t="shared" si="32"/>
        <v>0</v>
      </c>
      <c r="R462" s="153">
        <f t="shared" si="32"/>
        <v>0</v>
      </c>
      <c r="S462" s="154">
        <f t="shared" si="32"/>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36"/>
      <c r="B463" s="1160"/>
      <c r="C463" s="937"/>
      <c r="D463" s="937"/>
      <c r="E463" s="937"/>
      <c r="F463" s="936"/>
      <c r="G463" s="936"/>
      <c r="H463" s="150"/>
      <c r="I463" s="157"/>
      <c r="J463" s="157"/>
      <c r="K463" s="157"/>
      <c r="L463" s="153">
        <f t="shared" si="18"/>
        <v>0</v>
      </c>
      <c r="M463" s="154">
        <f t="shared" si="19"/>
        <v>0</v>
      </c>
      <c r="N463" s="155">
        <f>+IF(OR($Q463=Parametres!$G$2,$Q463=Parametres!$G$3),I463,C463)</f>
        <v>0</v>
      </c>
      <c r="O463" s="155">
        <f>+IF(OR($Q463=Parametres!$G$2,$Q463=Parametres!$G$3),J463,D463)</f>
        <v>0</v>
      </c>
      <c r="P463" s="155">
        <f>+IF(OR($Q463=Parametres!$G$2,$Q463=Parametres!$G$3),K463,E463)</f>
        <v>0</v>
      </c>
      <c r="Q463" s="154">
        <f t="shared" si="32"/>
        <v>0</v>
      </c>
      <c r="R463" s="153">
        <f t="shared" si="32"/>
        <v>0</v>
      </c>
      <c r="S463" s="154">
        <f t="shared" si="32"/>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36"/>
      <c r="B464" s="1160"/>
      <c r="C464" s="937"/>
      <c r="D464" s="937"/>
      <c r="E464" s="937"/>
      <c r="F464" s="936"/>
      <c r="G464" s="936"/>
      <c r="H464" s="150"/>
      <c r="I464" s="157"/>
      <c r="J464" s="157"/>
      <c r="K464" s="157"/>
      <c r="L464" s="153">
        <f t="shared" si="18"/>
        <v>0</v>
      </c>
      <c r="M464" s="154">
        <f t="shared" si="19"/>
        <v>0</v>
      </c>
      <c r="N464" s="155">
        <f>+IF(OR($Q464=Parametres!$G$2,$Q464=Parametres!$G$3),I464,C464)</f>
        <v>0</v>
      </c>
      <c r="O464" s="155">
        <f>+IF(OR($Q464=Parametres!$G$2,$Q464=Parametres!$G$3),J464,D464)</f>
        <v>0</v>
      </c>
      <c r="P464" s="155">
        <f>+IF(OR($Q464=Parametres!$G$2,$Q464=Parametres!$G$3),K464,E464)</f>
        <v>0</v>
      </c>
      <c r="Q464" s="154">
        <f t="shared" si="32"/>
        <v>0</v>
      </c>
      <c r="R464" s="153">
        <f t="shared" si="32"/>
        <v>0</v>
      </c>
      <c r="S464" s="154">
        <f t="shared" si="32"/>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36"/>
      <c r="B465" s="1160"/>
      <c r="C465" s="937"/>
      <c r="D465" s="937"/>
      <c r="E465" s="937"/>
      <c r="F465" s="936"/>
      <c r="G465" s="936"/>
      <c r="H465" s="150"/>
      <c r="I465" s="157"/>
      <c r="J465" s="157"/>
      <c r="K465" s="157"/>
      <c r="L465" s="153">
        <f t="shared" si="18"/>
        <v>0</v>
      </c>
      <c r="M465" s="154">
        <f t="shared" si="19"/>
        <v>0</v>
      </c>
      <c r="N465" s="155">
        <f>+IF(OR($Q465=Parametres!$G$2,$Q465=Parametres!$G$3),I465,C465)</f>
        <v>0</v>
      </c>
      <c r="O465" s="155">
        <f>+IF(OR($Q465=Parametres!$G$2,$Q465=Parametres!$G$3),J465,D465)</f>
        <v>0</v>
      </c>
      <c r="P465" s="155">
        <f>+IF(OR($Q465=Parametres!$G$2,$Q465=Parametres!$G$3),K465,E465)</f>
        <v>0</v>
      </c>
      <c r="Q465" s="154">
        <f t="shared" si="32"/>
        <v>0</v>
      </c>
      <c r="R465" s="153">
        <f t="shared" si="32"/>
        <v>0</v>
      </c>
      <c r="S465" s="154">
        <f t="shared" si="32"/>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 customHeight="1">
      <c r="A466" s="936"/>
      <c r="B466" s="1160"/>
      <c r="C466" s="937"/>
      <c r="D466" s="937"/>
      <c r="E466" s="937"/>
      <c r="F466" s="936"/>
      <c r="G466" s="936"/>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36"/>
      <c r="B467" s="1160"/>
      <c r="C467" s="937"/>
      <c r="D467" s="937"/>
      <c r="E467" s="937"/>
      <c r="F467" s="936"/>
      <c r="G467" s="936"/>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36"/>
      <c r="B468" s="1160"/>
      <c r="C468" s="937"/>
      <c r="D468" s="937"/>
      <c r="E468" s="937"/>
      <c r="F468" s="936"/>
      <c r="G468" s="936"/>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36"/>
      <c r="B469" s="1160"/>
      <c r="C469" s="937"/>
      <c r="D469" s="937"/>
      <c r="E469" s="937"/>
      <c r="F469" s="936"/>
      <c r="G469" s="936"/>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36"/>
      <c r="B470" s="1160"/>
      <c r="C470" s="937"/>
      <c r="D470" s="937"/>
      <c r="E470" s="937"/>
      <c r="F470" s="936"/>
      <c r="G470" s="936"/>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36"/>
      <c r="B471" s="1160"/>
      <c r="C471" s="937"/>
      <c r="D471" s="937"/>
      <c r="E471" s="937"/>
      <c r="F471" s="936"/>
      <c r="G471" s="936"/>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36"/>
      <c r="B472" s="1160"/>
      <c r="C472" s="937"/>
      <c r="D472" s="937"/>
      <c r="E472" s="937"/>
      <c r="F472" s="936"/>
      <c r="G472" s="936"/>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36"/>
      <c r="B473" s="1160"/>
      <c r="C473" s="937"/>
      <c r="D473" s="937"/>
      <c r="E473" s="937"/>
      <c r="F473" s="936"/>
      <c r="G473" s="936"/>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36"/>
      <c r="B474" s="1160"/>
      <c r="C474" s="937"/>
      <c r="D474" s="937"/>
      <c r="E474" s="937"/>
      <c r="F474" s="936"/>
      <c r="G474" s="936"/>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36"/>
      <c r="B475" s="1160"/>
      <c r="C475" s="937"/>
      <c r="D475" s="937"/>
      <c r="E475" s="937"/>
      <c r="F475" s="936"/>
      <c r="G475" s="936"/>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36"/>
      <c r="B476" s="1160"/>
      <c r="C476" s="937"/>
      <c r="D476" s="937"/>
      <c r="E476" s="937"/>
      <c r="F476" s="936"/>
      <c r="G476" s="936"/>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36"/>
      <c r="B477" s="1160"/>
      <c r="C477" s="937"/>
      <c r="D477" s="937"/>
      <c r="E477" s="937"/>
      <c r="F477" s="936"/>
      <c r="G477" s="936"/>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36"/>
      <c r="B478" s="1160"/>
      <c r="C478" s="937"/>
      <c r="D478" s="937"/>
      <c r="E478" s="937"/>
      <c r="F478" s="936"/>
      <c r="G478" s="936"/>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36"/>
      <c r="B479" s="1160"/>
      <c r="C479" s="937"/>
      <c r="D479" s="937"/>
      <c r="E479" s="937"/>
      <c r="F479" s="936"/>
      <c r="G479" s="936"/>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36"/>
      <c r="B480" s="1160"/>
      <c r="C480" s="937"/>
      <c r="D480" s="937"/>
      <c r="E480" s="937"/>
      <c r="F480" s="936"/>
      <c r="G480" s="936"/>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36"/>
      <c r="B481" s="1160"/>
      <c r="C481" s="937"/>
      <c r="D481" s="937"/>
      <c r="E481" s="937"/>
      <c r="F481" s="936"/>
      <c r="G481" s="936"/>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36"/>
      <c r="B482" s="1160"/>
      <c r="C482" s="937"/>
      <c r="D482" s="937"/>
      <c r="E482" s="937"/>
      <c r="F482" s="936"/>
      <c r="G482" s="936"/>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36"/>
      <c r="B483" s="1160"/>
      <c r="C483" s="937"/>
      <c r="D483" s="937"/>
      <c r="E483" s="937"/>
      <c r="F483" s="936"/>
      <c r="G483" s="936"/>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36"/>
      <c r="B484" s="1160"/>
      <c r="C484" s="937"/>
      <c r="D484" s="937"/>
      <c r="E484" s="937"/>
      <c r="F484" s="936"/>
      <c r="G484" s="936"/>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36"/>
      <c r="B485" s="1160"/>
      <c r="C485" s="937"/>
      <c r="D485" s="937"/>
      <c r="E485" s="937"/>
      <c r="F485" s="936"/>
      <c r="G485" s="936"/>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36"/>
      <c r="B486" s="1160"/>
      <c r="C486" s="937"/>
      <c r="D486" s="937"/>
      <c r="E486" s="937"/>
      <c r="F486" s="936"/>
      <c r="G486" s="936"/>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36"/>
      <c r="B487" s="1160"/>
      <c r="C487" s="937"/>
      <c r="D487" s="937"/>
      <c r="E487" s="937"/>
      <c r="F487" s="936"/>
      <c r="G487" s="93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36"/>
      <c r="B488" s="1160"/>
      <c r="C488" s="937"/>
      <c r="D488" s="937"/>
      <c r="E488" s="937"/>
      <c r="F488" s="936"/>
      <c r="G488" s="93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36"/>
      <c r="B489" s="1160"/>
      <c r="C489" s="937"/>
      <c r="D489" s="937"/>
      <c r="E489" s="937"/>
      <c r="F489" s="936"/>
      <c r="G489" s="93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36"/>
      <c r="B490" s="1160"/>
      <c r="C490" s="937"/>
      <c r="D490" s="937"/>
      <c r="E490" s="937"/>
      <c r="F490" s="936"/>
      <c r="G490" s="93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36"/>
      <c r="B491" s="1160"/>
      <c r="C491" s="937"/>
      <c r="D491" s="937"/>
      <c r="E491" s="937"/>
      <c r="F491" s="936"/>
      <c r="G491" s="93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36"/>
      <c r="B492" s="1160"/>
      <c r="C492" s="937"/>
      <c r="D492" s="937"/>
      <c r="E492" s="937"/>
      <c r="F492" s="936"/>
      <c r="G492" s="93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36"/>
      <c r="B493" s="1160"/>
      <c r="C493" s="937"/>
      <c r="D493" s="937"/>
      <c r="E493" s="937"/>
      <c r="F493" s="936"/>
      <c r="G493" s="93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36"/>
      <c r="B494" s="1160"/>
      <c r="C494" s="937"/>
      <c r="D494" s="937"/>
      <c r="E494" s="937"/>
      <c r="F494" s="936"/>
      <c r="G494" s="93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36"/>
      <c r="B495" s="1160"/>
      <c r="C495" s="937"/>
      <c r="D495" s="937"/>
      <c r="E495" s="937"/>
      <c r="F495" s="936"/>
      <c r="G495" s="93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36"/>
      <c r="B496" s="1160"/>
      <c r="C496" s="937"/>
      <c r="D496" s="937"/>
      <c r="E496" s="937"/>
      <c r="F496" s="936"/>
      <c r="G496" s="93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36"/>
      <c r="B497" s="1160"/>
      <c r="C497" s="937"/>
      <c r="D497" s="937"/>
      <c r="E497" s="937"/>
      <c r="F497" s="936"/>
      <c r="G497" s="93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36"/>
      <c r="B498" s="1160"/>
      <c r="C498" s="937"/>
      <c r="D498" s="937"/>
      <c r="E498" s="937"/>
      <c r="F498" s="936"/>
      <c r="G498" s="93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36"/>
      <c r="B499" s="1160"/>
      <c r="C499" s="937"/>
      <c r="D499" s="937"/>
      <c r="E499" s="937"/>
      <c r="F499" s="936"/>
      <c r="G499" s="93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36"/>
      <c r="B500" s="1160"/>
      <c r="C500" s="937"/>
      <c r="D500" s="937"/>
      <c r="E500" s="937"/>
      <c r="F500" s="936"/>
      <c r="G500" s="93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36"/>
      <c r="B501" s="936"/>
      <c r="C501" s="937"/>
      <c r="D501" s="937"/>
      <c r="E501" s="937"/>
      <c r="F501" s="936"/>
      <c r="G501" s="93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36"/>
      <c r="B502" s="936"/>
      <c r="C502" s="937"/>
      <c r="D502" s="937"/>
      <c r="E502" s="937"/>
      <c r="F502" s="936"/>
      <c r="G502" s="93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36"/>
      <c r="B503" s="936"/>
      <c r="C503" s="937"/>
      <c r="D503" s="937"/>
      <c r="E503" s="937"/>
      <c r="F503" s="936"/>
      <c r="G503" s="93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36"/>
      <c r="B504" s="936"/>
      <c r="C504" s="937"/>
      <c r="D504" s="937"/>
      <c r="E504" s="937"/>
      <c r="F504" s="936"/>
      <c r="G504" s="93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36"/>
      <c r="B505" s="936"/>
      <c r="C505" s="937"/>
      <c r="D505" s="937"/>
      <c r="E505" s="937"/>
      <c r="F505" s="936"/>
      <c r="G505" s="93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36"/>
      <c r="B506" s="936"/>
      <c r="C506" s="937"/>
      <c r="D506" s="937"/>
      <c r="E506" s="937"/>
      <c r="F506" s="936"/>
      <c r="G506" s="93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36"/>
      <c r="B507" s="936"/>
      <c r="C507" s="937"/>
      <c r="D507" s="937"/>
      <c r="E507" s="937"/>
      <c r="F507" s="936"/>
      <c r="G507" s="93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36"/>
      <c r="B508" s="936"/>
      <c r="C508" s="937"/>
      <c r="D508" s="937"/>
      <c r="E508" s="937"/>
      <c r="F508" s="936"/>
      <c r="G508" s="93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36"/>
      <c r="B509" s="936"/>
      <c r="C509" s="937"/>
      <c r="D509" s="937"/>
      <c r="E509" s="937"/>
      <c r="F509" s="936"/>
      <c r="G509" s="93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36"/>
      <c r="B510" s="936"/>
      <c r="C510" s="937"/>
      <c r="D510" s="937"/>
      <c r="E510" s="937"/>
      <c r="F510" s="936"/>
      <c r="G510" s="93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C000000}">
    <filterColumn colId="21">
      <filters>
        <filter val="#N/A"/>
      </filters>
    </filterColumn>
  </autoFilter>
  <dataValidations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46" t="s">
        <v>1637</v>
      </c>
      <c r="B1" s="946" t="s">
        <v>265</v>
      </c>
      <c r="C1" s="946" t="s">
        <v>1640</v>
      </c>
      <c r="D1" s="946" t="s">
        <v>278</v>
      </c>
    </row>
    <row r="2" spans="1:8" ht="15">
      <c r="A2" s="168" t="s">
        <v>568</v>
      </c>
      <c r="B2" s="169" t="s">
        <v>567</v>
      </c>
      <c r="C2" s="945" t="s">
        <v>75</v>
      </c>
      <c r="D2" s="945" t="s">
        <v>29</v>
      </c>
      <c r="G2" s="936" t="s">
        <v>2202</v>
      </c>
      <c r="H2" s="936" t="s">
        <v>2203</v>
      </c>
    </row>
    <row r="3" spans="1:8" ht="15">
      <c r="A3" s="168" t="s">
        <v>570</v>
      </c>
      <c r="B3" s="169" t="s">
        <v>569</v>
      </c>
      <c r="C3" s="945" t="s">
        <v>144</v>
      </c>
      <c r="D3" s="945" t="s">
        <v>31</v>
      </c>
      <c r="G3" s="936" t="s">
        <v>2221</v>
      </c>
      <c r="H3" s="936" t="s">
        <v>2222</v>
      </c>
    </row>
    <row r="4" spans="1:8" ht="15">
      <c r="A4" s="168" t="s">
        <v>572</v>
      </c>
      <c r="B4" s="169" t="s">
        <v>571</v>
      </c>
      <c r="C4" s="945" t="s">
        <v>75</v>
      </c>
      <c r="D4" s="945" t="s">
        <v>29</v>
      </c>
      <c r="G4" s="936" t="s">
        <v>2223</v>
      </c>
      <c r="H4" s="936" t="s">
        <v>2224</v>
      </c>
    </row>
    <row r="5" spans="1:8" ht="15">
      <c r="A5" s="168" t="s">
        <v>574</v>
      </c>
      <c r="B5" s="169" t="s">
        <v>573</v>
      </c>
      <c r="C5" s="945" t="s">
        <v>144</v>
      </c>
      <c r="D5" s="945" t="s">
        <v>31</v>
      </c>
      <c r="G5" s="936" t="s">
        <v>2849</v>
      </c>
      <c r="H5" s="936" t="s">
        <v>2388</v>
      </c>
    </row>
    <row r="6" spans="1:8" ht="15">
      <c r="A6" s="168" t="s">
        <v>576</v>
      </c>
      <c r="B6" s="169" t="s">
        <v>575</v>
      </c>
      <c r="C6" s="945" t="s">
        <v>75</v>
      </c>
      <c r="D6" s="945" t="s">
        <v>29</v>
      </c>
      <c r="G6" s="936" t="s">
        <v>2384</v>
      </c>
      <c r="H6" s="936" t="s">
        <v>2385</v>
      </c>
    </row>
    <row r="7" spans="1:8" ht="15">
      <c r="A7" s="168" t="s">
        <v>578</v>
      </c>
      <c r="B7" s="169" t="s">
        <v>577</v>
      </c>
      <c r="C7" s="945" t="s">
        <v>144</v>
      </c>
      <c r="D7" s="945" t="s">
        <v>31</v>
      </c>
      <c r="G7" s="936" t="s">
        <v>2386</v>
      </c>
      <c r="H7" s="936" t="s">
        <v>2387</v>
      </c>
    </row>
    <row r="8" spans="1:8" ht="15">
      <c r="A8" s="168" t="s">
        <v>580</v>
      </c>
      <c r="B8" s="169" t="s">
        <v>579</v>
      </c>
      <c r="C8" s="945" t="s">
        <v>75</v>
      </c>
      <c r="D8" s="945" t="s">
        <v>29</v>
      </c>
      <c r="G8" s="936" t="s">
        <v>2180</v>
      </c>
      <c r="H8" s="936" t="s">
        <v>2181</v>
      </c>
    </row>
    <row r="9" spans="1:8" ht="15">
      <c r="A9" s="168" t="s">
        <v>582</v>
      </c>
      <c r="B9" s="169" t="s">
        <v>581</v>
      </c>
      <c r="C9" s="945" t="s">
        <v>144</v>
      </c>
      <c r="D9" s="945" t="s">
        <v>31</v>
      </c>
      <c r="G9" s="936" t="s">
        <v>2024</v>
      </c>
      <c r="H9" s="936" t="s">
        <v>2014</v>
      </c>
    </row>
    <row r="10" spans="1:8" ht="15">
      <c r="A10" s="168" t="s">
        <v>584</v>
      </c>
      <c r="B10" s="169" t="s">
        <v>583</v>
      </c>
      <c r="C10" s="945" t="s">
        <v>75</v>
      </c>
      <c r="D10" s="945" t="s">
        <v>29</v>
      </c>
      <c r="G10" s="936" t="s">
        <v>2012</v>
      </c>
      <c r="H10" s="936" t="s">
        <v>2013</v>
      </c>
    </row>
    <row r="11" spans="1:8" ht="15">
      <c r="A11" s="168" t="s">
        <v>586</v>
      </c>
      <c r="B11" s="169" t="s">
        <v>585</v>
      </c>
      <c r="C11" s="945" t="s">
        <v>144</v>
      </c>
      <c r="D11" s="945" t="s">
        <v>31</v>
      </c>
      <c r="G11" s="936" t="s">
        <v>2099</v>
      </c>
      <c r="H11" s="936" t="s">
        <v>2100</v>
      </c>
    </row>
    <row r="12" spans="1:8" ht="15">
      <c r="A12" s="168" t="s">
        <v>588</v>
      </c>
      <c r="B12" s="169" t="s">
        <v>587</v>
      </c>
      <c r="C12" s="945" t="s">
        <v>75</v>
      </c>
      <c r="D12" s="945" t="s">
        <v>29</v>
      </c>
      <c r="G12" s="936" t="s">
        <v>2732</v>
      </c>
      <c r="H12" s="936" t="s">
        <v>2733</v>
      </c>
    </row>
    <row r="13" spans="1:8" ht="15">
      <c r="A13" s="168" t="s">
        <v>590</v>
      </c>
      <c r="B13" s="169" t="s">
        <v>589</v>
      </c>
      <c r="C13" s="945" t="s">
        <v>144</v>
      </c>
      <c r="D13" s="945" t="s">
        <v>31</v>
      </c>
      <c r="G13" s="936" t="s">
        <v>2829</v>
      </c>
      <c r="H13" s="936" t="s">
        <v>2830</v>
      </c>
    </row>
    <row r="14" spans="1:8" ht="15">
      <c r="A14" s="168" t="s">
        <v>592</v>
      </c>
      <c r="B14" s="169" t="s">
        <v>591</v>
      </c>
      <c r="C14" s="945" t="s">
        <v>75</v>
      </c>
      <c r="D14" s="945" t="s">
        <v>29</v>
      </c>
      <c r="G14" s="936" t="s">
        <v>2057</v>
      </c>
      <c r="H14" s="936" t="s">
        <v>2058</v>
      </c>
    </row>
    <row r="15" spans="1:8" ht="15">
      <c r="A15" s="168" t="s">
        <v>594</v>
      </c>
      <c r="B15" s="169" t="s">
        <v>593</v>
      </c>
      <c r="C15" s="945" t="s">
        <v>144</v>
      </c>
      <c r="D15" s="945" t="s">
        <v>31</v>
      </c>
      <c r="G15" s="936" t="s">
        <v>2778</v>
      </c>
      <c r="H15" s="936" t="s">
        <v>2779</v>
      </c>
    </row>
    <row r="16" spans="1:8" ht="15">
      <c r="A16" s="168" t="s">
        <v>596</v>
      </c>
      <c r="B16" s="169" t="s">
        <v>595</v>
      </c>
      <c r="C16" s="945" t="s">
        <v>75</v>
      </c>
      <c r="D16" s="945" t="s">
        <v>29</v>
      </c>
      <c r="G16" s="936" t="s">
        <v>2017</v>
      </c>
      <c r="H16" s="936" t="s">
        <v>2018</v>
      </c>
    </row>
    <row r="17" spans="1:8" ht="15">
      <c r="A17" s="168" t="s">
        <v>598</v>
      </c>
      <c r="B17" s="169" t="s">
        <v>597</v>
      </c>
      <c r="C17" s="945" t="s">
        <v>144</v>
      </c>
      <c r="D17" s="945" t="s">
        <v>31</v>
      </c>
      <c r="G17" s="936" t="s">
        <v>2616</v>
      </c>
      <c r="H17" s="936" t="s">
        <v>2617</v>
      </c>
    </row>
    <row r="18" spans="1:8" ht="15">
      <c r="A18" s="168" t="s">
        <v>754</v>
      </c>
      <c r="B18" s="169" t="s">
        <v>753</v>
      </c>
      <c r="C18" s="945" t="s">
        <v>1642</v>
      </c>
      <c r="D18" s="945"/>
      <c r="G18" s="936" t="s">
        <v>2817</v>
      </c>
      <c r="H18" s="936" t="s">
        <v>2818</v>
      </c>
    </row>
    <row r="19" spans="1:8" ht="15">
      <c r="A19" s="168" t="s">
        <v>756</v>
      </c>
      <c r="B19" s="169" t="s">
        <v>755</v>
      </c>
      <c r="C19" s="945" t="s">
        <v>1642</v>
      </c>
      <c r="D19" s="945"/>
      <c r="G19" s="936" t="s">
        <v>2106</v>
      </c>
      <c r="H19" s="936" t="s">
        <v>2107</v>
      </c>
    </row>
    <row r="20" spans="1:8" ht="15">
      <c r="A20" s="168" t="s">
        <v>758</v>
      </c>
      <c r="B20" s="169" t="s">
        <v>757</v>
      </c>
      <c r="C20" s="945" t="s">
        <v>1642</v>
      </c>
      <c r="D20" s="945"/>
      <c r="G20" s="936" t="s">
        <v>2472</v>
      </c>
      <c r="H20" s="936" t="s">
        <v>2473</v>
      </c>
    </row>
    <row r="21" spans="1:8" ht="15">
      <c r="A21" s="168" t="s">
        <v>760</v>
      </c>
      <c r="B21" s="169" t="s">
        <v>759</v>
      </c>
      <c r="C21" s="945" t="s">
        <v>1642</v>
      </c>
      <c r="D21" s="945"/>
      <c r="G21" s="936" t="s">
        <v>2115</v>
      </c>
      <c r="H21" s="936" t="s">
        <v>2116</v>
      </c>
    </row>
    <row r="22" spans="1:8" ht="15">
      <c r="A22" s="168" t="s">
        <v>762</v>
      </c>
      <c r="B22" s="169" t="s">
        <v>761</v>
      </c>
      <c r="C22" s="945" t="s">
        <v>1642</v>
      </c>
      <c r="D22" s="945"/>
      <c r="G22" s="936" t="s">
        <v>2756</v>
      </c>
      <c r="H22" s="936" t="s">
        <v>2757</v>
      </c>
    </row>
    <row r="23" spans="1:8" ht="15">
      <c r="A23" s="168" t="s">
        <v>764</v>
      </c>
      <c r="B23" s="169" t="s">
        <v>763</v>
      </c>
      <c r="C23" s="945" t="s">
        <v>1642</v>
      </c>
      <c r="D23" s="945"/>
      <c r="G23" s="936" t="s">
        <v>2821</v>
      </c>
      <c r="H23" s="936" t="s">
        <v>2476</v>
      </c>
    </row>
    <row r="24" spans="1:8" ht="15">
      <c r="A24" s="168" t="s">
        <v>766</v>
      </c>
      <c r="B24" s="169" t="s">
        <v>765</v>
      </c>
      <c r="C24" s="945" t="s">
        <v>1642</v>
      </c>
      <c r="D24" s="945"/>
      <c r="G24" s="936" t="s">
        <v>2474</v>
      </c>
      <c r="H24" s="936" t="s">
        <v>2475</v>
      </c>
    </row>
    <row r="25" spans="1:8" ht="15">
      <c r="A25" s="168" t="s">
        <v>768</v>
      </c>
      <c r="B25" s="169" t="s">
        <v>767</v>
      </c>
      <c r="C25" s="945" t="s">
        <v>1642</v>
      </c>
      <c r="D25" s="945"/>
      <c r="G25" s="936" t="s">
        <v>2029</v>
      </c>
      <c r="H25" s="936" t="s">
        <v>2030</v>
      </c>
    </row>
    <row r="26" spans="1:8" ht="15">
      <c r="A26" s="168" t="s">
        <v>770</v>
      </c>
      <c r="B26" s="169" t="s">
        <v>769</v>
      </c>
      <c r="C26" s="945" t="s">
        <v>1642</v>
      </c>
      <c r="D26" s="945"/>
      <c r="G26" s="936" t="s">
        <v>2819</v>
      </c>
      <c r="H26" s="936" t="s">
        <v>2820</v>
      </c>
    </row>
    <row r="27" spans="1:8" ht="15">
      <c r="A27" s="168" t="s">
        <v>772</v>
      </c>
      <c r="B27" s="169" t="s">
        <v>771</v>
      </c>
      <c r="C27" s="945" t="s">
        <v>1642</v>
      </c>
      <c r="D27" s="945"/>
      <c r="G27" s="936" t="s">
        <v>2735</v>
      </c>
      <c r="H27" s="936" t="s">
        <v>2736</v>
      </c>
    </row>
    <row r="28" spans="1:8" ht="15">
      <c r="A28" s="168" t="s">
        <v>774</v>
      </c>
      <c r="B28" s="169" t="s">
        <v>773</v>
      </c>
      <c r="C28" s="945" t="s">
        <v>1642</v>
      </c>
      <c r="D28" s="945"/>
      <c r="G28" s="936" t="s">
        <v>2584</v>
      </c>
      <c r="H28" s="936" t="s">
        <v>2585</v>
      </c>
    </row>
    <row r="29" spans="1:8" ht="15">
      <c r="A29" s="168" t="s">
        <v>776</v>
      </c>
      <c r="B29" s="169" t="s">
        <v>775</v>
      </c>
      <c r="C29" s="945" t="s">
        <v>1642</v>
      </c>
      <c r="D29" s="945"/>
      <c r="G29" s="936" t="s">
        <v>2758</v>
      </c>
      <c r="H29" s="936" t="s">
        <v>2759</v>
      </c>
    </row>
    <row r="30" spans="1:8" ht="15">
      <c r="A30" s="168" t="s">
        <v>778</v>
      </c>
      <c r="B30" s="169" t="s">
        <v>777</v>
      </c>
      <c r="C30" s="945" t="s">
        <v>1642</v>
      </c>
      <c r="D30" s="945"/>
      <c r="G30" s="936" t="s">
        <v>2137</v>
      </c>
      <c r="H30" s="936" t="s">
        <v>2138</v>
      </c>
    </row>
    <row r="31" spans="1:8" ht="15">
      <c r="A31" s="168" t="s">
        <v>780</v>
      </c>
      <c r="B31" s="169" t="s">
        <v>779</v>
      </c>
      <c r="C31" s="945" t="s">
        <v>1642</v>
      </c>
      <c r="D31" s="945"/>
      <c r="G31" s="936" t="s">
        <v>2686</v>
      </c>
      <c r="H31" s="936" t="s">
        <v>2687</v>
      </c>
    </row>
    <row r="32" spans="1:8" ht="15">
      <c r="A32" s="168" t="s">
        <v>782</v>
      </c>
      <c r="B32" s="169" t="s">
        <v>781</v>
      </c>
      <c r="C32" s="945" t="s">
        <v>1642</v>
      </c>
      <c r="D32" s="945"/>
      <c r="G32" s="936" t="s">
        <v>2101</v>
      </c>
      <c r="H32" s="936" t="s">
        <v>2102</v>
      </c>
    </row>
    <row r="33" spans="1:8" ht="15">
      <c r="A33" s="168" t="s">
        <v>784</v>
      </c>
      <c r="B33" s="169" t="s">
        <v>783</v>
      </c>
      <c r="C33" s="945" t="s">
        <v>1642</v>
      </c>
      <c r="D33" s="945"/>
      <c r="G33" s="936" t="s">
        <v>2127</v>
      </c>
      <c r="H33" s="936" t="s">
        <v>2128</v>
      </c>
    </row>
    <row r="34" spans="1:8" ht="15">
      <c r="A34" s="166" t="s">
        <v>552</v>
      </c>
      <c r="B34" s="166" t="s">
        <v>551</v>
      </c>
      <c r="C34" s="945" t="s">
        <v>1646</v>
      </c>
      <c r="D34" s="945"/>
      <c r="G34" s="936" t="s">
        <v>2801</v>
      </c>
      <c r="H34" s="936" t="s">
        <v>2802</v>
      </c>
    </row>
    <row r="35" spans="1:8" ht="15">
      <c r="A35" s="166" t="s">
        <v>554</v>
      </c>
      <c r="B35" s="166" t="s">
        <v>553</v>
      </c>
      <c r="C35" s="945" t="s">
        <v>1646</v>
      </c>
      <c r="D35" s="945"/>
      <c r="G35" s="936" t="s">
        <v>2389</v>
      </c>
      <c r="H35" s="936" t="s">
        <v>2390</v>
      </c>
    </row>
    <row r="36" spans="1:8" ht="15">
      <c r="A36" s="166" t="s">
        <v>556</v>
      </c>
      <c r="B36" s="166" t="s">
        <v>555</v>
      </c>
      <c r="C36" s="945" t="s">
        <v>1646</v>
      </c>
      <c r="D36" s="945"/>
      <c r="G36" s="936" t="s">
        <v>2637</v>
      </c>
      <c r="H36" s="936" t="s">
        <v>2638</v>
      </c>
    </row>
    <row r="37" spans="1:8" ht="15">
      <c r="A37" s="168" t="s">
        <v>558</v>
      </c>
      <c r="B37" s="169" t="s">
        <v>557</v>
      </c>
      <c r="C37" s="945" t="s">
        <v>1646</v>
      </c>
      <c r="D37" s="945"/>
      <c r="G37" s="936" t="s">
        <v>2149</v>
      </c>
      <c r="H37" s="936" t="s">
        <v>2150</v>
      </c>
    </row>
    <row r="38" spans="1:8" ht="15">
      <c r="A38" s="168" t="s">
        <v>560</v>
      </c>
      <c r="B38" s="169" t="s">
        <v>559</v>
      </c>
      <c r="C38" s="945" t="s">
        <v>1646</v>
      </c>
      <c r="D38" s="945"/>
      <c r="G38" s="936" t="s">
        <v>2391</v>
      </c>
      <c r="H38" s="936" t="s">
        <v>2392</v>
      </c>
    </row>
    <row r="39" spans="1:8" ht="15">
      <c r="A39" s="168" t="s">
        <v>562</v>
      </c>
      <c r="B39" s="169" t="s">
        <v>561</v>
      </c>
      <c r="C39" s="945" t="s">
        <v>1646</v>
      </c>
      <c r="D39" s="945"/>
      <c r="G39" s="936" t="s">
        <v>2121</v>
      </c>
      <c r="H39" s="936" t="s">
        <v>2122</v>
      </c>
    </row>
    <row r="40" spans="1:8" ht="15">
      <c r="A40" s="168" t="s">
        <v>564</v>
      </c>
      <c r="B40" s="169" t="s">
        <v>563</v>
      </c>
      <c r="C40" s="945" t="s">
        <v>1646</v>
      </c>
      <c r="D40" s="945"/>
      <c r="G40" s="936" t="s">
        <v>2600</v>
      </c>
      <c r="H40" s="936" t="s">
        <v>2601</v>
      </c>
    </row>
    <row r="41" spans="1:8" ht="15">
      <c r="A41" s="168" t="s">
        <v>566</v>
      </c>
      <c r="B41" s="169" t="s">
        <v>565</v>
      </c>
      <c r="C41" s="945" t="s">
        <v>1646</v>
      </c>
      <c r="D41" s="945"/>
      <c r="G41" s="936" t="s">
        <v>2178</v>
      </c>
      <c r="H41" s="936" t="s">
        <v>2179</v>
      </c>
    </row>
    <row r="42" spans="1:8" ht="15">
      <c r="A42" s="168" t="s">
        <v>600</v>
      </c>
      <c r="B42" s="169" t="s">
        <v>599</v>
      </c>
      <c r="C42" s="945" t="s">
        <v>155</v>
      </c>
      <c r="D42" s="945"/>
      <c r="G42" s="936" t="s">
        <v>2196</v>
      </c>
      <c r="H42" s="936" t="s">
        <v>2197</v>
      </c>
    </row>
    <row r="43" spans="1:8" ht="15">
      <c r="A43" s="168" t="s">
        <v>602</v>
      </c>
      <c r="B43" s="169" t="s">
        <v>601</v>
      </c>
      <c r="C43" s="945" t="s">
        <v>155</v>
      </c>
      <c r="D43" s="945"/>
      <c r="G43" s="936" t="s">
        <v>2393</v>
      </c>
      <c r="H43" s="936" t="s">
        <v>2394</v>
      </c>
    </row>
    <row r="44" spans="1:8" ht="15">
      <c r="A44" s="168" t="s">
        <v>604</v>
      </c>
      <c r="B44" s="169" t="s">
        <v>603</v>
      </c>
      <c r="C44" s="945" t="s">
        <v>155</v>
      </c>
      <c r="D44" s="945"/>
      <c r="G44" s="936" t="s">
        <v>2677</v>
      </c>
      <c r="H44" s="936" t="s">
        <v>2678</v>
      </c>
    </row>
    <row r="45" spans="1:8" ht="15">
      <c r="A45" s="168" t="s">
        <v>606</v>
      </c>
      <c r="B45" s="169" t="s">
        <v>605</v>
      </c>
      <c r="C45" s="945" t="s">
        <v>1646</v>
      </c>
      <c r="D45" s="945" t="s">
        <v>159</v>
      </c>
      <c r="G45" s="936" t="s">
        <v>2780</v>
      </c>
      <c r="H45" s="936" t="s">
        <v>2781</v>
      </c>
    </row>
    <row r="46" spans="1:8" ht="15">
      <c r="A46" s="168" t="s">
        <v>608</v>
      </c>
      <c r="B46" s="169" t="s">
        <v>607</v>
      </c>
      <c r="C46" s="945" t="s">
        <v>1646</v>
      </c>
      <c r="D46" s="945" t="s">
        <v>161</v>
      </c>
      <c r="G46" s="936" t="s">
        <v>2198</v>
      </c>
      <c r="H46" s="936" t="s">
        <v>2199</v>
      </c>
    </row>
    <row r="47" spans="1:8" ht="15">
      <c r="A47" s="168" t="s">
        <v>610</v>
      </c>
      <c r="B47" s="169" t="s">
        <v>609</v>
      </c>
      <c r="C47" s="945" t="s">
        <v>155</v>
      </c>
      <c r="D47" s="945" t="s">
        <v>162</v>
      </c>
      <c r="G47" s="936" t="s">
        <v>2183</v>
      </c>
      <c r="H47" s="936" t="s">
        <v>2184</v>
      </c>
    </row>
    <row r="48" spans="1:8" ht="15">
      <c r="A48" s="168" t="s">
        <v>612</v>
      </c>
      <c r="B48" s="169" t="s">
        <v>611</v>
      </c>
      <c r="C48" s="945" t="s">
        <v>171</v>
      </c>
      <c r="D48" s="945" t="s">
        <v>173</v>
      </c>
      <c r="G48" s="936" t="s">
        <v>2119</v>
      </c>
      <c r="H48" s="936" t="s">
        <v>2120</v>
      </c>
    </row>
    <row r="49" spans="1:8" ht="15">
      <c r="A49" s="168" t="s">
        <v>614</v>
      </c>
      <c r="B49" s="169" t="s">
        <v>613</v>
      </c>
      <c r="C49" s="945" t="s">
        <v>155</v>
      </c>
      <c r="D49" s="945"/>
      <c r="G49" s="936" t="s">
        <v>2113</v>
      </c>
      <c r="H49" s="936" t="s">
        <v>2114</v>
      </c>
    </row>
    <row r="50" spans="1:8" ht="15">
      <c r="A50" s="168" t="s">
        <v>616</v>
      </c>
      <c r="B50" s="169" t="s">
        <v>615</v>
      </c>
      <c r="C50" s="945" t="s">
        <v>1646</v>
      </c>
      <c r="D50" s="945"/>
      <c r="G50" s="936" t="s">
        <v>2139</v>
      </c>
      <c r="H50" s="936" t="s">
        <v>2140</v>
      </c>
    </row>
    <row r="51" spans="1:8" ht="15">
      <c r="A51" s="168" t="s">
        <v>618</v>
      </c>
      <c r="B51" s="169" t="s">
        <v>617</v>
      </c>
      <c r="C51" s="945" t="s">
        <v>1642</v>
      </c>
      <c r="D51" s="945"/>
      <c r="G51" s="936" t="s">
        <v>2174</v>
      </c>
      <c r="H51" s="936" t="s">
        <v>2175</v>
      </c>
    </row>
    <row r="52" spans="1:8" ht="15">
      <c r="A52" s="168" t="s">
        <v>620</v>
      </c>
      <c r="B52" s="169" t="s">
        <v>619</v>
      </c>
      <c r="C52" s="945" t="s">
        <v>1642</v>
      </c>
      <c r="D52" s="945"/>
      <c r="G52" s="936" t="s">
        <v>2798</v>
      </c>
      <c r="H52" s="936" t="s">
        <v>2799</v>
      </c>
    </row>
    <row r="53" spans="1:8" ht="15">
      <c r="A53" s="168" t="s">
        <v>622</v>
      </c>
      <c r="B53" s="169" t="s">
        <v>621</v>
      </c>
      <c r="C53" s="945" t="s">
        <v>1646</v>
      </c>
      <c r="D53" s="945"/>
      <c r="G53" s="936" t="s">
        <v>478</v>
      </c>
      <c r="H53" s="936" t="s">
        <v>2126</v>
      </c>
    </row>
    <row r="54" spans="1:8" ht="15">
      <c r="A54" s="168" t="s">
        <v>624</v>
      </c>
      <c r="B54" s="169" t="s">
        <v>623</v>
      </c>
      <c r="C54" s="945" t="s">
        <v>1642</v>
      </c>
      <c r="D54" s="945"/>
      <c r="G54" s="936" t="s">
        <v>2571</v>
      </c>
      <c r="H54" s="936" t="s">
        <v>2572</v>
      </c>
    </row>
    <row r="55" spans="1:8" ht="15">
      <c r="A55" s="168" t="s">
        <v>626</v>
      </c>
      <c r="B55" s="169" t="s">
        <v>625</v>
      </c>
      <c r="C55" s="945" t="s">
        <v>1642</v>
      </c>
      <c r="D55" s="945"/>
      <c r="G55" s="936" t="s">
        <v>2569</v>
      </c>
      <c r="H55" s="936" t="s">
        <v>2570</v>
      </c>
    </row>
    <row r="56" spans="1:8" ht="15">
      <c r="A56" s="168" t="s">
        <v>628</v>
      </c>
      <c r="B56" s="169" t="s">
        <v>627</v>
      </c>
      <c r="C56" s="945" t="s">
        <v>1646</v>
      </c>
      <c r="D56" s="945"/>
      <c r="G56" s="936" t="s">
        <v>2395</v>
      </c>
      <c r="H56" s="936" t="s">
        <v>2396</v>
      </c>
    </row>
    <row r="57" spans="1:8" ht="15">
      <c r="A57" s="168" t="s">
        <v>630</v>
      </c>
      <c r="B57" s="169" t="s">
        <v>629</v>
      </c>
      <c r="C57" s="945" t="s">
        <v>1642</v>
      </c>
      <c r="D57" s="945"/>
      <c r="G57" s="936" t="s">
        <v>2153</v>
      </c>
      <c r="H57" s="936" t="s">
        <v>2154</v>
      </c>
    </row>
    <row r="58" spans="1:8" ht="15">
      <c r="A58" s="168" t="s">
        <v>632</v>
      </c>
      <c r="B58" s="169" t="s">
        <v>631</v>
      </c>
      <c r="C58" s="945" t="s">
        <v>144</v>
      </c>
      <c r="D58" s="945"/>
      <c r="G58" s="936" t="s">
        <v>2397</v>
      </c>
      <c r="H58" s="936" t="s">
        <v>2398</v>
      </c>
    </row>
    <row r="59" spans="1:8" ht="15">
      <c r="A59" s="168" t="s">
        <v>634</v>
      </c>
      <c r="B59" s="169" t="s">
        <v>633</v>
      </c>
      <c r="C59" s="945" t="s">
        <v>144</v>
      </c>
      <c r="D59" s="945"/>
      <c r="G59" s="936" t="s">
        <v>2123</v>
      </c>
      <c r="H59" s="936" t="s">
        <v>2124</v>
      </c>
    </row>
    <row r="60" spans="1:8" ht="15">
      <c r="A60" s="168" t="s">
        <v>636</v>
      </c>
      <c r="B60" s="169" t="s">
        <v>635</v>
      </c>
      <c r="C60" s="945" t="s">
        <v>1646</v>
      </c>
      <c r="D60" s="945"/>
      <c r="G60" s="936" t="s">
        <v>2399</v>
      </c>
      <c r="H60" s="936" t="s">
        <v>2400</v>
      </c>
    </row>
    <row r="61" spans="1:8" ht="15">
      <c r="A61" s="168" t="s">
        <v>638</v>
      </c>
      <c r="B61" s="169" t="s">
        <v>637</v>
      </c>
      <c r="C61" s="945" t="s">
        <v>1646</v>
      </c>
      <c r="D61" s="945"/>
      <c r="G61" s="936" t="s">
        <v>2194</v>
      </c>
      <c r="H61" s="936" t="s">
        <v>2195</v>
      </c>
    </row>
    <row r="62" spans="1:8" ht="15">
      <c r="A62" s="168" t="s">
        <v>640</v>
      </c>
      <c r="B62" s="169" t="s">
        <v>639</v>
      </c>
      <c r="C62" s="945" t="s">
        <v>75</v>
      </c>
      <c r="D62" s="945" t="s">
        <v>181</v>
      </c>
      <c r="G62" s="936" t="s">
        <v>2401</v>
      </c>
      <c r="H62" s="936" t="s">
        <v>2402</v>
      </c>
    </row>
    <row r="63" spans="1:8" ht="15">
      <c r="A63" s="168" t="s">
        <v>642</v>
      </c>
      <c r="B63" s="169" t="s">
        <v>641</v>
      </c>
      <c r="C63" s="945" t="s">
        <v>75</v>
      </c>
      <c r="D63" s="945" t="s">
        <v>181</v>
      </c>
      <c r="G63" s="936" t="s">
        <v>2565</v>
      </c>
      <c r="H63" s="936" t="s">
        <v>2566</v>
      </c>
    </row>
    <row r="64" spans="1:8" ht="15">
      <c r="A64" s="168" t="s">
        <v>644</v>
      </c>
      <c r="B64" s="169" t="s">
        <v>643</v>
      </c>
      <c r="C64" s="945" t="s">
        <v>75</v>
      </c>
      <c r="D64" s="945" t="s">
        <v>181</v>
      </c>
      <c r="G64" s="936" t="s">
        <v>2403</v>
      </c>
      <c r="H64" s="936" t="s">
        <v>2404</v>
      </c>
    </row>
    <row r="65" spans="1:8" ht="15">
      <c r="A65" s="168" t="s">
        <v>646</v>
      </c>
      <c r="B65" s="169" t="s">
        <v>645</v>
      </c>
      <c r="C65" s="945" t="s">
        <v>75</v>
      </c>
      <c r="D65" s="945" t="s">
        <v>181</v>
      </c>
      <c r="G65" s="936" t="s">
        <v>2160</v>
      </c>
      <c r="H65" s="936" t="s">
        <v>2161</v>
      </c>
    </row>
    <row r="66" spans="1:8" ht="15">
      <c r="A66" s="168" t="s">
        <v>648</v>
      </c>
      <c r="B66" s="169" t="s">
        <v>647</v>
      </c>
      <c r="C66" s="945" t="s">
        <v>75</v>
      </c>
      <c r="D66" s="945" t="s">
        <v>181</v>
      </c>
      <c r="G66" s="936" t="s">
        <v>2405</v>
      </c>
      <c r="H66" s="936" t="s">
        <v>2406</v>
      </c>
    </row>
    <row r="67" spans="1:8" ht="15">
      <c r="A67" s="168" t="s">
        <v>650</v>
      </c>
      <c r="B67" s="169" t="s">
        <v>649</v>
      </c>
      <c r="C67" s="945" t="s">
        <v>75</v>
      </c>
      <c r="D67" s="945" t="s">
        <v>181</v>
      </c>
      <c r="G67" s="936" t="s">
        <v>2407</v>
      </c>
      <c r="H67" s="936" t="s">
        <v>2408</v>
      </c>
    </row>
    <row r="68" spans="1:8" ht="15">
      <c r="A68" s="168" t="s">
        <v>652</v>
      </c>
      <c r="B68" s="169" t="s">
        <v>651</v>
      </c>
      <c r="C68" s="945" t="s">
        <v>75</v>
      </c>
      <c r="D68" s="945" t="s">
        <v>181</v>
      </c>
      <c r="G68" s="936" t="s">
        <v>2563</v>
      </c>
      <c r="H68" s="936" t="s">
        <v>2564</v>
      </c>
    </row>
    <row r="69" spans="1:8" ht="15">
      <c r="A69" s="168" t="s">
        <v>654</v>
      </c>
      <c r="B69" s="169" t="s">
        <v>653</v>
      </c>
      <c r="C69" s="945" t="s">
        <v>75</v>
      </c>
      <c r="D69" s="945" t="s">
        <v>181</v>
      </c>
      <c r="G69" s="936" t="s">
        <v>2151</v>
      </c>
      <c r="H69" s="936" t="s">
        <v>2152</v>
      </c>
    </row>
    <row r="70" spans="1:8" ht="15">
      <c r="A70" s="168" t="s">
        <v>656</v>
      </c>
      <c r="B70" s="169" t="s">
        <v>655</v>
      </c>
      <c r="C70" s="945" t="s">
        <v>144</v>
      </c>
      <c r="D70" s="945" t="s">
        <v>181</v>
      </c>
      <c r="G70" s="936" t="s">
        <v>822</v>
      </c>
      <c r="H70" s="936" t="s">
        <v>2409</v>
      </c>
    </row>
    <row r="71" spans="1:8" ht="15">
      <c r="A71" s="168" t="s">
        <v>658</v>
      </c>
      <c r="B71" s="169" t="s">
        <v>657</v>
      </c>
      <c r="C71" s="945" t="s">
        <v>144</v>
      </c>
      <c r="D71" s="945" t="s">
        <v>181</v>
      </c>
      <c r="G71" s="936" t="s">
        <v>2192</v>
      </c>
      <c r="H71" s="936" t="s">
        <v>2193</v>
      </c>
    </row>
    <row r="72" spans="1:8" ht="15">
      <c r="A72" s="168" t="s">
        <v>660</v>
      </c>
      <c r="B72" s="169" t="s">
        <v>659</v>
      </c>
      <c r="C72" s="945" t="s">
        <v>144</v>
      </c>
      <c r="D72" s="945" t="s">
        <v>181</v>
      </c>
      <c r="G72" s="936" t="s">
        <v>2410</v>
      </c>
      <c r="H72" s="936" t="s">
        <v>2411</v>
      </c>
    </row>
    <row r="73" spans="1:8" ht="15">
      <c r="A73" s="168" t="s">
        <v>662</v>
      </c>
      <c r="B73" s="169" t="s">
        <v>661</v>
      </c>
      <c r="C73" s="945" t="s">
        <v>144</v>
      </c>
      <c r="D73" s="945" t="s">
        <v>181</v>
      </c>
      <c r="G73" s="936" t="s">
        <v>2747</v>
      </c>
      <c r="H73" s="936" t="s">
        <v>2748</v>
      </c>
    </row>
    <row r="74" spans="1:8" ht="15">
      <c r="A74" s="168" t="s">
        <v>664</v>
      </c>
      <c r="B74" s="169" t="s">
        <v>663</v>
      </c>
      <c r="C74" s="945" t="s">
        <v>144</v>
      </c>
      <c r="D74" s="945" t="s">
        <v>181</v>
      </c>
      <c r="G74" s="936" t="s">
        <v>2205</v>
      </c>
      <c r="H74" s="936" t="s">
        <v>2206</v>
      </c>
    </row>
    <row r="75" spans="1:8" ht="15">
      <c r="A75" s="168" t="s">
        <v>666</v>
      </c>
      <c r="B75" s="169" t="s">
        <v>665</v>
      </c>
      <c r="C75" s="945" t="s">
        <v>144</v>
      </c>
      <c r="D75" s="945" t="s">
        <v>181</v>
      </c>
      <c r="G75" s="936" t="s">
        <v>2841</v>
      </c>
      <c r="H75" s="936" t="s">
        <v>2842</v>
      </c>
    </row>
    <row r="76" spans="1:8" ht="15">
      <c r="A76" s="168" t="s">
        <v>668</v>
      </c>
      <c r="B76" s="169" t="s">
        <v>667</v>
      </c>
      <c r="C76" s="945" t="s">
        <v>144</v>
      </c>
      <c r="D76" s="945" t="s">
        <v>181</v>
      </c>
      <c r="G76" s="936" t="s">
        <v>2033</v>
      </c>
      <c r="H76" s="936" t="s">
        <v>2034</v>
      </c>
    </row>
    <row r="77" spans="1:8" ht="15">
      <c r="A77" s="168" t="s">
        <v>670</v>
      </c>
      <c r="B77" s="169" t="s">
        <v>669</v>
      </c>
      <c r="C77" s="945" t="s">
        <v>144</v>
      </c>
      <c r="D77" s="945" t="s">
        <v>181</v>
      </c>
      <c r="G77" s="936" t="s">
        <v>2412</v>
      </c>
      <c r="H77" s="936" t="s">
        <v>2413</v>
      </c>
    </row>
    <row r="78" spans="1:8" ht="15">
      <c r="A78" s="169" t="s">
        <v>672</v>
      </c>
      <c r="B78" s="169" t="s">
        <v>671</v>
      </c>
      <c r="C78" s="945" t="s">
        <v>75</v>
      </c>
      <c r="D78" s="945" t="s">
        <v>1738</v>
      </c>
      <c r="G78" s="936" t="s">
        <v>2200</v>
      </c>
      <c r="H78" s="936" t="s">
        <v>2201</v>
      </c>
    </row>
    <row r="79" spans="1:8" ht="15">
      <c r="A79" s="169" t="s">
        <v>674</v>
      </c>
      <c r="B79" s="169" t="s">
        <v>673</v>
      </c>
      <c r="C79" s="945" t="s">
        <v>75</v>
      </c>
      <c r="D79" s="945" t="s">
        <v>1738</v>
      </c>
      <c r="G79" s="936" t="s">
        <v>2053</v>
      </c>
      <c r="H79" s="936" t="s">
        <v>2054</v>
      </c>
    </row>
    <row r="80" spans="1:8" ht="15">
      <c r="A80" s="169" t="s">
        <v>676</v>
      </c>
      <c r="B80" s="169" t="s">
        <v>675</v>
      </c>
      <c r="C80" s="945" t="s">
        <v>75</v>
      </c>
      <c r="D80" s="945" t="s">
        <v>1738</v>
      </c>
      <c r="G80" s="936" t="s">
        <v>2791</v>
      </c>
      <c r="H80" s="936" t="s">
        <v>2792</v>
      </c>
    </row>
    <row r="81" spans="1:8" ht="15">
      <c r="A81" s="169" t="s">
        <v>678</v>
      </c>
      <c r="B81" s="169" t="s">
        <v>677</v>
      </c>
      <c r="C81" s="945" t="s">
        <v>75</v>
      </c>
      <c r="D81" s="945" t="s">
        <v>1738</v>
      </c>
      <c r="G81" s="936" t="s">
        <v>2808</v>
      </c>
      <c r="H81" s="936" t="s">
        <v>2063</v>
      </c>
    </row>
    <row r="82" spans="1:8" ht="15">
      <c r="A82" s="169" t="s">
        <v>680</v>
      </c>
      <c r="B82" s="169" t="s">
        <v>679</v>
      </c>
      <c r="C82" s="945" t="s">
        <v>75</v>
      </c>
      <c r="D82" s="945" t="s">
        <v>1738</v>
      </c>
      <c r="G82" s="936" t="s">
        <v>2061</v>
      </c>
      <c r="H82" s="936" t="s">
        <v>2062</v>
      </c>
    </row>
    <row r="83" spans="1:8" ht="15">
      <c r="A83" s="169" t="s">
        <v>682</v>
      </c>
      <c r="B83" s="169" t="s">
        <v>681</v>
      </c>
      <c r="C83" s="945" t="s">
        <v>75</v>
      </c>
      <c r="D83" s="945" t="s">
        <v>1738</v>
      </c>
      <c r="G83" s="936" t="s">
        <v>2611</v>
      </c>
      <c r="H83" s="936" t="s">
        <v>2612</v>
      </c>
    </row>
    <row r="84" spans="1:8" ht="15">
      <c r="A84" s="169" t="s">
        <v>684</v>
      </c>
      <c r="B84" s="169" t="s">
        <v>683</v>
      </c>
      <c r="C84" s="945" t="s">
        <v>75</v>
      </c>
      <c r="D84" s="945" t="s">
        <v>1738</v>
      </c>
      <c r="G84" s="936" t="s">
        <v>2813</v>
      </c>
      <c r="H84" s="936" t="s">
        <v>2814</v>
      </c>
    </row>
    <row r="85" spans="1:8" ht="15">
      <c r="A85" s="169" t="s">
        <v>686</v>
      </c>
      <c r="B85" s="169" t="s">
        <v>685</v>
      </c>
      <c r="C85" s="945" t="s">
        <v>75</v>
      </c>
      <c r="D85" s="945" t="s">
        <v>1738</v>
      </c>
      <c r="G85" s="936" t="s">
        <v>2170</v>
      </c>
      <c r="H85" s="936" t="s">
        <v>2131</v>
      </c>
    </row>
    <row r="86" spans="1:8" ht="15">
      <c r="A86" s="168" t="s">
        <v>688</v>
      </c>
      <c r="B86" s="169" t="s">
        <v>687</v>
      </c>
      <c r="C86" s="945" t="s">
        <v>75</v>
      </c>
      <c r="D86" s="945"/>
      <c r="G86" s="936" t="s">
        <v>2767</v>
      </c>
      <c r="H86" s="936" t="s">
        <v>2768</v>
      </c>
    </row>
    <row r="87" spans="1:8" ht="15">
      <c r="A87" s="168" t="s">
        <v>690</v>
      </c>
      <c r="B87" s="169" t="s">
        <v>689</v>
      </c>
      <c r="C87" s="945" t="s">
        <v>144</v>
      </c>
      <c r="D87" s="945"/>
      <c r="G87" s="936" t="s">
        <v>2741</v>
      </c>
      <c r="H87" s="936" t="s">
        <v>2742</v>
      </c>
    </row>
    <row r="88" spans="1:8" ht="15">
      <c r="A88" s="168" t="s">
        <v>692</v>
      </c>
      <c r="B88" s="169" t="s">
        <v>691</v>
      </c>
      <c r="C88" s="945" t="s">
        <v>155</v>
      </c>
      <c r="D88" s="945"/>
      <c r="G88" s="936" t="s">
        <v>2225</v>
      </c>
      <c r="H88" s="936" t="s">
        <v>2226</v>
      </c>
    </row>
    <row r="89" spans="1:8" ht="15">
      <c r="A89" s="168" t="s">
        <v>694</v>
      </c>
      <c r="B89" s="169" t="s">
        <v>693</v>
      </c>
      <c r="C89" s="945" t="s">
        <v>171</v>
      </c>
      <c r="D89" s="945"/>
      <c r="G89" s="936" t="s">
        <v>2006</v>
      </c>
      <c r="H89" s="936" t="s">
        <v>2007</v>
      </c>
    </row>
    <row r="90" spans="1:8" ht="15">
      <c r="A90" s="168" t="s">
        <v>696</v>
      </c>
      <c r="B90" s="169" t="s">
        <v>695</v>
      </c>
      <c r="C90" s="945" t="s">
        <v>175</v>
      </c>
      <c r="D90" s="945"/>
      <c r="G90" s="936" t="s">
        <v>2046</v>
      </c>
      <c r="H90" s="936" t="s">
        <v>2047</v>
      </c>
    </row>
    <row r="91" spans="1:8" ht="15">
      <c r="A91" s="168" t="s">
        <v>698</v>
      </c>
      <c r="B91" s="169" t="s">
        <v>697</v>
      </c>
      <c r="C91" s="945" t="s">
        <v>75</v>
      </c>
      <c r="D91" s="945"/>
      <c r="G91" s="936" t="s">
        <v>2129</v>
      </c>
      <c r="H91" s="936" t="s">
        <v>2130</v>
      </c>
    </row>
    <row r="92" spans="1:8" ht="15">
      <c r="A92" s="168" t="s">
        <v>700</v>
      </c>
      <c r="B92" s="169" t="s">
        <v>699</v>
      </c>
      <c r="C92" s="945" t="s">
        <v>144</v>
      </c>
      <c r="D92" s="945"/>
      <c r="G92" s="936" t="s">
        <v>2414</v>
      </c>
      <c r="H92" s="936" t="s">
        <v>2415</v>
      </c>
    </row>
    <row r="93" spans="1:8" ht="15">
      <c r="A93" s="168" t="s">
        <v>702</v>
      </c>
      <c r="B93" s="169" t="s">
        <v>701</v>
      </c>
      <c r="C93" s="945" t="s">
        <v>155</v>
      </c>
      <c r="D93" s="945"/>
      <c r="G93" s="936" t="s">
        <v>2143</v>
      </c>
      <c r="H93" s="936" t="s">
        <v>2144</v>
      </c>
    </row>
    <row r="94" spans="1:8" ht="15">
      <c r="A94" s="168" t="s">
        <v>704</v>
      </c>
      <c r="B94" s="169" t="s">
        <v>703</v>
      </c>
      <c r="C94" s="945" t="s">
        <v>175</v>
      </c>
      <c r="D94" s="945"/>
      <c r="G94" s="936" t="s">
        <v>2228</v>
      </c>
      <c r="H94" s="936" t="s">
        <v>2229</v>
      </c>
    </row>
    <row r="95" spans="1:8" ht="15">
      <c r="A95" s="168" t="s">
        <v>706</v>
      </c>
      <c r="B95" s="169" t="s">
        <v>705</v>
      </c>
      <c r="C95" s="945" t="s">
        <v>144</v>
      </c>
      <c r="D95" s="945"/>
      <c r="G95" s="936" t="s">
        <v>2705</v>
      </c>
      <c r="H95" s="936" t="s">
        <v>2159</v>
      </c>
    </row>
    <row r="96" spans="1:8" ht="15">
      <c r="A96" s="168" t="s">
        <v>708</v>
      </c>
      <c r="B96" s="169" t="s">
        <v>707</v>
      </c>
      <c r="C96" s="945" t="s">
        <v>75</v>
      </c>
      <c r="D96" s="945" t="s">
        <v>163</v>
      </c>
      <c r="G96" s="936" t="s">
        <v>2157</v>
      </c>
      <c r="H96" s="936" t="s">
        <v>2158</v>
      </c>
    </row>
    <row r="97" spans="1:8" ht="15">
      <c r="A97" s="168" t="s">
        <v>710</v>
      </c>
      <c r="B97" s="169" t="s">
        <v>709</v>
      </c>
      <c r="C97" s="945" t="s">
        <v>75</v>
      </c>
      <c r="D97" s="945"/>
      <c r="G97" s="936" t="s">
        <v>2230</v>
      </c>
      <c r="H97" s="936" t="s">
        <v>2231</v>
      </c>
    </row>
    <row r="98" spans="1:8" ht="15">
      <c r="A98" s="168" t="s">
        <v>712</v>
      </c>
      <c r="B98" s="169" t="s">
        <v>711</v>
      </c>
      <c r="C98" s="945" t="s">
        <v>144</v>
      </c>
      <c r="D98" s="945"/>
      <c r="G98" s="936" t="s">
        <v>2744</v>
      </c>
      <c r="H98" s="936" t="s">
        <v>2745</v>
      </c>
    </row>
    <row r="99" spans="1:8" ht="15">
      <c r="A99" s="168" t="s">
        <v>714</v>
      </c>
      <c r="B99" s="169" t="s">
        <v>713</v>
      </c>
      <c r="C99" s="945" t="s">
        <v>75</v>
      </c>
      <c r="D99" s="945"/>
      <c r="G99" s="936" t="s">
        <v>2577</v>
      </c>
      <c r="H99" s="936" t="s">
        <v>2578</v>
      </c>
    </row>
    <row r="100" spans="1:8" ht="15">
      <c r="A100" s="168" t="s">
        <v>716</v>
      </c>
      <c r="B100" s="169" t="s">
        <v>715</v>
      </c>
      <c r="C100" s="945" t="s">
        <v>144</v>
      </c>
      <c r="D100" s="945"/>
      <c r="G100" s="936" t="s">
        <v>536</v>
      </c>
      <c r="H100" s="936" t="s">
        <v>2182</v>
      </c>
    </row>
    <row r="101" spans="1:8" ht="15">
      <c r="A101" s="168" t="s">
        <v>718</v>
      </c>
      <c r="B101" s="169" t="s">
        <v>717</v>
      </c>
      <c r="C101" s="945" t="s">
        <v>155</v>
      </c>
      <c r="D101" s="945"/>
      <c r="G101" s="936" t="s">
        <v>2232</v>
      </c>
      <c r="H101" s="936" t="s">
        <v>2233</v>
      </c>
    </row>
    <row r="102" spans="1:8" ht="15">
      <c r="A102" s="168" t="s">
        <v>720</v>
      </c>
      <c r="B102" s="169" t="s">
        <v>719</v>
      </c>
      <c r="C102" s="945" t="s">
        <v>175</v>
      </c>
      <c r="D102" s="945"/>
      <c r="G102" s="936" t="s">
        <v>2234</v>
      </c>
      <c r="H102" s="936" t="s">
        <v>2235</v>
      </c>
    </row>
    <row r="103" spans="1:8" ht="15">
      <c r="A103" s="168" t="s">
        <v>722</v>
      </c>
      <c r="B103" s="169" t="s">
        <v>721</v>
      </c>
      <c r="C103" s="945" t="s">
        <v>75</v>
      </c>
      <c r="D103" s="945"/>
      <c r="G103" s="936" t="s">
        <v>2190</v>
      </c>
      <c r="H103" s="936" t="s">
        <v>2191</v>
      </c>
    </row>
    <row r="104" spans="1:8" ht="15">
      <c r="A104" s="168" t="s">
        <v>724</v>
      </c>
      <c r="B104" s="169" t="s">
        <v>723</v>
      </c>
      <c r="C104" s="945" t="s">
        <v>144</v>
      </c>
      <c r="D104" s="945"/>
      <c r="G104" s="936" t="s">
        <v>2236</v>
      </c>
      <c r="H104" s="936" t="s">
        <v>2237</v>
      </c>
    </row>
    <row r="105" spans="1:8" ht="15">
      <c r="A105" s="168" t="s">
        <v>726</v>
      </c>
      <c r="B105" s="169" t="s">
        <v>725</v>
      </c>
      <c r="C105" s="945" t="s">
        <v>155</v>
      </c>
      <c r="D105" s="945"/>
      <c r="G105" s="936" t="s">
        <v>2239</v>
      </c>
      <c r="H105" s="936" t="s">
        <v>2240</v>
      </c>
    </row>
    <row r="106" spans="1:8" ht="15">
      <c r="A106" s="168" t="s">
        <v>728</v>
      </c>
      <c r="B106" s="169" t="s">
        <v>727</v>
      </c>
      <c r="C106" s="945" t="s">
        <v>155</v>
      </c>
      <c r="D106" s="945" t="s">
        <v>163</v>
      </c>
      <c r="G106" s="936" t="s">
        <v>2241</v>
      </c>
      <c r="H106" s="936" t="s">
        <v>2242</v>
      </c>
    </row>
    <row r="107" spans="1:8" ht="15">
      <c r="A107" s="168" t="s">
        <v>730</v>
      </c>
      <c r="B107" s="169" t="s">
        <v>729</v>
      </c>
      <c r="C107" s="945" t="s">
        <v>155</v>
      </c>
      <c r="D107" s="945"/>
      <c r="G107" s="936" t="s">
        <v>2243</v>
      </c>
      <c r="H107" s="936" t="s">
        <v>2244</v>
      </c>
    </row>
    <row r="108" spans="1:8" ht="15">
      <c r="A108" s="168" t="s">
        <v>732</v>
      </c>
      <c r="B108" s="169" t="s">
        <v>731</v>
      </c>
      <c r="C108" s="945" t="s">
        <v>75</v>
      </c>
      <c r="D108" s="945"/>
      <c r="G108" s="936" t="s">
        <v>2595</v>
      </c>
      <c r="H108" s="936" t="s">
        <v>2596</v>
      </c>
    </row>
    <row r="109" spans="1:8" ht="15">
      <c r="A109" s="168" t="s">
        <v>734</v>
      </c>
      <c r="B109" s="169" t="s">
        <v>733</v>
      </c>
      <c r="C109" s="945" t="s">
        <v>144</v>
      </c>
      <c r="D109" s="945"/>
      <c r="G109" s="936" t="s">
        <v>2055</v>
      </c>
      <c r="H109" s="936" t="s">
        <v>2056</v>
      </c>
    </row>
    <row r="110" spans="1:8" ht="15">
      <c r="A110" s="168" t="s">
        <v>736</v>
      </c>
      <c r="B110" s="169" t="s">
        <v>735</v>
      </c>
      <c r="C110" s="945" t="s">
        <v>155</v>
      </c>
      <c r="D110" s="945"/>
      <c r="G110" s="936" t="s">
        <v>2095</v>
      </c>
      <c r="H110" s="936" t="s">
        <v>2096</v>
      </c>
    </row>
    <row r="111" spans="1:8" ht="15">
      <c r="A111" s="168" t="s">
        <v>738</v>
      </c>
      <c r="B111" s="169" t="s">
        <v>737</v>
      </c>
      <c r="C111" s="945" t="s">
        <v>171</v>
      </c>
      <c r="D111" s="945"/>
      <c r="G111" s="936" t="s">
        <v>2416</v>
      </c>
      <c r="H111" s="936" t="s">
        <v>2417</v>
      </c>
    </row>
    <row r="112" spans="1:8" ht="15">
      <c r="A112" s="168" t="s">
        <v>740</v>
      </c>
      <c r="B112" s="169" t="s">
        <v>739</v>
      </c>
      <c r="C112" s="945" t="s">
        <v>175</v>
      </c>
      <c r="D112" s="945"/>
      <c r="G112" s="936" t="s">
        <v>2091</v>
      </c>
      <c r="H112" s="936" t="s">
        <v>2092</v>
      </c>
    </row>
    <row r="113" spans="1:8" ht="15">
      <c r="A113" s="168" t="s">
        <v>742</v>
      </c>
      <c r="B113" s="169" t="s">
        <v>741</v>
      </c>
      <c r="C113" s="945" t="s">
        <v>1646</v>
      </c>
      <c r="D113" s="945" t="s">
        <v>113</v>
      </c>
      <c r="G113" s="936" t="s">
        <v>2185</v>
      </c>
      <c r="H113" s="936" t="s">
        <v>2186</v>
      </c>
    </row>
    <row r="114" spans="1:8" ht="15">
      <c r="A114" s="168" t="s">
        <v>744</v>
      </c>
      <c r="B114" s="169" t="s">
        <v>743</v>
      </c>
      <c r="C114" s="945" t="s">
        <v>1646</v>
      </c>
      <c r="D114" s="945" t="s">
        <v>113</v>
      </c>
      <c r="G114" s="936" t="s">
        <v>2245</v>
      </c>
      <c r="H114" s="936" t="s">
        <v>2246</v>
      </c>
    </row>
    <row r="115" spans="1:8" ht="15">
      <c r="A115" s="168" t="s">
        <v>746</v>
      </c>
      <c r="B115" s="169" t="s">
        <v>745</v>
      </c>
      <c r="C115" s="945" t="s">
        <v>155</v>
      </c>
      <c r="D115" s="945" t="s">
        <v>113</v>
      </c>
      <c r="G115" s="936" t="s">
        <v>2247</v>
      </c>
      <c r="H115" s="936" t="s">
        <v>2248</v>
      </c>
    </row>
    <row r="116" spans="1:8" ht="15">
      <c r="A116" s="168" t="s">
        <v>748</v>
      </c>
      <c r="B116" s="169" t="s">
        <v>747</v>
      </c>
      <c r="C116" s="945" t="s">
        <v>171</v>
      </c>
      <c r="D116" s="945" t="s">
        <v>113</v>
      </c>
      <c r="G116" s="936" t="s">
        <v>2249</v>
      </c>
      <c r="H116" s="936" t="s">
        <v>2250</v>
      </c>
    </row>
    <row r="117" spans="1:8" ht="15">
      <c r="A117" s="168" t="s">
        <v>750</v>
      </c>
      <c r="B117" s="169" t="s">
        <v>749</v>
      </c>
      <c r="C117" s="945" t="s">
        <v>175</v>
      </c>
      <c r="D117" s="945" t="s">
        <v>113</v>
      </c>
      <c r="G117" s="936" t="s">
        <v>2251</v>
      </c>
      <c r="H117" s="936" t="s">
        <v>2252</v>
      </c>
    </row>
    <row r="118" spans="1:8" ht="15">
      <c r="A118" s="168" t="s">
        <v>752</v>
      </c>
      <c r="B118" s="169" t="s">
        <v>751</v>
      </c>
      <c r="C118" s="945" t="s">
        <v>175</v>
      </c>
      <c r="D118" s="945"/>
      <c r="G118" s="936" t="s">
        <v>2684</v>
      </c>
      <c r="H118" s="936" t="s">
        <v>2685</v>
      </c>
    </row>
    <row r="119" spans="1:8" ht="15">
      <c r="A119" s="168" t="s">
        <v>520</v>
      </c>
      <c r="B119" s="169" t="s">
        <v>1567</v>
      </c>
      <c r="C119" s="945" t="s">
        <v>1642</v>
      </c>
      <c r="D119" s="945" t="s">
        <v>8</v>
      </c>
      <c r="G119" s="936" t="s">
        <v>827</v>
      </c>
      <c r="H119" s="936" t="s">
        <v>2187</v>
      </c>
    </row>
    <row r="120" spans="1:8" ht="15">
      <c r="A120" s="168" t="s">
        <v>1144</v>
      </c>
      <c r="B120" s="169" t="s">
        <v>1143</v>
      </c>
      <c r="C120" s="945" t="s">
        <v>1642</v>
      </c>
      <c r="D120" s="945" t="s">
        <v>8</v>
      </c>
      <c r="G120" s="936" t="s">
        <v>2207</v>
      </c>
      <c r="H120" s="936" t="s">
        <v>2208</v>
      </c>
    </row>
    <row r="121" spans="1:8" ht="15">
      <c r="A121" s="168" t="s">
        <v>519</v>
      </c>
      <c r="B121" s="169" t="s">
        <v>518</v>
      </c>
      <c r="C121" s="945" t="s">
        <v>1642</v>
      </c>
      <c r="D121" s="945" t="s">
        <v>1924</v>
      </c>
      <c r="G121" s="936" t="s">
        <v>2253</v>
      </c>
      <c r="H121" s="936" t="s">
        <v>2254</v>
      </c>
    </row>
    <row r="122" spans="1:8" ht="15">
      <c r="A122" s="168" t="s">
        <v>786</v>
      </c>
      <c r="B122" s="169" t="s">
        <v>785</v>
      </c>
      <c r="C122" s="945" t="s">
        <v>1642</v>
      </c>
      <c r="D122" s="945" t="s">
        <v>8</v>
      </c>
      <c r="G122" s="936" t="s">
        <v>2418</v>
      </c>
      <c r="H122" s="936" t="s">
        <v>2419</v>
      </c>
    </row>
    <row r="123" spans="1:8" ht="15">
      <c r="A123" s="168" t="s">
        <v>788</v>
      </c>
      <c r="B123" s="169" t="s">
        <v>787</v>
      </c>
      <c r="C123" s="945" t="s">
        <v>1642</v>
      </c>
      <c r="D123" s="945" t="s">
        <v>8</v>
      </c>
      <c r="G123" s="936" t="s">
        <v>2420</v>
      </c>
      <c r="H123" s="936" t="s">
        <v>2421</v>
      </c>
    </row>
    <row r="124" spans="1:8" ht="15">
      <c r="A124" s="168" t="s">
        <v>1142</v>
      </c>
      <c r="B124" s="169" t="s">
        <v>1141</v>
      </c>
      <c r="C124" s="945" t="s">
        <v>1642</v>
      </c>
      <c r="D124" s="945" t="s">
        <v>8</v>
      </c>
      <c r="G124" s="936" t="s">
        <v>2422</v>
      </c>
      <c r="H124" s="936" t="s">
        <v>2423</v>
      </c>
    </row>
    <row r="125" spans="1:8" ht="15">
      <c r="A125" s="168" t="s">
        <v>526</v>
      </c>
      <c r="B125" s="169" t="s">
        <v>525</v>
      </c>
      <c r="C125" s="945" t="s">
        <v>1642</v>
      </c>
      <c r="D125" s="945" t="s">
        <v>8</v>
      </c>
      <c r="G125" s="936" t="s">
        <v>2255</v>
      </c>
      <c r="H125" s="936" t="s">
        <v>2256</v>
      </c>
    </row>
    <row r="126" spans="1:8" ht="15">
      <c r="A126" s="168" t="s">
        <v>292</v>
      </c>
      <c r="B126" s="169" t="s">
        <v>291</v>
      </c>
      <c r="C126" s="945" t="s">
        <v>1642</v>
      </c>
      <c r="D126" s="945" t="s">
        <v>12</v>
      </c>
      <c r="G126" s="936" t="s">
        <v>2257</v>
      </c>
      <c r="H126" s="936" t="s">
        <v>2258</v>
      </c>
    </row>
    <row r="127" spans="1:8" ht="15">
      <c r="A127" s="168" t="s">
        <v>411</v>
      </c>
      <c r="B127" s="169" t="s">
        <v>1549</v>
      </c>
      <c r="C127" s="945" t="s">
        <v>1642</v>
      </c>
      <c r="D127" s="945" t="s">
        <v>13</v>
      </c>
      <c r="G127" s="936" t="s">
        <v>2259</v>
      </c>
      <c r="H127" s="936" t="s">
        <v>2260</v>
      </c>
    </row>
    <row r="128" spans="1:8" ht="15">
      <c r="A128" s="168" t="s">
        <v>410</v>
      </c>
      <c r="B128" s="169" t="s">
        <v>409</v>
      </c>
      <c r="C128" s="945" t="s">
        <v>1642</v>
      </c>
      <c r="D128" s="945" t="s">
        <v>13</v>
      </c>
      <c r="G128" s="936" t="s">
        <v>2261</v>
      </c>
      <c r="H128" s="936" t="s">
        <v>2262</v>
      </c>
    </row>
    <row r="129" spans="1:8" ht="15">
      <c r="A129" s="168" t="s">
        <v>393</v>
      </c>
      <c r="B129" s="169" t="s">
        <v>1418</v>
      </c>
      <c r="C129" s="945" t="s">
        <v>1642</v>
      </c>
      <c r="D129" s="945" t="s">
        <v>17</v>
      </c>
      <c r="G129" s="936" t="s">
        <v>2264</v>
      </c>
      <c r="H129" s="936" t="s">
        <v>2265</v>
      </c>
    </row>
    <row r="130" spans="1:8" ht="15">
      <c r="A130" s="168" t="s">
        <v>392</v>
      </c>
      <c r="B130" s="169" t="s">
        <v>391</v>
      </c>
      <c r="C130" s="945" t="s">
        <v>1642</v>
      </c>
      <c r="D130" s="945" t="s">
        <v>21</v>
      </c>
      <c r="G130" s="936" t="s">
        <v>2266</v>
      </c>
      <c r="H130" s="936" t="s">
        <v>2267</v>
      </c>
    </row>
    <row r="131" spans="1:8" ht="15">
      <c r="A131" s="168" t="s">
        <v>1522</v>
      </c>
      <c r="B131" s="169" t="s">
        <v>1558</v>
      </c>
      <c r="C131" s="945" t="s">
        <v>1642</v>
      </c>
      <c r="D131" s="945" t="s">
        <v>15</v>
      </c>
      <c r="G131" s="936" t="s">
        <v>2268</v>
      </c>
      <c r="H131" s="936" t="s">
        <v>2269</v>
      </c>
    </row>
    <row r="132" spans="1:8" ht="15">
      <c r="A132" s="168" t="s">
        <v>355</v>
      </c>
      <c r="B132" s="169" t="s">
        <v>354</v>
      </c>
      <c r="C132" s="945" t="s">
        <v>1642</v>
      </c>
      <c r="D132" s="945" t="s">
        <v>19</v>
      </c>
      <c r="G132" s="936" t="s">
        <v>2424</v>
      </c>
      <c r="H132" s="936" t="s">
        <v>2425</v>
      </c>
    </row>
    <row r="133" spans="1:8" ht="15">
      <c r="A133" s="168" t="s">
        <v>1424</v>
      </c>
      <c r="B133" s="169" t="s">
        <v>1423</v>
      </c>
      <c r="C133" s="945" t="s">
        <v>1642</v>
      </c>
      <c r="D133" s="945" t="s">
        <v>1931</v>
      </c>
      <c r="G133" s="936" t="s">
        <v>2270</v>
      </c>
      <c r="H133" s="936" t="s">
        <v>2271</v>
      </c>
    </row>
    <row r="134" spans="1:8" ht="15">
      <c r="A134" s="169" t="s">
        <v>1417</v>
      </c>
      <c r="B134" s="169" t="s">
        <v>1416</v>
      </c>
      <c r="C134" s="945" t="s">
        <v>1642</v>
      </c>
      <c r="D134" s="945" t="s">
        <v>1931</v>
      </c>
      <c r="G134" s="936" t="s">
        <v>2272</v>
      </c>
      <c r="H134" s="936" t="s">
        <v>2273</v>
      </c>
    </row>
    <row r="135" spans="1:8" ht="15">
      <c r="A135" s="168" t="s">
        <v>1176</v>
      </c>
      <c r="B135" s="169" t="s">
        <v>1175</v>
      </c>
      <c r="C135" s="945" t="s">
        <v>1642</v>
      </c>
      <c r="D135" s="945" t="s">
        <v>40</v>
      </c>
      <c r="G135" s="936" t="s">
        <v>2274</v>
      </c>
      <c r="H135" s="936" t="s">
        <v>2275</v>
      </c>
    </row>
    <row r="136" spans="1:8" ht="15">
      <c r="A136" s="168" t="s">
        <v>1521</v>
      </c>
      <c r="B136" s="169" t="s">
        <v>1520</v>
      </c>
      <c r="C136" s="945" t="s">
        <v>1642</v>
      </c>
      <c r="D136" s="945" t="s">
        <v>15</v>
      </c>
      <c r="G136" s="936" t="s">
        <v>2276</v>
      </c>
      <c r="H136" s="936" t="s">
        <v>2277</v>
      </c>
    </row>
    <row r="137" spans="1:8" ht="15">
      <c r="A137" s="168" t="s">
        <v>1200</v>
      </c>
      <c r="B137" s="169" t="s">
        <v>1199</v>
      </c>
      <c r="C137" s="945" t="s">
        <v>1642</v>
      </c>
      <c r="D137" s="945" t="s">
        <v>1931</v>
      </c>
      <c r="G137" s="936" t="s">
        <v>2209</v>
      </c>
      <c r="H137" s="936" t="s">
        <v>2210</v>
      </c>
    </row>
    <row r="138" spans="1:8" ht="15">
      <c r="A138" s="168" t="s">
        <v>790</v>
      </c>
      <c r="B138" s="169" t="s">
        <v>789</v>
      </c>
      <c r="C138" s="945" t="s">
        <v>1642</v>
      </c>
      <c r="D138" s="945" t="s">
        <v>25</v>
      </c>
      <c r="G138" s="936" t="s">
        <v>2278</v>
      </c>
      <c r="H138" s="936" t="s">
        <v>2279</v>
      </c>
    </row>
    <row r="139" spans="1:8" ht="15">
      <c r="A139" s="168" t="s">
        <v>527</v>
      </c>
      <c r="B139" s="169" t="s">
        <v>791</v>
      </c>
      <c r="C139" s="945" t="s">
        <v>1642</v>
      </c>
      <c r="D139" s="945" t="s">
        <v>1931</v>
      </c>
      <c r="G139" s="936" t="s">
        <v>2280</v>
      </c>
      <c r="H139" s="936" t="s">
        <v>2281</v>
      </c>
    </row>
    <row r="140" spans="1:8" ht="15">
      <c r="A140" s="168" t="s">
        <v>347</v>
      </c>
      <c r="B140" s="169" t="s">
        <v>1574</v>
      </c>
      <c r="C140" s="945" t="s">
        <v>1642</v>
      </c>
      <c r="D140" s="945" t="s">
        <v>29</v>
      </c>
      <c r="G140" s="936" t="s">
        <v>2282</v>
      </c>
      <c r="H140" s="936" t="s">
        <v>2283</v>
      </c>
    </row>
    <row r="141" spans="1:8" ht="15">
      <c r="A141" s="168" t="s">
        <v>956</v>
      </c>
      <c r="B141" s="169" t="s">
        <v>955</v>
      </c>
      <c r="C141" s="945" t="s">
        <v>1642</v>
      </c>
      <c r="D141" s="945">
        <v>0</v>
      </c>
      <c r="G141" s="936" t="s">
        <v>2284</v>
      </c>
      <c r="H141" s="936" t="s">
        <v>2285</v>
      </c>
    </row>
    <row r="142" spans="1:8" ht="15">
      <c r="A142" s="168" t="s">
        <v>458</v>
      </c>
      <c r="B142" s="169" t="s">
        <v>457</v>
      </c>
      <c r="C142" s="945" t="s">
        <v>1642</v>
      </c>
      <c r="D142" s="945" t="s">
        <v>29</v>
      </c>
      <c r="G142" s="936" t="s">
        <v>2286</v>
      </c>
      <c r="H142" s="936" t="s">
        <v>2287</v>
      </c>
    </row>
    <row r="143" spans="1:8" ht="15">
      <c r="A143" s="168" t="s">
        <v>442</v>
      </c>
      <c r="B143" s="169" t="s">
        <v>441</v>
      </c>
      <c r="C143" s="945" t="s">
        <v>1642</v>
      </c>
      <c r="D143" s="945" t="s">
        <v>31</v>
      </c>
      <c r="G143" s="936" t="s">
        <v>2288</v>
      </c>
      <c r="H143" s="936" t="s">
        <v>2289</v>
      </c>
    </row>
    <row r="144" spans="1:8" ht="15">
      <c r="A144" s="168" t="s">
        <v>307</v>
      </c>
      <c r="B144" s="169" t="s">
        <v>306</v>
      </c>
      <c r="C144" s="945" t="s">
        <v>1642</v>
      </c>
      <c r="D144" s="945" t="s">
        <v>31</v>
      </c>
      <c r="G144" s="936" t="s">
        <v>2290</v>
      </c>
      <c r="H144" s="936" t="s">
        <v>2291</v>
      </c>
    </row>
    <row r="145" spans="1:8" ht="15">
      <c r="A145" s="168" t="s">
        <v>958</v>
      </c>
      <c r="B145" s="169" t="s">
        <v>957</v>
      </c>
      <c r="C145" s="945" t="s">
        <v>1642</v>
      </c>
      <c r="D145" s="945" t="s">
        <v>147</v>
      </c>
      <c r="G145" s="936" t="s">
        <v>2292</v>
      </c>
      <c r="H145" s="936" t="s">
        <v>2293</v>
      </c>
    </row>
    <row r="146" spans="1:8" ht="15">
      <c r="A146" s="168" t="s">
        <v>346</v>
      </c>
      <c r="B146" s="169" t="s">
        <v>345</v>
      </c>
      <c r="C146" s="945" t="s">
        <v>1642</v>
      </c>
      <c r="D146" s="945" t="s">
        <v>29</v>
      </c>
      <c r="G146" s="936" t="s">
        <v>2294</v>
      </c>
      <c r="H146" s="936" t="s">
        <v>2295</v>
      </c>
    </row>
    <row r="147" spans="1:8" ht="15">
      <c r="A147" s="168" t="s">
        <v>960</v>
      </c>
      <c r="B147" s="169" t="s">
        <v>959</v>
      </c>
      <c r="C147" s="945" t="s">
        <v>1642</v>
      </c>
      <c r="D147" s="945">
        <v>0</v>
      </c>
      <c r="G147" s="936" t="s">
        <v>2296</v>
      </c>
      <c r="H147" s="936" t="s">
        <v>2297</v>
      </c>
    </row>
    <row r="148" spans="1:8" ht="15">
      <c r="A148" s="168" t="s">
        <v>1576</v>
      </c>
      <c r="B148" s="169" t="s">
        <v>1575</v>
      </c>
      <c r="C148" s="945" t="s">
        <v>1642</v>
      </c>
      <c r="D148" s="945" t="s">
        <v>29</v>
      </c>
      <c r="G148" s="936" t="s">
        <v>2022</v>
      </c>
      <c r="H148" s="936" t="s">
        <v>2023</v>
      </c>
    </row>
    <row r="149" spans="1:8" ht="15">
      <c r="A149" s="168" t="s">
        <v>962</v>
      </c>
      <c r="B149" s="169" t="s">
        <v>961</v>
      </c>
      <c r="C149" s="945" t="s">
        <v>1642</v>
      </c>
      <c r="D149" s="945">
        <v>0</v>
      </c>
      <c r="G149" s="936" t="s">
        <v>2477</v>
      </c>
      <c r="H149" s="936" t="s">
        <v>2478</v>
      </c>
    </row>
    <row r="150" spans="1:8" ht="15">
      <c r="A150" s="168" t="s">
        <v>405</v>
      </c>
      <c r="B150" s="169" t="s">
        <v>404</v>
      </c>
      <c r="C150" s="945" t="s">
        <v>1642</v>
      </c>
      <c r="D150" s="945" t="s">
        <v>33</v>
      </c>
      <c r="G150" s="936" t="s">
        <v>2426</v>
      </c>
      <c r="H150" s="936" t="s">
        <v>2427</v>
      </c>
    </row>
    <row r="151" spans="1:8" ht="15">
      <c r="A151" s="168" t="s">
        <v>1500</v>
      </c>
      <c r="B151" s="169" t="s">
        <v>1499</v>
      </c>
      <c r="C151" s="945" t="s">
        <v>1642</v>
      </c>
      <c r="D151" s="945" t="s">
        <v>33</v>
      </c>
      <c r="G151" s="936" t="s">
        <v>2479</v>
      </c>
      <c r="H151" s="936" t="s">
        <v>2480</v>
      </c>
    </row>
    <row r="152" spans="1:8" ht="15">
      <c r="A152" s="168" t="s">
        <v>793</v>
      </c>
      <c r="B152" s="169" t="s">
        <v>792</v>
      </c>
      <c r="C152" s="945" t="s">
        <v>1642</v>
      </c>
      <c r="D152" s="945" t="s">
        <v>33</v>
      </c>
      <c r="G152" s="936" t="s">
        <v>2428</v>
      </c>
      <c r="H152" s="936" t="s">
        <v>2429</v>
      </c>
    </row>
    <row r="153" spans="1:8" ht="15">
      <c r="A153" s="168" t="s">
        <v>1441</v>
      </c>
      <c r="B153" s="169" t="s">
        <v>1440</v>
      </c>
      <c r="C153" s="945" t="s">
        <v>1642</v>
      </c>
      <c r="D153" s="945" t="s">
        <v>39</v>
      </c>
      <c r="G153" s="936" t="s">
        <v>2481</v>
      </c>
      <c r="H153" s="936" t="s">
        <v>2482</v>
      </c>
    </row>
    <row r="154" spans="1:8" ht="15">
      <c r="A154" s="168" t="s">
        <v>1475</v>
      </c>
      <c r="B154" s="169" t="s">
        <v>1474</v>
      </c>
      <c r="C154" s="945" t="s">
        <v>1642</v>
      </c>
      <c r="D154" s="945" t="s">
        <v>41</v>
      </c>
      <c r="G154" s="936" t="s">
        <v>2015</v>
      </c>
      <c r="H154" s="936" t="s">
        <v>2016</v>
      </c>
    </row>
    <row r="155" spans="1:8" ht="15">
      <c r="A155" s="168" t="s">
        <v>505</v>
      </c>
      <c r="B155" s="169" t="s">
        <v>504</v>
      </c>
      <c r="C155" s="945" t="s">
        <v>1642</v>
      </c>
      <c r="D155" s="945" t="s">
        <v>33</v>
      </c>
      <c r="G155" s="936" t="s">
        <v>2483</v>
      </c>
      <c r="H155" s="936" t="s">
        <v>2484</v>
      </c>
    </row>
    <row r="156" spans="1:8" ht="15">
      <c r="A156" s="168" t="s">
        <v>1439</v>
      </c>
      <c r="B156" s="169" t="s">
        <v>1438</v>
      </c>
      <c r="C156" s="945" t="s">
        <v>1642</v>
      </c>
      <c r="D156" s="945" t="s">
        <v>33</v>
      </c>
      <c r="G156" s="936" t="s">
        <v>2430</v>
      </c>
      <c r="H156" s="936" t="s">
        <v>2431</v>
      </c>
    </row>
    <row r="157" spans="1:8" ht="15">
      <c r="A157" s="168" t="s">
        <v>1433</v>
      </c>
      <c r="B157" s="169" t="s">
        <v>1432</v>
      </c>
      <c r="C157" s="945" t="s">
        <v>1642</v>
      </c>
      <c r="D157" s="945" t="s">
        <v>43</v>
      </c>
      <c r="G157" s="936" t="s">
        <v>2485</v>
      </c>
      <c r="H157" s="936" t="s">
        <v>2486</v>
      </c>
    </row>
    <row r="158" spans="1:8" ht="15">
      <c r="A158" s="168" t="s">
        <v>493</v>
      </c>
      <c r="B158" s="169" t="s">
        <v>492</v>
      </c>
      <c r="C158" s="945" t="s">
        <v>1642</v>
      </c>
      <c r="D158" s="945" t="s">
        <v>43</v>
      </c>
      <c r="G158" s="936" t="s">
        <v>2298</v>
      </c>
      <c r="H158" s="936" t="s">
        <v>342</v>
      </c>
    </row>
    <row r="159" spans="1:8" ht="15">
      <c r="A159" s="168" t="s">
        <v>1429</v>
      </c>
      <c r="B159" s="169" t="s">
        <v>1428</v>
      </c>
      <c r="C159" s="945" t="s">
        <v>1642</v>
      </c>
      <c r="D159" s="945" t="s">
        <v>43</v>
      </c>
      <c r="G159" s="936" t="s">
        <v>2010</v>
      </c>
      <c r="H159" s="936" t="s">
        <v>2011</v>
      </c>
    </row>
    <row r="160" spans="1:8" ht="15">
      <c r="A160" s="168" t="s">
        <v>495</v>
      </c>
      <c r="B160" s="169" t="s">
        <v>494</v>
      </c>
      <c r="C160" s="945" t="s">
        <v>1642</v>
      </c>
      <c r="D160" s="945" t="s">
        <v>43</v>
      </c>
      <c r="G160" s="936" t="s">
        <v>2487</v>
      </c>
      <c r="H160" s="936" t="s">
        <v>2488</v>
      </c>
    </row>
    <row r="161" spans="1:8" ht="15">
      <c r="A161" s="168" t="s">
        <v>469</v>
      </c>
      <c r="B161" s="169" t="s">
        <v>468</v>
      </c>
      <c r="C161" s="945" t="s">
        <v>1642</v>
      </c>
      <c r="D161" s="945" t="s">
        <v>43</v>
      </c>
      <c r="G161" s="936" t="s">
        <v>2432</v>
      </c>
      <c r="H161" s="936" t="s">
        <v>2433</v>
      </c>
    </row>
    <row r="162" spans="1:8" ht="15">
      <c r="A162" s="168" t="s">
        <v>463</v>
      </c>
      <c r="B162" s="169" t="s">
        <v>462</v>
      </c>
      <c r="C162" s="945" t="s">
        <v>1642</v>
      </c>
      <c r="D162" s="945" t="s">
        <v>40</v>
      </c>
      <c r="G162" s="936" t="s">
        <v>2489</v>
      </c>
      <c r="H162" s="936" t="s">
        <v>2490</v>
      </c>
    </row>
    <row r="163" spans="1:8" ht="15">
      <c r="A163" s="168" t="s">
        <v>539</v>
      </c>
      <c r="B163" s="169" t="s">
        <v>538</v>
      </c>
      <c r="C163" s="945" t="s">
        <v>1642</v>
      </c>
      <c r="D163" s="945" t="s">
        <v>43</v>
      </c>
      <c r="G163" s="936" t="s">
        <v>2434</v>
      </c>
      <c r="H163" s="936" t="s">
        <v>2435</v>
      </c>
    </row>
    <row r="164" spans="1:8" ht="15">
      <c r="A164" s="168" t="s">
        <v>541</v>
      </c>
      <c r="B164" s="169" t="s">
        <v>540</v>
      </c>
      <c r="C164" s="945" t="s">
        <v>1642</v>
      </c>
      <c r="D164" s="945" t="s">
        <v>43</v>
      </c>
      <c r="G164" s="936" t="s">
        <v>2491</v>
      </c>
      <c r="H164" s="936" t="s">
        <v>2492</v>
      </c>
    </row>
    <row r="165" spans="1:8" ht="15">
      <c r="A165" s="169" t="s">
        <v>1370</v>
      </c>
      <c r="B165" s="169" t="s">
        <v>1369</v>
      </c>
      <c r="C165" s="945" t="s">
        <v>1642</v>
      </c>
      <c r="D165" s="945" t="s">
        <v>43</v>
      </c>
      <c r="G165" s="936" t="s">
        <v>1999</v>
      </c>
      <c r="H165" s="936" t="s">
        <v>2000</v>
      </c>
    </row>
    <row r="166" spans="1:8" ht="15">
      <c r="A166" s="168" t="s">
        <v>449</v>
      </c>
      <c r="B166" s="169" t="s">
        <v>448</v>
      </c>
      <c r="C166" s="945" t="s">
        <v>1642</v>
      </c>
      <c r="D166" s="945" t="s">
        <v>43</v>
      </c>
      <c r="G166" s="936" t="s">
        <v>2493</v>
      </c>
      <c r="H166" s="936" t="s">
        <v>2494</v>
      </c>
    </row>
    <row r="167" spans="1:8" ht="15">
      <c r="A167" s="168" t="s">
        <v>1161</v>
      </c>
      <c r="B167" s="169" t="s">
        <v>1160</v>
      </c>
      <c r="C167" s="945" t="s">
        <v>1642</v>
      </c>
      <c r="D167" s="945" t="s">
        <v>43</v>
      </c>
      <c r="G167" s="936" t="s">
        <v>2027</v>
      </c>
      <c r="H167" s="936" t="s">
        <v>2028</v>
      </c>
    </row>
    <row r="168" spans="1:8" ht="15">
      <c r="A168" s="168" t="s">
        <v>428</v>
      </c>
      <c r="B168" s="169" t="s">
        <v>427</v>
      </c>
      <c r="C168" s="945" t="s">
        <v>1642</v>
      </c>
      <c r="D168" s="945" t="s">
        <v>43</v>
      </c>
      <c r="G168" s="936" t="s">
        <v>2495</v>
      </c>
      <c r="H168" s="936" t="s">
        <v>2496</v>
      </c>
    </row>
    <row r="169" spans="1:8" ht="15">
      <c r="A169" s="168" t="s">
        <v>485</v>
      </c>
      <c r="B169" s="169" t="s">
        <v>484</v>
      </c>
      <c r="C169" s="945" t="s">
        <v>1642</v>
      </c>
      <c r="D169" s="945" t="s">
        <v>40</v>
      </c>
      <c r="G169" s="936" t="s">
        <v>1995</v>
      </c>
      <c r="H169" s="936" t="s">
        <v>1996</v>
      </c>
    </row>
    <row r="170" spans="1:8" ht="15">
      <c r="A170" s="169" t="s">
        <v>1299</v>
      </c>
      <c r="B170" s="169" t="s">
        <v>1298</v>
      </c>
      <c r="C170" s="945" t="s">
        <v>1642</v>
      </c>
      <c r="D170" s="945" t="s">
        <v>40</v>
      </c>
      <c r="G170" s="936" t="s">
        <v>2497</v>
      </c>
      <c r="H170" s="936" t="s">
        <v>2498</v>
      </c>
    </row>
    <row r="171" spans="1:8" ht="15">
      <c r="A171" s="168" t="s">
        <v>477</v>
      </c>
      <c r="B171" s="169" t="s">
        <v>476</v>
      </c>
      <c r="C171" s="945" t="s">
        <v>1642</v>
      </c>
      <c r="D171" s="945" t="s">
        <v>43</v>
      </c>
      <c r="G171" s="936" t="s">
        <v>2025</v>
      </c>
      <c r="H171" s="936" t="s">
        <v>2026</v>
      </c>
    </row>
    <row r="172" spans="1:8" ht="15">
      <c r="A172" s="168" t="s">
        <v>1479</v>
      </c>
      <c r="B172" s="169" t="s">
        <v>1478</v>
      </c>
      <c r="C172" s="945" t="s">
        <v>1642</v>
      </c>
      <c r="D172" s="945" t="s">
        <v>43</v>
      </c>
      <c r="G172" s="936" t="s">
        <v>2499</v>
      </c>
      <c r="H172" s="936" t="s">
        <v>2500</v>
      </c>
    </row>
    <row r="173" spans="1:8" ht="15">
      <c r="A173" s="168" t="s">
        <v>487</v>
      </c>
      <c r="B173" s="169" t="s">
        <v>486</v>
      </c>
      <c r="C173" s="945" t="s">
        <v>1642</v>
      </c>
      <c r="D173" s="945" t="s">
        <v>43</v>
      </c>
      <c r="G173" s="936" t="s">
        <v>2436</v>
      </c>
      <c r="H173" s="936" t="s">
        <v>2437</v>
      </c>
    </row>
    <row r="174" spans="1:8" ht="15">
      <c r="A174" s="168" t="s">
        <v>319</v>
      </c>
      <c r="B174" s="169" t="s">
        <v>318</v>
      </c>
      <c r="C174" s="945" t="s">
        <v>1642</v>
      </c>
      <c r="D174" s="945" t="s">
        <v>43</v>
      </c>
      <c r="G174" s="936" t="s">
        <v>2502</v>
      </c>
      <c r="H174" s="936" t="s">
        <v>2503</v>
      </c>
    </row>
    <row r="175" spans="1:8" ht="15">
      <c r="A175" s="168" t="s">
        <v>479</v>
      </c>
      <c r="B175" s="169" t="s">
        <v>478</v>
      </c>
      <c r="C175" s="945" t="s">
        <v>1642</v>
      </c>
      <c r="D175" s="945" t="s">
        <v>43</v>
      </c>
      <c r="G175" s="936" t="s">
        <v>2001</v>
      </c>
      <c r="H175" s="936" t="s">
        <v>2002</v>
      </c>
    </row>
    <row r="176" spans="1:8" ht="15">
      <c r="A176" s="169" t="s">
        <v>1277</v>
      </c>
      <c r="B176" s="169" t="s">
        <v>1276</v>
      </c>
      <c r="C176" s="945" t="s">
        <v>1642</v>
      </c>
      <c r="D176" s="945" t="s">
        <v>43</v>
      </c>
      <c r="G176" s="936" t="s">
        <v>2504</v>
      </c>
      <c r="H176" s="936" t="s">
        <v>2505</v>
      </c>
    </row>
    <row r="177" spans="1:8" ht="15">
      <c r="A177" s="168" t="s">
        <v>1152</v>
      </c>
      <c r="B177" s="169" t="s">
        <v>1151</v>
      </c>
      <c r="C177" s="945" t="s">
        <v>1642</v>
      </c>
      <c r="D177" s="945" t="s">
        <v>43</v>
      </c>
      <c r="G177" s="936" t="s">
        <v>1997</v>
      </c>
      <c r="H177" s="936" t="s">
        <v>1998</v>
      </c>
    </row>
    <row r="178" spans="1:8" ht="15">
      <c r="A178" s="168" t="s">
        <v>795</v>
      </c>
      <c r="B178" s="169" t="s">
        <v>794</v>
      </c>
      <c r="C178" s="945" t="s">
        <v>1642</v>
      </c>
      <c r="D178" s="945" t="s">
        <v>53</v>
      </c>
      <c r="G178" s="936" t="s">
        <v>2506</v>
      </c>
      <c r="H178" s="936" t="s">
        <v>2507</v>
      </c>
    </row>
    <row r="179" spans="1:8" ht="15">
      <c r="A179" s="168" t="s">
        <v>481</v>
      </c>
      <c r="B179" s="169" t="s">
        <v>480</v>
      </c>
      <c r="C179" s="945" t="s">
        <v>1642</v>
      </c>
      <c r="D179" s="945" t="s">
        <v>53</v>
      </c>
      <c r="G179" s="936" t="s">
        <v>2299</v>
      </c>
      <c r="H179" s="936" t="s">
        <v>2300</v>
      </c>
    </row>
    <row r="180" spans="1:8" ht="15">
      <c r="A180" s="168" t="s">
        <v>797</v>
      </c>
      <c r="B180" s="169" t="s">
        <v>796</v>
      </c>
      <c r="C180" s="945" t="s">
        <v>1642</v>
      </c>
      <c r="D180" s="945" t="s">
        <v>53</v>
      </c>
      <c r="G180" s="936" t="s">
        <v>2438</v>
      </c>
      <c r="H180" s="936" t="s">
        <v>2439</v>
      </c>
    </row>
    <row r="181" spans="1:8" ht="15">
      <c r="A181" s="168" t="s">
        <v>434</v>
      </c>
      <c r="B181" s="169" t="s">
        <v>433</v>
      </c>
      <c r="C181" s="945" t="s">
        <v>1642</v>
      </c>
      <c r="D181" s="945" t="s">
        <v>53</v>
      </c>
      <c r="G181" s="936" t="s">
        <v>2508</v>
      </c>
      <c r="H181" s="936" t="s">
        <v>2509</v>
      </c>
    </row>
    <row r="182" spans="1:8" ht="15">
      <c r="A182" s="168" t="s">
        <v>799</v>
      </c>
      <c r="B182" s="169" t="s">
        <v>798</v>
      </c>
      <c r="C182" s="945" t="s">
        <v>1642</v>
      </c>
      <c r="D182" s="945" t="s">
        <v>57</v>
      </c>
      <c r="G182" s="936" t="s">
        <v>2302</v>
      </c>
      <c r="H182" s="936" t="s">
        <v>2303</v>
      </c>
    </row>
    <row r="183" spans="1:8" ht="15">
      <c r="A183" s="168" t="s">
        <v>440</v>
      </c>
      <c r="B183" s="169" t="s">
        <v>439</v>
      </c>
      <c r="C183" s="945" t="s">
        <v>1642</v>
      </c>
      <c r="D183" s="945" t="s">
        <v>57</v>
      </c>
      <c r="G183" s="936" t="s">
        <v>2304</v>
      </c>
      <c r="H183" s="936" t="s">
        <v>2305</v>
      </c>
    </row>
    <row r="184" spans="1:8" ht="15">
      <c r="A184" s="168" t="s">
        <v>801</v>
      </c>
      <c r="B184" s="169" t="s">
        <v>800</v>
      </c>
      <c r="C184" s="945" t="s">
        <v>1642</v>
      </c>
      <c r="D184" s="945" t="s">
        <v>57</v>
      </c>
      <c r="G184" s="936" t="s">
        <v>2306</v>
      </c>
      <c r="H184" s="936" t="s">
        <v>2307</v>
      </c>
    </row>
    <row r="185" spans="1:8" ht="15">
      <c r="A185" s="168" t="s">
        <v>543</v>
      </c>
      <c r="B185" s="169" t="s">
        <v>542</v>
      </c>
      <c r="C185" s="945" t="s">
        <v>1642</v>
      </c>
      <c r="D185" s="945" t="s">
        <v>57</v>
      </c>
      <c r="G185" s="936" t="s">
        <v>2308</v>
      </c>
      <c r="H185" s="936" t="s">
        <v>2309</v>
      </c>
    </row>
    <row r="186" spans="1:8" ht="15">
      <c r="A186" s="168" t="s">
        <v>803</v>
      </c>
      <c r="B186" s="169" t="s">
        <v>802</v>
      </c>
      <c r="C186" s="945" t="s">
        <v>1642</v>
      </c>
      <c r="D186" s="945" t="s">
        <v>57</v>
      </c>
      <c r="G186" s="936" t="s">
        <v>2310</v>
      </c>
      <c r="H186" s="936" t="s">
        <v>2311</v>
      </c>
    </row>
    <row r="187" spans="1:8" ht="15">
      <c r="A187" s="168" t="s">
        <v>805</v>
      </c>
      <c r="B187" s="169" t="s">
        <v>804</v>
      </c>
      <c r="C187" s="945" t="s">
        <v>1642</v>
      </c>
      <c r="D187" s="945" t="s">
        <v>57</v>
      </c>
      <c r="G187" s="936" t="s">
        <v>2312</v>
      </c>
      <c r="H187" s="936" t="s">
        <v>2313</v>
      </c>
    </row>
    <row r="188" spans="1:8" ht="15">
      <c r="A188" s="168" t="s">
        <v>807</v>
      </c>
      <c r="B188" s="169" t="s">
        <v>806</v>
      </c>
      <c r="C188" s="945" t="s">
        <v>1642</v>
      </c>
      <c r="D188" s="945" t="s">
        <v>60</v>
      </c>
      <c r="G188" s="936" t="s">
        <v>2314</v>
      </c>
      <c r="H188" s="936" t="s">
        <v>2315</v>
      </c>
    </row>
    <row r="189" spans="1:8" ht="15">
      <c r="A189" s="168" t="s">
        <v>535</v>
      </c>
      <c r="B189" s="169" t="s">
        <v>534</v>
      </c>
      <c r="C189" s="945" t="s">
        <v>1642</v>
      </c>
      <c r="D189" s="945" t="s">
        <v>60</v>
      </c>
      <c r="G189" s="936" t="s">
        <v>2035</v>
      </c>
      <c r="H189" s="936" t="s">
        <v>2036</v>
      </c>
    </row>
    <row r="190" spans="1:8" ht="15">
      <c r="A190" s="168" t="s">
        <v>809</v>
      </c>
      <c r="B190" s="169" t="s">
        <v>808</v>
      </c>
      <c r="C190" s="945" t="s">
        <v>1642</v>
      </c>
      <c r="D190" s="945" t="s">
        <v>1925</v>
      </c>
      <c r="G190" s="936" t="s">
        <v>2510</v>
      </c>
      <c r="H190" s="936" t="s">
        <v>2511</v>
      </c>
    </row>
    <row r="191" spans="1:8" ht="15">
      <c r="A191" s="168" t="s">
        <v>471</v>
      </c>
      <c r="B191" s="169" t="s">
        <v>470</v>
      </c>
      <c r="C191" s="945" t="s">
        <v>1642</v>
      </c>
      <c r="D191" s="945" t="s">
        <v>1925</v>
      </c>
      <c r="G191" s="936" t="s">
        <v>2316</v>
      </c>
      <c r="H191" s="936" t="s">
        <v>2317</v>
      </c>
    </row>
    <row r="192" spans="1:8" ht="15">
      <c r="A192" s="168" t="s">
        <v>811</v>
      </c>
      <c r="B192" s="169" t="s">
        <v>810</v>
      </c>
      <c r="C192" s="945" t="s">
        <v>1642</v>
      </c>
      <c r="D192" s="945" t="s">
        <v>60</v>
      </c>
      <c r="G192" s="936" t="s">
        <v>2003</v>
      </c>
      <c r="H192" s="936" t="s">
        <v>2004</v>
      </c>
    </row>
    <row r="193" spans="1:8" ht="15">
      <c r="A193" s="168" t="s">
        <v>813</v>
      </c>
      <c r="B193" s="169" t="s">
        <v>812</v>
      </c>
      <c r="C193" s="945" t="s">
        <v>1642</v>
      </c>
      <c r="D193" s="945" t="s">
        <v>60</v>
      </c>
      <c r="G193" s="936" t="s">
        <v>2512</v>
      </c>
      <c r="H193" s="936" t="s">
        <v>2513</v>
      </c>
    </row>
    <row r="194" spans="1:8" ht="15">
      <c r="A194" s="168" t="s">
        <v>815</v>
      </c>
      <c r="B194" s="169" t="s">
        <v>814</v>
      </c>
      <c r="C194" s="945" t="s">
        <v>1642</v>
      </c>
      <c r="D194" s="945" t="s">
        <v>1925</v>
      </c>
      <c r="G194" s="936" t="s">
        <v>2318</v>
      </c>
      <c r="H194" s="936" t="s">
        <v>2319</v>
      </c>
    </row>
    <row r="195" spans="1:8" ht="15">
      <c r="A195" s="168" t="s">
        <v>817</v>
      </c>
      <c r="B195" s="169" t="s">
        <v>816</v>
      </c>
      <c r="C195" s="945" t="s">
        <v>1642</v>
      </c>
      <c r="D195" s="945" t="s">
        <v>1925</v>
      </c>
      <c r="G195" s="936" t="s">
        <v>2320</v>
      </c>
      <c r="H195" s="936" t="s">
        <v>2321</v>
      </c>
    </row>
    <row r="196" spans="1:8" ht="15">
      <c r="A196" s="168" t="s">
        <v>1172</v>
      </c>
      <c r="B196" s="169" t="s">
        <v>1171</v>
      </c>
      <c r="C196" s="945" t="s">
        <v>1642</v>
      </c>
      <c r="D196" s="945" t="s">
        <v>59</v>
      </c>
      <c r="G196" s="936" t="s">
        <v>2008</v>
      </c>
      <c r="H196" s="936" t="s">
        <v>2009</v>
      </c>
    </row>
    <row r="197" spans="1:8" ht="15">
      <c r="A197" s="168" t="s">
        <v>489</v>
      </c>
      <c r="B197" s="169" t="s">
        <v>488</v>
      </c>
      <c r="C197" s="945" t="s">
        <v>1642</v>
      </c>
      <c r="D197" s="945" t="s">
        <v>59</v>
      </c>
      <c r="G197" s="936" t="s">
        <v>2008</v>
      </c>
      <c r="H197" s="936" t="s">
        <v>2514</v>
      </c>
    </row>
    <row r="198" spans="1:8" ht="15">
      <c r="A198" s="168" t="s">
        <v>819</v>
      </c>
      <c r="B198" s="169" t="s">
        <v>818</v>
      </c>
      <c r="C198" s="945" t="s">
        <v>1642</v>
      </c>
      <c r="D198" s="945" t="s">
        <v>59</v>
      </c>
      <c r="G198" s="936" t="s">
        <v>2188</v>
      </c>
      <c r="H198" s="936" t="s">
        <v>2189</v>
      </c>
    </row>
    <row r="199" spans="1:8" ht="15">
      <c r="A199" s="168" t="s">
        <v>821</v>
      </c>
      <c r="B199" s="169" t="s">
        <v>820</v>
      </c>
      <c r="C199" s="945" t="s">
        <v>1642</v>
      </c>
      <c r="D199" s="945" t="s">
        <v>59</v>
      </c>
      <c r="G199" s="936" t="s">
        <v>2515</v>
      </c>
      <c r="H199" s="936" t="s">
        <v>2516</v>
      </c>
    </row>
    <row r="200" spans="1:8" ht="15">
      <c r="A200" s="168" t="s">
        <v>823</v>
      </c>
      <c r="B200" s="169" t="s">
        <v>822</v>
      </c>
      <c r="C200" s="945" t="s">
        <v>1642</v>
      </c>
      <c r="D200" s="945" t="s">
        <v>62</v>
      </c>
      <c r="G200" s="936" t="s">
        <v>2038</v>
      </c>
      <c r="H200" s="936" t="s">
        <v>2039</v>
      </c>
    </row>
    <row r="201" spans="1:8" ht="15">
      <c r="A201" s="168" t="s">
        <v>517</v>
      </c>
      <c r="B201" s="169" t="s">
        <v>516</v>
      </c>
      <c r="C201" s="945" t="s">
        <v>1642</v>
      </c>
      <c r="D201" s="945" t="s">
        <v>1926</v>
      </c>
      <c r="G201" s="936" t="s">
        <v>2038</v>
      </c>
      <c r="H201" s="936" t="s">
        <v>2517</v>
      </c>
    </row>
    <row r="202" spans="1:8" ht="15">
      <c r="A202" s="169" t="s">
        <v>1339</v>
      </c>
      <c r="B202" s="169" t="s">
        <v>1338</v>
      </c>
      <c r="C202" s="945" t="s">
        <v>1642</v>
      </c>
      <c r="D202" s="945" t="s">
        <v>1931</v>
      </c>
      <c r="G202" s="936" t="s">
        <v>2048</v>
      </c>
      <c r="H202" s="936" t="s">
        <v>2049</v>
      </c>
    </row>
    <row r="203" spans="1:8" ht="15">
      <c r="A203" s="168" t="s">
        <v>281</v>
      </c>
      <c r="B203" s="169" t="s">
        <v>280</v>
      </c>
      <c r="C203" s="945" t="s">
        <v>1642</v>
      </c>
      <c r="D203" s="945" t="s">
        <v>30</v>
      </c>
      <c r="G203" s="936" t="s">
        <v>2048</v>
      </c>
      <c r="H203" s="936" t="s">
        <v>2518</v>
      </c>
    </row>
    <row r="204" spans="1:8" ht="15">
      <c r="A204" s="166" t="s">
        <v>549</v>
      </c>
      <c r="B204" s="166" t="s">
        <v>548</v>
      </c>
      <c r="C204" s="945" t="s">
        <v>1642</v>
      </c>
      <c r="D204" s="945" t="s">
        <v>18</v>
      </c>
      <c r="G204" s="936" t="s">
        <v>2623</v>
      </c>
      <c r="H204" s="936" t="s">
        <v>2624</v>
      </c>
    </row>
    <row r="205" spans="1:8" ht="15">
      <c r="A205" s="168" t="s">
        <v>398</v>
      </c>
      <c r="B205" s="169" t="s">
        <v>1515</v>
      </c>
      <c r="C205" s="945" t="s">
        <v>1642</v>
      </c>
      <c r="D205" s="945" t="s">
        <v>18</v>
      </c>
      <c r="G205" s="936" t="s">
        <v>2519</v>
      </c>
      <c r="H205" s="936" t="s">
        <v>2520</v>
      </c>
    </row>
    <row r="206" spans="1:8" ht="15">
      <c r="A206" s="168" t="s">
        <v>397</v>
      </c>
      <c r="B206" s="169" t="s">
        <v>396</v>
      </c>
      <c r="C206" s="945" t="s">
        <v>1642</v>
      </c>
      <c r="D206" s="945" t="s">
        <v>18</v>
      </c>
      <c r="G206" s="936" t="s">
        <v>2068</v>
      </c>
      <c r="H206" s="936" t="s">
        <v>2069</v>
      </c>
    </row>
    <row r="207" spans="1:8" ht="15">
      <c r="A207" s="168" t="s">
        <v>418</v>
      </c>
      <c r="B207" s="169" t="s">
        <v>1533</v>
      </c>
      <c r="C207" s="945" t="s">
        <v>1642</v>
      </c>
      <c r="D207" s="945" t="s">
        <v>18</v>
      </c>
      <c r="G207" s="936" t="s">
        <v>2068</v>
      </c>
      <c r="H207" s="936" t="s">
        <v>2521</v>
      </c>
    </row>
    <row r="208" spans="1:8" ht="15">
      <c r="A208" s="168" t="s">
        <v>417</v>
      </c>
      <c r="B208" s="169" t="s">
        <v>416</v>
      </c>
      <c r="C208" s="945" t="s">
        <v>1642</v>
      </c>
      <c r="D208" s="945" t="s">
        <v>18</v>
      </c>
      <c r="G208" s="936" t="s">
        <v>2141</v>
      </c>
      <c r="H208" s="936" t="s">
        <v>2142</v>
      </c>
    </row>
    <row r="209" spans="1:8" ht="15">
      <c r="A209" s="168" t="s">
        <v>1146</v>
      </c>
      <c r="B209" s="169" t="s">
        <v>1145</v>
      </c>
      <c r="C209" s="945" t="s">
        <v>1642</v>
      </c>
      <c r="D209" s="945" t="s">
        <v>18</v>
      </c>
      <c r="G209" s="936" t="s">
        <v>2141</v>
      </c>
      <c r="H209" s="936" t="s">
        <v>2522</v>
      </c>
    </row>
    <row r="210" spans="1:8" ht="15">
      <c r="A210" s="168" t="s">
        <v>455</v>
      </c>
      <c r="B210" s="169" t="s">
        <v>454</v>
      </c>
      <c r="C210" s="945" t="s">
        <v>1642</v>
      </c>
      <c r="D210" s="945" t="s">
        <v>26</v>
      </c>
      <c r="G210" s="936" t="s">
        <v>2164</v>
      </c>
      <c r="H210" s="936" t="s">
        <v>2165</v>
      </c>
    </row>
    <row r="211" spans="1:8" ht="15">
      <c r="A211" s="168" t="s">
        <v>456</v>
      </c>
      <c r="B211" s="169" t="s">
        <v>511</v>
      </c>
      <c r="C211" s="945" t="s">
        <v>1642</v>
      </c>
      <c r="D211" s="945" t="s">
        <v>26</v>
      </c>
      <c r="G211" s="936" t="s">
        <v>2523</v>
      </c>
      <c r="H211" s="936" t="s">
        <v>2524</v>
      </c>
    </row>
    <row r="212" spans="1:8" ht="15">
      <c r="A212" s="168" t="s">
        <v>1465</v>
      </c>
      <c r="B212" s="169" t="s">
        <v>1464</v>
      </c>
      <c r="C212" s="945" t="s">
        <v>1642</v>
      </c>
      <c r="D212" s="945" t="s">
        <v>26</v>
      </c>
      <c r="G212" s="936" t="s">
        <v>2083</v>
      </c>
      <c r="H212" s="936" t="s">
        <v>2084</v>
      </c>
    </row>
    <row r="213" spans="1:8" ht="15">
      <c r="A213" s="168" t="s">
        <v>499</v>
      </c>
      <c r="B213" s="169" t="s">
        <v>498</v>
      </c>
      <c r="C213" s="945" t="s">
        <v>1642</v>
      </c>
      <c r="D213" s="945" t="s">
        <v>26</v>
      </c>
      <c r="G213" s="936" t="s">
        <v>2525</v>
      </c>
      <c r="H213" s="936" t="s">
        <v>2526</v>
      </c>
    </row>
    <row r="214" spans="1:8" ht="15">
      <c r="A214" s="168" t="s">
        <v>408</v>
      </c>
      <c r="B214" s="169" t="s">
        <v>1559</v>
      </c>
      <c r="C214" s="945" t="s">
        <v>1642</v>
      </c>
      <c r="D214" s="945" t="s">
        <v>16</v>
      </c>
      <c r="G214" s="936" t="s">
        <v>2066</v>
      </c>
      <c r="H214" s="936" t="s">
        <v>2067</v>
      </c>
    </row>
    <row r="215" spans="1:8" ht="15">
      <c r="A215" s="168" t="s">
        <v>407</v>
      </c>
      <c r="B215" s="169" t="s">
        <v>406</v>
      </c>
      <c r="C215" s="945" t="s">
        <v>1642</v>
      </c>
      <c r="D215" s="945" t="s">
        <v>26</v>
      </c>
      <c r="G215" s="936" t="s">
        <v>2527</v>
      </c>
      <c r="H215" s="936" t="s">
        <v>2528</v>
      </c>
    </row>
    <row r="216" spans="1:8" ht="15">
      <c r="A216" s="168" t="s">
        <v>497</v>
      </c>
      <c r="B216" s="169" t="s">
        <v>496</v>
      </c>
      <c r="C216" s="945" t="s">
        <v>1642</v>
      </c>
      <c r="D216" s="945" t="s">
        <v>40</v>
      </c>
      <c r="G216" s="936" t="s">
        <v>2064</v>
      </c>
      <c r="H216" s="936" t="s">
        <v>2065</v>
      </c>
    </row>
    <row r="217" spans="1:8" ht="15">
      <c r="A217" s="168" t="s">
        <v>460</v>
      </c>
      <c r="B217" s="169" t="s">
        <v>459</v>
      </c>
      <c r="C217" s="945" t="s">
        <v>1642</v>
      </c>
      <c r="D217" s="945" t="s">
        <v>40</v>
      </c>
      <c r="G217" s="936" t="s">
        <v>2529</v>
      </c>
      <c r="H217" s="936" t="s">
        <v>2530</v>
      </c>
    </row>
    <row r="218" spans="1:8" ht="15">
      <c r="A218" s="168" t="s">
        <v>825</v>
      </c>
      <c r="B218" s="169" t="s">
        <v>824</v>
      </c>
      <c r="C218" s="945" t="s">
        <v>1642</v>
      </c>
      <c r="D218" s="945" t="s">
        <v>11</v>
      </c>
      <c r="G218" s="936" t="s">
        <v>2097</v>
      </c>
      <c r="H218" s="936" t="s">
        <v>2098</v>
      </c>
    </row>
    <row r="219" spans="1:8" ht="15">
      <c r="A219" s="169" t="s">
        <v>447</v>
      </c>
      <c r="B219" s="169" t="s">
        <v>1382</v>
      </c>
      <c r="C219" s="945" t="s">
        <v>1642</v>
      </c>
      <c r="D219" s="945" t="s">
        <v>38</v>
      </c>
      <c r="G219" s="936" t="s">
        <v>2531</v>
      </c>
      <c r="H219" s="936" t="s">
        <v>2532</v>
      </c>
    </row>
    <row r="220" spans="1:8" ht="15">
      <c r="A220" s="168" t="s">
        <v>503</v>
      </c>
      <c r="B220" s="169" t="s">
        <v>502</v>
      </c>
      <c r="C220" s="945" t="s">
        <v>1642</v>
      </c>
      <c r="D220" s="945" t="s">
        <v>38</v>
      </c>
      <c r="G220" s="936" t="s">
        <v>2020</v>
      </c>
      <c r="H220" s="936" t="s">
        <v>2021</v>
      </c>
    </row>
    <row r="221" spans="1:8" ht="15">
      <c r="A221" s="168" t="s">
        <v>446</v>
      </c>
      <c r="B221" s="169" t="s">
        <v>445</v>
      </c>
      <c r="C221" s="945" t="s">
        <v>1642</v>
      </c>
      <c r="D221" s="945" t="s">
        <v>38</v>
      </c>
      <c r="G221" s="936" t="s">
        <v>2533</v>
      </c>
      <c r="H221" s="936" t="s">
        <v>2534</v>
      </c>
    </row>
    <row r="222" spans="1:8" ht="15">
      <c r="A222" s="168" t="s">
        <v>1190</v>
      </c>
      <c r="B222" s="169" t="s">
        <v>1189</v>
      </c>
      <c r="C222" s="945" t="s">
        <v>1642</v>
      </c>
      <c r="D222" s="945" t="s">
        <v>38</v>
      </c>
      <c r="G222" s="936" t="s">
        <v>2147</v>
      </c>
      <c r="H222" s="936" t="s">
        <v>2148</v>
      </c>
    </row>
    <row r="223" spans="1:8" ht="15">
      <c r="A223" s="168" t="s">
        <v>537</v>
      </c>
      <c r="B223" s="169" t="s">
        <v>536</v>
      </c>
      <c r="C223" s="945" t="s">
        <v>1642</v>
      </c>
      <c r="D223" s="945" t="s">
        <v>38</v>
      </c>
      <c r="G223" s="936" t="s">
        <v>2040</v>
      </c>
      <c r="H223" s="936" t="s">
        <v>2041</v>
      </c>
    </row>
    <row r="224" spans="1:8" ht="15">
      <c r="A224" s="168" t="s">
        <v>1426</v>
      </c>
      <c r="B224" s="169" t="s">
        <v>1425</v>
      </c>
      <c r="C224" s="945" t="s">
        <v>1642</v>
      </c>
      <c r="D224" s="945" t="s">
        <v>22</v>
      </c>
      <c r="G224" s="936" t="s">
        <v>2535</v>
      </c>
      <c r="H224" s="936" t="s">
        <v>2536</v>
      </c>
    </row>
    <row r="225" spans="1:8" ht="15">
      <c r="A225" s="168" t="s">
        <v>475</v>
      </c>
      <c r="B225" s="169" t="s">
        <v>474</v>
      </c>
      <c r="C225" s="945" t="s">
        <v>1642</v>
      </c>
      <c r="D225" s="945" t="s">
        <v>36</v>
      </c>
      <c r="G225" s="936" t="s">
        <v>2044</v>
      </c>
      <c r="H225" s="936" t="s">
        <v>2045</v>
      </c>
    </row>
    <row r="226" spans="1:8" ht="15">
      <c r="A226" s="168" t="s">
        <v>384</v>
      </c>
      <c r="B226" s="169" t="s">
        <v>383</v>
      </c>
      <c r="C226" s="945" t="s">
        <v>1642</v>
      </c>
      <c r="D226" s="945" t="s">
        <v>36</v>
      </c>
      <c r="G226" s="936" t="s">
        <v>2537</v>
      </c>
      <c r="H226" s="936" t="s">
        <v>2538</v>
      </c>
    </row>
    <row r="227" spans="1:8" ht="15">
      <c r="A227" s="168" t="s">
        <v>451</v>
      </c>
      <c r="B227" s="169" t="s">
        <v>450</v>
      </c>
      <c r="C227" s="945" t="s">
        <v>1642</v>
      </c>
      <c r="D227" s="945" t="s">
        <v>36</v>
      </c>
      <c r="G227" s="936" t="s">
        <v>2147</v>
      </c>
      <c r="H227" s="936" t="s">
        <v>2166</v>
      </c>
    </row>
    <row r="228" spans="1:8" ht="15">
      <c r="A228" s="168" t="s">
        <v>1481</v>
      </c>
      <c r="B228" s="169" t="s">
        <v>1480</v>
      </c>
      <c r="C228" s="945" t="s">
        <v>1642</v>
      </c>
      <c r="D228" s="945" t="s">
        <v>36</v>
      </c>
      <c r="G228" s="936" t="s">
        <v>2111</v>
      </c>
      <c r="H228" s="936" t="s">
        <v>2112</v>
      </c>
    </row>
    <row r="229" spans="1:8" ht="15">
      <c r="A229" s="169" t="s">
        <v>1282</v>
      </c>
      <c r="B229" s="169" t="s">
        <v>1281</v>
      </c>
      <c r="C229" s="945" t="s">
        <v>1642</v>
      </c>
      <c r="D229" s="945" t="s">
        <v>36</v>
      </c>
      <c r="G229" s="936" t="s">
        <v>2539</v>
      </c>
      <c r="H229" s="936" t="s">
        <v>2540</v>
      </c>
    </row>
    <row r="230" spans="1:8" ht="15">
      <c r="A230" s="169" t="s">
        <v>826</v>
      </c>
      <c r="B230" s="169" t="s">
        <v>1326</v>
      </c>
      <c r="C230" s="945" t="s">
        <v>1642</v>
      </c>
      <c r="D230" s="945" t="s">
        <v>54</v>
      </c>
      <c r="G230" s="936" t="s">
        <v>2111</v>
      </c>
      <c r="H230" s="936" t="s">
        <v>2440</v>
      </c>
    </row>
    <row r="231" spans="1:8" ht="15">
      <c r="A231" s="168" t="s">
        <v>828</v>
      </c>
      <c r="B231" s="169" t="s">
        <v>827</v>
      </c>
      <c r="C231" s="945" t="s">
        <v>1642</v>
      </c>
      <c r="D231" s="945" t="s">
        <v>40</v>
      </c>
      <c r="G231" s="936" t="s">
        <v>2541</v>
      </c>
      <c r="H231" s="936" t="s">
        <v>2542</v>
      </c>
    </row>
    <row r="232" spans="1:8" ht="15">
      <c r="A232" s="168" t="s">
        <v>830</v>
      </c>
      <c r="B232" s="169" t="s">
        <v>829</v>
      </c>
      <c r="C232" s="945" t="s">
        <v>1642</v>
      </c>
      <c r="D232" s="945" t="s">
        <v>67</v>
      </c>
      <c r="G232" s="936" t="s">
        <v>2104</v>
      </c>
      <c r="H232" s="936" t="s">
        <v>2105</v>
      </c>
    </row>
    <row r="233" spans="1:8" ht="15">
      <c r="A233" s="168" t="s">
        <v>833</v>
      </c>
      <c r="B233" s="169" t="s">
        <v>832</v>
      </c>
      <c r="C233" s="945" t="s">
        <v>1642</v>
      </c>
      <c r="D233" s="945" t="s">
        <v>69</v>
      </c>
      <c r="G233" s="936" t="s">
        <v>2543</v>
      </c>
      <c r="H233" s="936" t="s">
        <v>2544</v>
      </c>
    </row>
    <row r="234" spans="1:8" ht="15">
      <c r="A234" s="940" t="s">
        <v>1651</v>
      </c>
      <c r="B234" s="171" t="s">
        <v>1582</v>
      </c>
      <c r="C234" s="945" t="s">
        <v>75</v>
      </c>
      <c r="D234" s="945" t="s">
        <v>89</v>
      </c>
      <c r="G234" s="936" t="s">
        <v>2087</v>
      </c>
      <c r="H234" s="936" t="s">
        <v>2088</v>
      </c>
    </row>
    <row r="235" spans="1:8" ht="15">
      <c r="A235" s="940" t="s">
        <v>1652</v>
      </c>
      <c r="B235" s="171" t="s">
        <v>1583</v>
      </c>
      <c r="C235" s="945" t="s">
        <v>75</v>
      </c>
      <c r="D235" s="945" t="s">
        <v>89</v>
      </c>
      <c r="G235" s="936" t="s">
        <v>2545</v>
      </c>
      <c r="H235" s="936" t="s">
        <v>2546</v>
      </c>
    </row>
    <row r="236" spans="1:8" ht="15">
      <c r="A236" s="171" t="s">
        <v>1657</v>
      </c>
      <c r="B236" s="171" t="s">
        <v>300</v>
      </c>
      <c r="C236" s="945" t="s">
        <v>75</v>
      </c>
      <c r="D236" s="945" t="s">
        <v>89</v>
      </c>
      <c r="G236" s="936" t="s">
        <v>2162</v>
      </c>
      <c r="H236" s="936" t="s">
        <v>2163</v>
      </c>
    </row>
    <row r="237" spans="1:8" ht="15">
      <c r="A237" s="940" t="s">
        <v>1662</v>
      </c>
      <c r="B237" s="171" t="s">
        <v>1590</v>
      </c>
      <c r="C237" s="945" t="s">
        <v>75</v>
      </c>
      <c r="D237" s="945" t="s">
        <v>89</v>
      </c>
      <c r="G237" s="936" t="s">
        <v>2547</v>
      </c>
      <c r="H237" s="936" t="s">
        <v>2548</v>
      </c>
    </row>
    <row r="238" spans="1:8" ht="15">
      <c r="A238" s="940" t="s">
        <v>1663</v>
      </c>
      <c r="B238" s="171" t="s">
        <v>1591</v>
      </c>
      <c r="C238" s="945" t="s">
        <v>75</v>
      </c>
      <c r="D238" s="945" t="s">
        <v>89</v>
      </c>
      <c r="G238" s="936" t="s">
        <v>2079</v>
      </c>
      <c r="H238" s="936" t="s">
        <v>2080</v>
      </c>
    </row>
    <row r="239" spans="1:8" ht="15">
      <c r="A239" s="940" t="s">
        <v>1671</v>
      </c>
      <c r="B239" s="171" t="s">
        <v>1600</v>
      </c>
      <c r="C239" s="945" t="s">
        <v>75</v>
      </c>
      <c r="D239" s="945" t="s">
        <v>89</v>
      </c>
      <c r="G239" s="936" t="s">
        <v>2549</v>
      </c>
      <c r="H239" s="936" t="s">
        <v>2550</v>
      </c>
    </row>
    <row r="240" spans="1:8" ht="15">
      <c r="A240" s="940" t="s">
        <v>1678</v>
      </c>
      <c r="B240" s="171" t="s">
        <v>1606</v>
      </c>
      <c r="C240" s="945" t="s">
        <v>75</v>
      </c>
      <c r="D240" s="945" t="s">
        <v>89</v>
      </c>
      <c r="G240" s="936" t="s">
        <v>2042</v>
      </c>
      <c r="H240" s="936" t="s">
        <v>2043</v>
      </c>
    </row>
    <row r="241" spans="1:8" ht="15">
      <c r="A241" s="940" t="s">
        <v>1680</v>
      </c>
      <c r="B241" s="171" t="s">
        <v>1608</v>
      </c>
      <c r="C241" s="945" t="s">
        <v>75</v>
      </c>
      <c r="D241" s="945" t="s">
        <v>89</v>
      </c>
      <c r="G241" s="936" t="s">
        <v>2551</v>
      </c>
      <c r="H241" s="936" t="s">
        <v>2552</v>
      </c>
    </row>
    <row r="242" spans="1:8" ht="15">
      <c r="A242" s="167" t="s">
        <v>1728</v>
      </c>
      <c r="B242" s="171" t="s">
        <v>1729</v>
      </c>
      <c r="C242" s="945" t="s">
        <v>75</v>
      </c>
      <c r="D242" s="945" t="s">
        <v>90</v>
      </c>
      <c r="G242" s="936" t="s">
        <v>2031</v>
      </c>
      <c r="H242" s="936" t="s">
        <v>2032</v>
      </c>
    </row>
    <row r="243" spans="1:8" ht="15">
      <c r="A243" s="940" t="s">
        <v>1660</v>
      </c>
      <c r="B243" s="171" t="s">
        <v>1589</v>
      </c>
      <c r="C243" s="945" t="s">
        <v>75</v>
      </c>
      <c r="D243" s="945" t="s">
        <v>89</v>
      </c>
      <c r="G243" s="936" t="s">
        <v>2031</v>
      </c>
      <c r="H243" s="936" t="s">
        <v>2553</v>
      </c>
    </row>
    <row r="244" spans="1:8" ht="15">
      <c r="A244" s="940" t="s">
        <v>1699</v>
      </c>
      <c r="B244" s="171" t="s">
        <v>1625</v>
      </c>
      <c r="C244" s="945" t="s">
        <v>75</v>
      </c>
      <c r="D244" s="945" t="s">
        <v>89</v>
      </c>
      <c r="G244" s="936" t="s">
        <v>2117</v>
      </c>
      <c r="H244" s="936" t="s">
        <v>2118</v>
      </c>
    </row>
    <row r="245" spans="1:8" ht="15">
      <c r="A245" s="940" t="s">
        <v>1707</v>
      </c>
      <c r="B245" s="171" t="s">
        <v>1632</v>
      </c>
      <c r="C245" s="945" t="s">
        <v>75</v>
      </c>
      <c r="D245" s="945" t="s">
        <v>89</v>
      </c>
      <c r="G245" s="936" t="s">
        <v>2211</v>
      </c>
      <c r="H245" s="936" t="s">
        <v>2212</v>
      </c>
    </row>
    <row r="246" spans="1:8" ht="15">
      <c r="A246" s="940" t="s">
        <v>1641</v>
      </c>
      <c r="B246" s="171" t="s">
        <v>1577</v>
      </c>
      <c r="C246" s="945" t="s">
        <v>75</v>
      </c>
      <c r="D246" s="945" t="s">
        <v>89</v>
      </c>
      <c r="G246" s="936" t="s">
        <v>2322</v>
      </c>
      <c r="H246" s="936" t="s">
        <v>2323</v>
      </c>
    </row>
    <row r="247" spans="1:8" ht="15">
      <c r="A247" s="171" t="s">
        <v>1644</v>
      </c>
      <c r="B247" s="171" t="s">
        <v>1579</v>
      </c>
      <c r="C247" s="945" t="s">
        <v>75</v>
      </c>
      <c r="D247" s="945" t="s">
        <v>89</v>
      </c>
      <c r="G247" s="936" t="s">
        <v>2835</v>
      </c>
      <c r="H247" s="936" t="s">
        <v>2836</v>
      </c>
    </row>
    <row r="248" spans="1:8" ht="15">
      <c r="A248" s="940" t="s">
        <v>366</v>
      </c>
      <c r="B248" s="171" t="s">
        <v>365</v>
      </c>
      <c r="C248" s="945" t="s">
        <v>75</v>
      </c>
      <c r="D248" s="945" t="s">
        <v>89</v>
      </c>
      <c r="G248" s="936" t="s">
        <v>2441</v>
      </c>
      <c r="H248" s="936" t="s">
        <v>2442</v>
      </c>
    </row>
    <row r="249" spans="1:8" ht="15">
      <c r="A249" s="168" t="s">
        <v>964</v>
      </c>
      <c r="B249" s="169" t="s">
        <v>963</v>
      </c>
      <c r="C249" s="945" t="s">
        <v>75</v>
      </c>
      <c r="D249" s="945" t="s">
        <v>89</v>
      </c>
      <c r="G249" s="936" t="s">
        <v>2443</v>
      </c>
      <c r="H249" s="936" t="s">
        <v>2444</v>
      </c>
    </row>
    <row r="250" spans="1:8" ht="15">
      <c r="A250" s="940" t="s">
        <v>835</v>
      </c>
      <c r="B250" s="171" t="s">
        <v>834</v>
      </c>
      <c r="C250" s="945" t="s">
        <v>75</v>
      </c>
      <c r="D250" s="945" t="s">
        <v>90</v>
      </c>
      <c r="G250" s="936" t="s">
        <v>2837</v>
      </c>
      <c r="H250" s="936" t="s">
        <v>2838</v>
      </c>
    </row>
    <row r="251" spans="1:8" ht="15">
      <c r="A251" s="168" t="s">
        <v>966</v>
      </c>
      <c r="B251" s="169" t="s">
        <v>965</v>
      </c>
      <c r="C251" s="945" t="s">
        <v>75</v>
      </c>
      <c r="D251" s="945" t="s">
        <v>90</v>
      </c>
      <c r="G251" s="936" t="s">
        <v>2445</v>
      </c>
      <c r="H251" s="936" t="s">
        <v>2446</v>
      </c>
    </row>
    <row r="252" spans="1:8" ht="15">
      <c r="A252" s="940" t="s">
        <v>362</v>
      </c>
      <c r="B252" s="171" t="s">
        <v>361</v>
      </c>
      <c r="C252" s="945" t="s">
        <v>75</v>
      </c>
      <c r="D252" s="945" t="s">
        <v>90</v>
      </c>
      <c r="G252" s="936" t="s">
        <v>2324</v>
      </c>
      <c r="H252" s="936" t="s">
        <v>1526</v>
      </c>
    </row>
    <row r="253" spans="1:8" ht="15">
      <c r="A253" s="699" t="s">
        <v>968</v>
      </c>
      <c r="B253" s="170" t="s">
        <v>967</v>
      </c>
      <c r="C253" s="945" t="s">
        <v>75</v>
      </c>
      <c r="D253" s="945" t="s">
        <v>90</v>
      </c>
      <c r="G253" s="936" t="s">
        <v>2839</v>
      </c>
      <c r="H253" s="936" t="s">
        <v>2840</v>
      </c>
    </row>
    <row r="254" spans="1:8" ht="15">
      <c r="A254" s="941" t="s">
        <v>837</v>
      </c>
      <c r="B254" s="171" t="s">
        <v>836</v>
      </c>
      <c r="C254" s="945" t="s">
        <v>75</v>
      </c>
      <c r="D254" s="945" t="s">
        <v>89</v>
      </c>
      <c r="G254" s="936" t="s">
        <v>2447</v>
      </c>
      <c r="H254" s="936" t="s">
        <v>2448</v>
      </c>
    </row>
    <row r="255" spans="1:8" ht="15">
      <c r="A255" s="699" t="s">
        <v>970</v>
      </c>
      <c r="B255" s="169" t="s">
        <v>969</v>
      </c>
      <c r="C255" s="945" t="s">
        <v>75</v>
      </c>
      <c r="D255" s="945" t="s">
        <v>89</v>
      </c>
      <c r="G255" s="936" t="s">
        <v>2449</v>
      </c>
      <c r="H255" s="936" t="s">
        <v>2450</v>
      </c>
    </row>
    <row r="256" spans="1:8" ht="15">
      <c r="A256" s="941" t="s">
        <v>288</v>
      </c>
      <c r="B256" s="171" t="s">
        <v>287</v>
      </c>
      <c r="C256" s="945" t="s">
        <v>75</v>
      </c>
      <c r="D256" s="945" t="s">
        <v>90</v>
      </c>
      <c r="G256" s="936" t="s">
        <v>2845</v>
      </c>
      <c r="H256" s="936" t="s">
        <v>2846</v>
      </c>
    </row>
    <row r="257" spans="1:8" ht="15">
      <c r="A257" s="699" t="s">
        <v>972</v>
      </c>
      <c r="B257" s="170" t="s">
        <v>971</v>
      </c>
      <c r="C257" s="945" t="s">
        <v>75</v>
      </c>
      <c r="D257" s="945" t="s">
        <v>90</v>
      </c>
      <c r="G257" s="936" t="s">
        <v>2325</v>
      </c>
      <c r="H257" s="936" t="s">
        <v>884</v>
      </c>
    </row>
    <row r="258" spans="1:8" ht="15">
      <c r="A258" s="942" t="s">
        <v>341</v>
      </c>
      <c r="B258" s="169" t="s">
        <v>340</v>
      </c>
      <c r="C258" s="945" t="s">
        <v>75</v>
      </c>
      <c r="D258" s="945" t="s">
        <v>90</v>
      </c>
      <c r="G258" s="936" t="s">
        <v>2831</v>
      </c>
      <c r="H258" s="936" t="s">
        <v>2832</v>
      </c>
    </row>
    <row r="259" spans="1:8" ht="15">
      <c r="A259" s="168" t="s">
        <v>974</v>
      </c>
      <c r="B259" s="169" t="s">
        <v>973</v>
      </c>
      <c r="C259" s="945" t="s">
        <v>75</v>
      </c>
      <c r="D259" s="945" t="s">
        <v>90</v>
      </c>
      <c r="G259" s="936" t="s">
        <v>2850</v>
      </c>
      <c r="H259" s="936" t="s">
        <v>2851</v>
      </c>
    </row>
    <row r="260" spans="1:8" ht="15">
      <c r="A260" s="940" t="s">
        <v>339</v>
      </c>
      <c r="B260" s="171" t="s">
        <v>338</v>
      </c>
      <c r="C260" s="945" t="s">
        <v>75</v>
      </c>
      <c r="D260" s="945" t="s">
        <v>89</v>
      </c>
      <c r="G260" s="936" t="s">
        <v>2833</v>
      </c>
      <c r="H260" s="936" t="s">
        <v>2834</v>
      </c>
    </row>
    <row r="261" spans="1:8" ht="15">
      <c r="A261" s="168" t="s">
        <v>976</v>
      </c>
      <c r="B261" s="169" t="s">
        <v>975</v>
      </c>
      <c r="C261" s="945" t="s">
        <v>75</v>
      </c>
      <c r="D261" s="945" t="s">
        <v>89</v>
      </c>
      <c r="G261" s="936" t="s">
        <v>2451</v>
      </c>
      <c r="H261" s="936" t="s">
        <v>2452</v>
      </c>
    </row>
    <row r="262" spans="1:8" ht="15">
      <c r="A262" s="940" t="s">
        <v>839</v>
      </c>
      <c r="B262" s="171" t="s">
        <v>838</v>
      </c>
      <c r="C262" s="945" t="s">
        <v>75</v>
      </c>
      <c r="D262" s="945" t="s">
        <v>89</v>
      </c>
      <c r="G262" s="936" t="s">
        <v>2451</v>
      </c>
      <c r="H262" s="936" t="s">
        <v>2844</v>
      </c>
    </row>
    <row r="263" spans="1:8" ht="15">
      <c r="A263" s="168" t="s">
        <v>978</v>
      </c>
      <c r="B263" s="169" t="s">
        <v>977</v>
      </c>
      <c r="C263" s="945" t="s">
        <v>75</v>
      </c>
      <c r="D263" s="945" t="s">
        <v>89</v>
      </c>
      <c r="G263" s="936" t="s">
        <v>2326</v>
      </c>
      <c r="H263" s="936" t="s">
        <v>2327</v>
      </c>
    </row>
    <row r="264" spans="1:8" ht="15">
      <c r="A264" s="940" t="s">
        <v>841</v>
      </c>
      <c r="B264" s="171" t="s">
        <v>840</v>
      </c>
      <c r="C264" s="945" t="s">
        <v>75</v>
      </c>
      <c r="D264" s="945" t="s">
        <v>89</v>
      </c>
      <c r="G264" s="936" t="s">
        <v>2328</v>
      </c>
      <c r="H264" s="936" t="s">
        <v>2329</v>
      </c>
    </row>
    <row r="265" spans="1:8" ht="15">
      <c r="A265" s="168" t="s">
        <v>980</v>
      </c>
      <c r="B265" s="169" t="s">
        <v>979</v>
      </c>
      <c r="C265" s="945" t="s">
        <v>75</v>
      </c>
      <c r="D265" s="945" t="s">
        <v>89</v>
      </c>
      <c r="G265" s="936" t="s">
        <v>2330</v>
      </c>
      <c r="H265" s="936" t="s">
        <v>2331</v>
      </c>
    </row>
    <row r="266" spans="1:8" ht="15">
      <c r="A266" s="940" t="s">
        <v>843</v>
      </c>
      <c r="B266" s="171" t="s">
        <v>842</v>
      </c>
      <c r="C266" s="945" t="s">
        <v>75</v>
      </c>
      <c r="D266" s="945" t="s">
        <v>89</v>
      </c>
      <c r="G266" s="936" t="s">
        <v>2847</v>
      </c>
      <c r="H266" s="936" t="s">
        <v>2848</v>
      </c>
    </row>
    <row r="267" spans="1:8" ht="15">
      <c r="A267" s="168" t="s">
        <v>982</v>
      </c>
      <c r="B267" s="169" t="s">
        <v>981</v>
      </c>
      <c r="C267" s="945" t="s">
        <v>75</v>
      </c>
      <c r="D267" s="945" t="s">
        <v>89</v>
      </c>
      <c r="G267" s="936" t="s">
        <v>2825</v>
      </c>
      <c r="H267" s="936" t="s">
        <v>2826</v>
      </c>
    </row>
    <row r="268" spans="1:8" ht="15">
      <c r="A268" s="940" t="s">
        <v>1649</v>
      </c>
      <c r="B268" s="171" t="s">
        <v>1580</v>
      </c>
      <c r="C268" s="945" t="s">
        <v>75</v>
      </c>
      <c r="D268" s="945" t="s">
        <v>89</v>
      </c>
      <c r="G268" s="936" t="s">
        <v>2332</v>
      </c>
      <c r="H268" s="936" t="s">
        <v>2333</v>
      </c>
    </row>
    <row r="269" spans="1:8" ht="15">
      <c r="A269" s="940" t="s">
        <v>845</v>
      </c>
      <c r="B269" s="171" t="s">
        <v>844</v>
      </c>
      <c r="C269" s="945" t="s">
        <v>75</v>
      </c>
      <c r="D269" s="945" t="s">
        <v>89</v>
      </c>
      <c r="G269" s="936" t="s">
        <v>2613</v>
      </c>
      <c r="H269" s="936" t="s">
        <v>2614</v>
      </c>
    </row>
    <row r="270" spans="1:8" ht="15">
      <c r="A270" s="168" t="s">
        <v>984</v>
      </c>
      <c r="B270" s="169" t="s">
        <v>983</v>
      </c>
      <c r="C270" s="945" t="s">
        <v>75</v>
      </c>
      <c r="D270" s="945" t="s">
        <v>89</v>
      </c>
      <c r="G270" s="936" t="s">
        <v>2453</v>
      </c>
      <c r="H270" s="936" t="s">
        <v>2454</v>
      </c>
    </row>
    <row r="271" spans="1:8" ht="15">
      <c r="A271" s="940" t="s">
        <v>1653</v>
      </c>
      <c r="B271" s="171" t="s">
        <v>1584</v>
      </c>
      <c r="C271" s="945" t="s">
        <v>75</v>
      </c>
      <c r="D271" s="945" t="s">
        <v>89</v>
      </c>
      <c r="G271" s="936" t="s">
        <v>2334</v>
      </c>
      <c r="H271" s="936" t="s">
        <v>2335</v>
      </c>
    </row>
    <row r="272" spans="1:8" ht="15">
      <c r="A272" s="940" t="s">
        <v>1655</v>
      </c>
      <c r="B272" s="171" t="s">
        <v>1586</v>
      </c>
      <c r="C272" s="945" t="s">
        <v>75</v>
      </c>
      <c r="D272" s="945" t="s">
        <v>89</v>
      </c>
      <c r="G272" s="936" t="s">
        <v>2336</v>
      </c>
      <c r="H272" s="936" t="s">
        <v>2337</v>
      </c>
    </row>
    <row r="273" spans="1:8" ht="15">
      <c r="A273" s="171" t="s">
        <v>301</v>
      </c>
      <c r="B273" s="171" t="s">
        <v>300</v>
      </c>
      <c r="C273" s="945" t="s">
        <v>75</v>
      </c>
      <c r="D273" s="945" t="s">
        <v>89</v>
      </c>
      <c r="G273" s="936" t="s">
        <v>2338</v>
      </c>
      <c r="H273" s="936" t="s">
        <v>2339</v>
      </c>
    </row>
    <row r="274" spans="1:8" ht="15">
      <c r="A274" s="168" t="s">
        <v>986</v>
      </c>
      <c r="B274" s="169" t="s">
        <v>985</v>
      </c>
      <c r="C274" s="945" t="s">
        <v>75</v>
      </c>
      <c r="D274" s="945" t="s">
        <v>89</v>
      </c>
      <c r="G274" s="936" t="s">
        <v>2035</v>
      </c>
      <c r="H274" s="936" t="s">
        <v>2822</v>
      </c>
    </row>
    <row r="275" spans="1:8" ht="15">
      <c r="A275" s="171" t="s">
        <v>1658</v>
      </c>
      <c r="B275" s="171" t="s">
        <v>1587</v>
      </c>
      <c r="C275" s="945" t="s">
        <v>75</v>
      </c>
      <c r="D275" s="945" t="s">
        <v>89</v>
      </c>
      <c r="G275" s="936" t="s">
        <v>2667</v>
      </c>
      <c r="H275" s="936" t="s">
        <v>2668</v>
      </c>
    </row>
    <row r="276" spans="1:8" ht="15">
      <c r="A276" s="940" t="s">
        <v>374</v>
      </c>
      <c r="B276" s="171" t="s">
        <v>373</v>
      </c>
      <c r="C276" s="945" t="s">
        <v>75</v>
      </c>
      <c r="D276" s="945" t="s">
        <v>89</v>
      </c>
      <c r="G276" s="936" t="s">
        <v>2003</v>
      </c>
      <c r="H276" s="936" t="s">
        <v>2843</v>
      </c>
    </row>
    <row r="277" spans="1:8" ht="15">
      <c r="A277" s="168" t="s">
        <v>988</v>
      </c>
      <c r="B277" s="169" t="s">
        <v>987</v>
      </c>
      <c r="C277" s="945" t="s">
        <v>75</v>
      </c>
      <c r="D277" s="945" t="s">
        <v>89</v>
      </c>
      <c r="G277" s="936" t="s">
        <v>2823</v>
      </c>
      <c r="H277" s="936" t="s">
        <v>2824</v>
      </c>
    </row>
    <row r="278" spans="1:8" ht="15">
      <c r="A278" s="940" t="s">
        <v>1664</v>
      </c>
      <c r="B278" s="171" t="s">
        <v>1592</v>
      </c>
      <c r="C278" s="945" t="s">
        <v>75</v>
      </c>
      <c r="D278" s="945" t="s">
        <v>89</v>
      </c>
      <c r="G278" s="936" t="s">
        <v>2561</v>
      </c>
      <c r="H278" s="936" t="s">
        <v>2562</v>
      </c>
    </row>
    <row r="279" spans="1:8" ht="15">
      <c r="A279" s="167" t="s">
        <v>1717</v>
      </c>
      <c r="B279" s="171" t="s">
        <v>1718</v>
      </c>
      <c r="C279" s="945" t="s">
        <v>75</v>
      </c>
      <c r="D279" s="945" t="s">
        <v>90</v>
      </c>
      <c r="G279" s="936" t="s">
        <v>2786</v>
      </c>
      <c r="H279" s="936" t="s">
        <v>2787</v>
      </c>
    </row>
    <row r="280" spans="1:8" ht="15">
      <c r="A280" s="940" t="s">
        <v>377</v>
      </c>
      <c r="B280" s="171" t="s">
        <v>1594</v>
      </c>
      <c r="C280" s="945" t="s">
        <v>75</v>
      </c>
      <c r="D280" s="945" t="s">
        <v>89</v>
      </c>
      <c r="G280" s="936" t="s">
        <v>2772</v>
      </c>
      <c r="H280" s="936" t="s">
        <v>2773</v>
      </c>
    </row>
    <row r="281" spans="1:8" ht="15">
      <c r="A281" s="940" t="s">
        <v>1675</v>
      </c>
      <c r="B281" s="171" t="s">
        <v>1603</v>
      </c>
      <c r="C281" s="945" t="s">
        <v>75</v>
      </c>
      <c r="D281" s="945" t="s">
        <v>89</v>
      </c>
      <c r="G281" s="936" t="s">
        <v>2340</v>
      </c>
      <c r="H281" s="936" t="s">
        <v>2341</v>
      </c>
    </row>
    <row r="282" spans="1:8" ht="15">
      <c r="A282" s="940" t="s">
        <v>351</v>
      </c>
      <c r="B282" s="171" t="s">
        <v>350</v>
      </c>
      <c r="C282" s="945" t="s">
        <v>75</v>
      </c>
      <c r="D282" s="945" t="s">
        <v>89</v>
      </c>
      <c r="G282" s="936" t="s">
        <v>2720</v>
      </c>
      <c r="H282" s="936" t="s">
        <v>2721</v>
      </c>
    </row>
    <row r="283" spans="1:8" ht="15">
      <c r="A283" s="168" t="s">
        <v>990</v>
      </c>
      <c r="B283" s="169" t="s">
        <v>989</v>
      </c>
      <c r="C283" s="945" t="s">
        <v>75</v>
      </c>
      <c r="D283" s="945" t="s">
        <v>89</v>
      </c>
      <c r="G283" s="936" t="s">
        <v>2343</v>
      </c>
      <c r="H283" s="936" t="s">
        <v>2344</v>
      </c>
    </row>
    <row r="284" spans="1:8" ht="15">
      <c r="A284" s="940" t="s">
        <v>1667</v>
      </c>
      <c r="B284" s="171" t="s">
        <v>1596</v>
      </c>
      <c r="C284" s="945" t="s">
        <v>75</v>
      </c>
      <c r="D284" s="945" t="s">
        <v>89</v>
      </c>
      <c r="G284" s="936" t="s">
        <v>2068</v>
      </c>
      <c r="H284" s="936" t="s">
        <v>2797</v>
      </c>
    </row>
    <row r="285" spans="1:8" ht="15">
      <c r="A285" s="940" t="s">
        <v>376</v>
      </c>
      <c r="B285" s="171" t="s">
        <v>375</v>
      </c>
      <c r="C285" s="945" t="s">
        <v>75</v>
      </c>
      <c r="D285" s="945" t="s">
        <v>89</v>
      </c>
      <c r="G285" s="936" t="s">
        <v>2141</v>
      </c>
      <c r="H285" s="936" t="s">
        <v>2708</v>
      </c>
    </row>
    <row r="286" spans="1:8" ht="15">
      <c r="A286" s="168" t="s">
        <v>992</v>
      </c>
      <c r="B286" s="169" t="s">
        <v>991</v>
      </c>
      <c r="C286" s="945" t="s">
        <v>75</v>
      </c>
      <c r="D286" s="945" t="s">
        <v>89</v>
      </c>
      <c r="G286" s="936" t="s">
        <v>2682</v>
      </c>
      <c r="H286" s="936" t="s">
        <v>2683</v>
      </c>
    </row>
    <row r="287" spans="1:8" ht="15">
      <c r="A287" s="940" t="s">
        <v>1669</v>
      </c>
      <c r="B287" s="171" t="s">
        <v>1598</v>
      </c>
      <c r="C287" s="945" t="s">
        <v>75</v>
      </c>
      <c r="D287" s="945" t="s">
        <v>89</v>
      </c>
      <c r="G287" s="936" t="s">
        <v>2784</v>
      </c>
      <c r="H287" s="936" t="s">
        <v>2785</v>
      </c>
    </row>
    <row r="288" spans="1:8" ht="15">
      <c r="A288" s="940" t="s">
        <v>349</v>
      </c>
      <c r="B288" s="171" t="s">
        <v>348</v>
      </c>
      <c r="C288" s="945" t="s">
        <v>75</v>
      </c>
      <c r="D288" s="945" t="s">
        <v>89</v>
      </c>
      <c r="G288" s="936" t="s">
        <v>2345</v>
      </c>
      <c r="H288" s="936" t="s">
        <v>2346</v>
      </c>
    </row>
    <row r="289" spans="1:8" ht="15">
      <c r="A289" s="168" t="s">
        <v>994</v>
      </c>
      <c r="B289" s="169" t="s">
        <v>993</v>
      </c>
      <c r="C289" s="945" t="s">
        <v>75</v>
      </c>
      <c r="D289" s="945" t="s">
        <v>89</v>
      </c>
      <c r="G289" s="936" t="s">
        <v>2347</v>
      </c>
      <c r="H289" s="936" t="s">
        <v>2348</v>
      </c>
    </row>
    <row r="290" spans="1:8" ht="15">
      <c r="A290" s="940" t="s">
        <v>1672</v>
      </c>
      <c r="B290" s="171" t="s">
        <v>1601</v>
      </c>
      <c r="C290" s="945" t="s">
        <v>75</v>
      </c>
      <c r="D290" s="945" t="s">
        <v>89</v>
      </c>
      <c r="G290" s="936" t="s">
        <v>2793</v>
      </c>
      <c r="H290" s="936" t="s">
        <v>2794</v>
      </c>
    </row>
    <row r="291" spans="1:8" ht="15">
      <c r="A291" s="167" t="s">
        <v>1713</v>
      </c>
      <c r="B291" s="171" t="s">
        <v>1714</v>
      </c>
      <c r="C291" s="945" t="s">
        <v>75</v>
      </c>
      <c r="D291" s="945" t="s">
        <v>90</v>
      </c>
      <c r="G291" s="936" t="s">
        <v>2803</v>
      </c>
      <c r="H291" s="936" t="s">
        <v>2804</v>
      </c>
    </row>
    <row r="292" spans="1:8" ht="15">
      <c r="A292" s="940" t="s">
        <v>1677</v>
      </c>
      <c r="B292" s="171" t="s">
        <v>1605</v>
      </c>
      <c r="C292" s="945" t="s">
        <v>75</v>
      </c>
      <c r="D292" s="945" t="s">
        <v>89</v>
      </c>
      <c r="G292" s="936" t="s">
        <v>2762</v>
      </c>
      <c r="H292" s="936" t="s">
        <v>2763</v>
      </c>
    </row>
    <row r="293" spans="1:8" ht="15">
      <c r="A293" s="940" t="s">
        <v>1681</v>
      </c>
      <c r="B293" s="947" t="s">
        <v>1609</v>
      </c>
      <c r="C293" s="945" t="s">
        <v>75</v>
      </c>
      <c r="D293" s="945" t="s">
        <v>89</v>
      </c>
      <c r="G293" s="936" t="s">
        <v>2827</v>
      </c>
      <c r="H293" s="936" t="s">
        <v>2828</v>
      </c>
    </row>
    <row r="294" spans="1:8" ht="15">
      <c r="A294" s="940" t="s">
        <v>847</v>
      </c>
      <c r="B294" s="947" t="s">
        <v>846</v>
      </c>
      <c r="C294" s="945" t="s">
        <v>75</v>
      </c>
      <c r="D294" s="945" t="s">
        <v>89</v>
      </c>
      <c r="G294" s="936" t="s">
        <v>2653</v>
      </c>
      <c r="H294" s="936" t="s">
        <v>2700</v>
      </c>
    </row>
    <row r="295" spans="1:8" ht="15">
      <c r="A295" s="168" t="s">
        <v>996</v>
      </c>
      <c r="B295" s="170" t="s">
        <v>995</v>
      </c>
      <c r="C295" s="945" t="s">
        <v>75</v>
      </c>
      <c r="D295" s="945" t="s">
        <v>89</v>
      </c>
      <c r="G295" s="936" t="s">
        <v>2809</v>
      </c>
      <c r="H295" s="936" t="s">
        <v>2810</v>
      </c>
    </row>
    <row r="296" spans="1:8" ht="15">
      <c r="A296" s="940" t="s">
        <v>370</v>
      </c>
      <c r="B296" s="947" t="s">
        <v>369</v>
      </c>
      <c r="C296" s="945" t="s">
        <v>75</v>
      </c>
      <c r="D296" s="945" t="s">
        <v>89</v>
      </c>
      <c r="G296" s="936" t="s">
        <v>2806</v>
      </c>
      <c r="H296" s="936" t="s">
        <v>2807</v>
      </c>
    </row>
    <row r="297" spans="1:8" ht="15">
      <c r="A297" s="168" t="s">
        <v>998</v>
      </c>
      <c r="B297" s="170" t="s">
        <v>997</v>
      </c>
      <c r="C297" s="945" t="s">
        <v>75</v>
      </c>
      <c r="D297" s="945" t="s">
        <v>89</v>
      </c>
      <c r="G297" s="936" t="s">
        <v>2653</v>
      </c>
      <c r="H297" s="936" t="s">
        <v>2654</v>
      </c>
    </row>
    <row r="298" spans="1:8" ht="15">
      <c r="A298" s="940" t="s">
        <v>284</v>
      </c>
      <c r="B298" s="171" t="s">
        <v>283</v>
      </c>
      <c r="C298" s="945" t="s">
        <v>75</v>
      </c>
      <c r="D298" s="945" t="s">
        <v>90</v>
      </c>
      <c r="G298" s="936" t="s">
        <v>2455</v>
      </c>
      <c r="H298" s="936" t="s">
        <v>2723</v>
      </c>
    </row>
    <row r="299" spans="1:8" ht="15">
      <c r="A299" s="168" t="s">
        <v>1000</v>
      </c>
      <c r="B299" s="169" t="s">
        <v>999</v>
      </c>
      <c r="C299" s="945" t="s">
        <v>75</v>
      </c>
      <c r="D299" s="945" t="s">
        <v>90</v>
      </c>
      <c r="G299" s="936" t="s">
        <v>2455</v>
      </c>
      <c r="H299" s="936" t="s">
        <v>2456</v>
      </c>
    </row>
    <row r="300" spans="1:8" ht="15">
      <c r="A300" s="940" t="s">
        <v>315</v>
      </c>
      <c r="B300" s="171" t="s">
        <v>314</v>
      </c>
      <c r="C300" s="945" t="s">
        <v>75</v>
      </c>
      <c r="D300" s="945" t="s">
        <v>90</v>
      </c>
      <c r="G300" s="936" t="s">
        <v>2749</v>
      </c>
      <c r="H300" s="936" t="s">
        <v>2750</v>
      </c>
    </row>
    <row r="301" spans="1:8" ht="15">
      <c r="A301" s="168" t="s">
        <v>1002</v>
      </c>
      <c r="B301" s="169" t="s">
        <v>1001</v>
      </c>
      <c r="C301" s="945" t="s">
        <v>75</v>
      </c>
      <c r="D301" s="945" t="s">
        <v>90</v>
      </c>
      <c r="G301" s="936" t="s">
        <v>2782</v>
      </c>
      <c r="H301" s="936" t="s">
        <v>2783</v>
      </c>
    </row>
    <row r="302" spans="1:8" ht="15">
      <c r="A302" s="167" t="s">
        <v>1730</v>
      </c>
      <c r="B302" s="171" t="s">
        <v>1731</v>
      </c>
      <c r="C302" s="945" t="s">
        <v>75</v>
      </c>
      <c r="D302" s="945" t="s">
        <v>90</v>
      </c>
      <c r="G302" s="936" t="s">
        <v>2663</v>
      </c>
      <c r="H302" s="936" t="s">
        <v>2664</v>
      </c>
    </row>
    <row r="303" spans="1:8" ht="15">
      <c r="A303" s="940" t="s">
        <v>286</v>
      </c>
      <c r="B303" s="171" t="s">
        <v>1611</v>
      </c>
      <c r="C303" s="945" t="s">
        <v>75</v>
      </c>
      <c r="D303" s="945" t="s">
        <v>89</v>
      </c>
      <c r="G303" s="936" t="s">
        <v>2789</v>
      </c>
      <c r="H303" s="936" t="s">
        <v>2790</v>
      </c>
    </row>
    <row r="304" spans="1:8" ht="15">
      <c r="A304" s="940" t="s">
        <v>1687</v>
      </c>
      <c r="B304" s="171" t="s">
        <v>1613</v>
      </c>
      <c r="C304" s="945" t="s">
        <v>75</v>
      </c>
      <c r="D304" s="945" t="s">
        <v>89</v>
      </c>
      <c r="G304" s="936" t="s">
        <v>2811</v>
      </c>
      <c r="H304" s="936" t="s">
        <v>2812</v>
      </c>
    </row>
    <row r="305" spans="1:8" ht="15">
      <c r="A305" s="940" t="s">
        <v>1689</v>
      </c>
      <c r="B305" s="171" t="s">
        <v>1615</v>
      </c>
      <c r="C305" s="945" t="s">
        <v>75</v>
      </c>
      <c r="D305" s="945" t="s">
        <v>89</v>
      </c>
      <c r="G305" s="936" t="s">
        <v>2815</v>
      </c>
      <c r="H305" s="936" t="s">
        <v>2816</v>
      </c>
    </row>
    <row r="306" spans="1:8" ht="15">
      <c r="A306" s="940" t="s">
        <v>849</v>
      </c>
      <c r="B306" s="171" t="s">
        <v>848</v>
      </c>
      <c r="C306" s="945" t="s">
        <v>75</v>
      </c>
      <c r="D306" s="945" t="s">
        <v>89</v>
      </c>
      <c r="G306" s="936" t="s">
        <v>2724</v>
      </c>
      <c r="H306" s="936" t="s">
        <v>2725</v>
      </c>
    </row>
    <row r="307" spans="1:8" ht="15">
      <c r="A307" s="168" t="s">
        <v>1004</v>
      </c>
      <c r="B307" s="169" t="s">
        <v>1003</v>
      </c>
      <c r="C307" s="945" t="s">
        <v>75</v>
      </c>
      <c r="D307" s="945" t="s">
        <v>89</v>
      </c>
      <c r="G307" s="936" t="s">
        <v>2457</v>
      </c>
      <c r="H307" s="936" t="s">
        <v>2134</v>
      </c>
    </row>
    <row r="308" spans="1:8" ht="15">
      <c r="A308" s="940" t="s">
        <v>379</v>
      </c>
      <c r="B308" s="171" t="s">
        <v>378</v>
      </c>
      <c r="C308" s="945" t="s">
        <v>75</v>
      </c>
      <c r="D308" s="945" t="s">
        <v>89</v>
      </c>
      <c r="G308" s="936" t="s">
        <v>2132</v>
      </c>
      <c r="H308" s="936" t="s">
        <v>2133</v>
      </c>
    </row>
    <row r="309" spans="1:8" ht="15">
      <c r="A309" s="169" t="s">
        <v>1006</v>
      </c>
      <c r="B309" s="169" t="s">
        <v>1005</v>
      </c>
      <c r="C309" s="945" t="s">
        <v>75</v>
      </c>
      <c r="D309" s="945" t="s">
        <v>89</v>
      </c>
      <c r="G309" s="936" t="s">
        <v>2213</v>
      </c>
      <c r="H309" s="936" t="s">
        <v>2214</v>
      </c>
    </row>
    <row r="310" spans="1:8" ht="15">
      <c r="A310" s="940" t="s">
        <v>1691</v>
      </c>
      <c r="B310" s="171" t="s">
        <v>1617</v>
      </c>
      <c r="C310" s="945" t="s">
        <v>75</v>
      </c>
      <c r="D310" s="945" t="s">
        <v>89</v>
      </c>
      <c r="G310" s="936" t="s">
        <v>1523</v>
      </c>
      <c r="H310" s="936" t="s">
        <v>2776</v>
      </c>
    </row>
    <row r="311" spans="1:8" ht="15">
      <c r="A311" s="940" t="s">
        <v>1693</v>
      </c>
      <c r="B311" s="171" t="s">
        <v>1619</v>
      </c>
      <c r="C311" s="945" t="s">
        <v>75</v>
      </c>
      <c r="D311" s="945" t="s">
        <v>89</v>
      </c>
      <c r="G311" s="936" t="s">
        <v>1442</v>
      </c>
      <c r="H311" s="936" t="s">
        <v>2765</v>
      </c>
    </row>
    <row r="312" spans="1:8" ht="15">
      <c r="A312" s="940" t="s">
        <v>1695</v>
      </c>
      <c r="B312" s="171" t="s">
        <v>1621</v>
      </c>
      <c r="C312" s="945" t="s">
        <v>75</v>
      </c>
      <c r="D312" s="945" t="s">
        <v>89</v>
      </c>
      <c r="G312" s="936" t="s">
        <v>399</v>
      </c>
      <c r="H312" s="936" t="s">
        <v>2701</v>
      </c>
    </row>
    <row r="313" spans="1:8" ht="15">
      <c r="A313" s="940" t="s">
        <v>851</v>
      </c>
      <c r="B313" s="171" t="s">
        <v>850</v>
      </c>
      <c r="C313" s="945" t="s">
        <v>75</v>
      </c>
      <c r="D313" s="945" t="s">
        <v>89</v>
      </c>
      <c r="G313" s="936" t="s">
        <v>2752</v>
      </c>
      <c r="H313" s="936" t="s">
        <v>2754</v>
      </c>
    </row>
    <row r="314" spans="1:8" ht="15">
      <c r="A314" s="169" t="s">
        <v>1008</v>
      </c>
      <c r="B314" s="169" t="s">
        <v>1007</v>
      </c>
      <c r="C314" s="945" t="s">
        <v>75</v>
      </c>
      <c r="D314" s="945" t="s">
        <v>89</v>
      </c>
      <c r="G314" s="936" t="s">
        <v>938</v>
      </c>
      <c r="H314" s="936" t="s">
        <v>2607</v>
      </c>
    </row>
    <row r="315" spans="1:8" ht="15">
      <c r="A315" s="940" t="s">
        <v>388</v>
      </c>
      <c r="B315" s="171" t="s">
        <v>387</v>
      </c>
      <c r="C315" s="945" t="s">
        <v>75</v>
      </c>
      <c r="D315" s="945" t="s">
        <v>89</v>
      </c>
      <c r="G315" s="936" t="s">
        <v>1407</v>
      </c>
      <c r="H315" s="936" t="s">
        <v>2691</v>
      </c>
    </row>
    <row r="316" spans="1:8" ht="15">
      <c r="A316" s="169" t="s">
        <v>1010</v>
      </c>
      <c r="B316" s="169" t="s">
        <v>1009</v>
      </c>
      <c r="C316" s="945" t="s">
        <v>75</v>
      </c>
      <c r="D316" s="945" t="s">
        <v>89</v>
      </c>
      <c r="G316" s="936" t="s">
        <v>1374</v>
      </c>
      <c r="H316" s="936" t="s">
        <v>2110</v>
      </c>
    </row>
    <row r="317" spans="1:8" ht="15">
      <c r="A317" s="940" t="s">
        <v>1697</v>
      </c>
      <c r="B317" s="171" t="s">
        <v>1623</v>
      </c>
      <c r="C317" s="945" t="s">
        <v>75</v>
      </c>
      <c r="D317" s="945" t="s">
        <v>89</v>
      </c>
      <c r="G317" s="936" t="s">
        <v>2108</v>
      </c>
      <c r="H317" s="936" t="s">
        <v>2109</v>
      </c>
    </row>
    <row r="318" spans="1:8" ht="15">
      <c r="A318" s="940" t="s">
        <v>372</v>
      </c>
      <c r="B318" s="171" t="s">
        <v>371</v>
      </c>
      <c r="C318" s="945" t="s">
        <v>75</v>
      </c>
      <c r="D318" s="945" t="s">
        <v>89</v>
      </c>
      <c r="G318" s="936" t="s">
        <v>1259</v>
      </c>
      <c r="H318" s="936" t="s">
        <v>2643</v>
      </c>
    </row>
    <row r="319" spans="1:8" ht="15">
      <c r="A319" s="169" t="s">
        <v>1012</v>
      </c>
      <c r="B319" s="169" t="s">
        <v>1011</v>
      </c>
      <c r="C319" s="945" t="s">
        <v>75</v>
      </c>
      <c r="D319" s="945" t="s">
        <v>89</v>
      </c>
      <c r="G319" s="936" t="s">
        <v>2619</v>
      </c>
      <c r="H319" s="936" t="s">
        <v>2621</v>
      </c>
    </row>
    <row r="320" spans="1:8" ht="15">
      <c r="A320" s="940" t="s">
        <v>333</v>
      </c>
      <c r="B320" s="171" t="s">
        <v>332</v>
      </c>
      <c r="C320" s="945" t="s">
        <v>75</v>
      </c>
      <c r="D320" s="945" t="s">
        <v>90</v>
      </c>
      <c r="G320" s="936" t="s">
        <v>1342</v>
      </c>
      <c r="H320" s="936" t="s">
        <v>2674</v>
      </c>
    </row>
    <row r="321" spans="1:8" ht="15">
      <c r="A321" s="169" t="s">
        <v>1014</v>
      </c>
      <c r="B321" s="169" t="s">
        <v>1013</v>
      </c>
      <c r="C321" s="945" t="s">
        <v>75</v>
      </c>
      <c r="D321" s="945" t="s">
        <v>90</v>
      </c>
      <c r="G321" s="936" t="s">
        <v>1249</v>
      </c>
      <c r="H321" s="936" t="s">
        <v>2730</v>
      </c>
    </row>
    <row r="322" spans="1:8" ht="15">
      <c r="A322" s="167" t="s">
        <v>1721</v>
      </c>
      <c r="B322" s="171" t="s">
        <v>1722</v>
      </c>
      <c r="C322" s="945" t="s">
        <v>75</v>
      </c>
      <c r="D322" s="945" t="s">
        <v>90</v>
      </c>
      <c r="G322" s="936" t="s">
        <v>1445</v>
      </c>
      <c r="H322" s="936" t="s">
        <v>2636</v>
      </c>
    </row>
    <row r="323" spans="1:8" ht="15">
      <c r="A323" s="940" t="s">
        <v>1710</v>
      </c>
      <c r="B323" s="171" t="s">
        <v>1635</v>
      </c>
      <c r="C323" s="945" t="s">
        <v>75</v>
      </c>
      <c r="D323" s="945" t="s">
        <v>89</v>
      </c>
      <c r="G323" s="936" t="s">
        <v>1252</v>
      </c>
      <c r="H323" s="936" t="s">
        <v>2581</v>
      </c>
    </row>
    <row r="324" spans="1:8" ht="15">
      <c r="A324" s="940" t="s">
        <v>853</v>
      </c>
      <c r="B324" s="171" t="s">
        <v>852</v>
      </c>
      <c r="C324" s="945" t="s">
        <v>75</v>
      </c>
      <c r="D324" s="945" t="s">
        <v>89</v>
      </c>
      <c r="G324" s="936" t="s">
        <v>1283</v>
      </c>
      <c r="H324" s="936" t="s">
        <v>2680</v>
      </c>
    </row>
    <row r="325" spans="1:8" ht="15">
      <c r="A325" s="169" t="s">
        <v>1016</v>
      </c>
      <c r="B325" s="169" t="s">
        <v>1015</v>
      </c>
      <c r="C325" s="945" t="s">
        <v>75</v>
      </c>
      <c r="D325" s="945" t="s">
        <v>89</v>
      </c>
      <c r="G325" s="936" t="s">
        <v>1414</v>
      </c>
      <c r="H325" s="936" t="s">
        <v>2689</v>
      </c>
    </row>
    <row r="326" spans="1:8" ht="15">
      <c r="A326" s="167" t="s">
        <v>395</v>
      </c>
      <c r="B326" s="166" t="s">
        <v>394</v>
      </c>
      <c r="C326" s="945" t="s">
        <v>75</v>
      </c>
      <c r="D326" s="945" t="s">
        <v>98</v>
      </c>
      <c r="G326" s="936" t="s">
        <v>2349</v>
      </c>
      <c r="H326" s="936" t="s">
        <v>2350</v>
      </c>
    </row>
    <row r="327" spans="1:8" ht="15">
      <c r="A327" s="169" t="s">
        <v>1018</v>
      </c>
      <c r="B327" s="169" t="s">
        <v>1017</v>
      </c>
      <c r="C327" s="945" t="s">
        <v>75</v>
      </c>
      <c r="D327" s="945">
        <v>0</v>
      </c>
      <c r="G327" s="936" t="s">
        <v>1157</v>
      </c>
      <c r="H327" s="936" t="s">
        <v>2558</v>
      </c>
    </row>
    <row r="328" spans="1:8" ht="15">
      <c r="A328" s="171" t="s">
        <v>1703</v>
      </c>
      <c r="B328" s="171" t="s">
        <v>1628</v>
      </c>
      <c r="C328" s="945" t="s">
        <v>75</v>
      </c>
      <c r="D328" s="945" t="s">
        <v>89</v>
      </c>
      <c r="G328" s="936" t="s">
        <v>932</v>
      </c>
      <c r="H328" s="936" t="s">
        <v>2156</v>
      </c>
    </row>
    <row r="329" spans="1:8" ht="15">
      <c r="A329" s="171" t="s">
        <v>1705</v>
      </c>
      <c r="B329" s="171" t="s">
        <v>1630</v>
      </c>
      <c r="C329" s="945" t="s">
        <v>75</v>
      </c>
      <c r="D329" s="945" t="s">
        <v>89</v>
      </c>
      <c r="G329" s="936" t="s">
        <v>934</v>
      </c>
      <c r="H329" s="936" t="s">
        <v>2556</v>
      </c>
    </row>
    <row r="330" spans="1:8" ht="15">
      <c r="A330" s="940" t="s">
        <v>390</v>
      </c>
      <c r="B330" s="171" t="s">
        <v>389</v>
      </c>
      <c r="C330" s="945" t="s">
        <v>75</v>
      </c>
      <c r="D330" s="945" t="s">
        <v>89</v>
      </c>
      <c r="G330" s="936" t="s">
        <v>1186</v>
      </c>
      <c r="H330" s="936" t="s">
        <v>2627</v>
      </c>
    </row>
    <row r="331" spans="1:8" ht="15">
      <c r="A331" s="169" t="s">
        <v>1020</v>
      </c>
      <c r="B331" s="169" t="s">
        <v>1019</v>
      </c>
      <c r="C331" s="945" t="s">
        <v>75</v>
      </c>
      <c r="D331" s="945" t="s">
        <v>89</v>
      </c>
      <c r="G331" s="936" t="s">
        <v>1180</v>
      </c>
      <c r="H331" s="936" t="s">
        <v>2576</v>
      </c>
    </row>
    <row r="332" spans="1:8" ht="15">
      <c r="A332" s="167" t="s">
        <v>297</v>
      </c>
      <c r="B332" s="166" t="s">
        <v>296</v>
      </c>
      <c r="C332" s="945" t="s">
        <v>75</v>
      </c>
      <c r="D332" s="945" t="s">
        <v>95</v>
      </c>
      <c r="G332" s="936" t="s">
        <v>2352</v>
      </c>
      <c r="H332" s="936" t="s">
        <v>2353</v>
      </c>
    </row>
    <row r="333" spans="1:8" ht="15">
      <c r="A333" s="169" t="s">
        <v>1022</v>
      </c>
      <c r="B333" s="169" t="s">
        <v>1021</v>
      </c>
      <c r="C333" s="945" t="s">
        <v>75</v>
      </c>
      <c r="D333" s="945" t="s">
        <v>95</v>
      </c>
      <c r="G333" s="936" t="s">
        <v>1286</v>
      </c>
      <c r="H333" s="936" t="s">
        <v>2697</v>
      </c>
    </row>
    <row r="334" spans="1:8" ht="15">
      <c r="A334" s="168" t="s">
        <v>317</v>
      </c>
      <c r="B334" s="169" t="s">
        <v>316</v>
      </c>
      <c r="C334" s="945" t="s">
        <v>75</v>
      </c>
      <c r="D334" s="945" t="s">
        <v>94</v>
      </c>
      <c r="G334" s="936" t="s">
        <v>1206</v>
      </c>
      <c r="H334" s="936" t="s">
        <v>2583</v>
      </c>
    </row>
    <row r="335" spans="1:8" ht="15">
      <c r="A335" s="169" t="s">
        <v>1024</v>
      </c>
      <c r="B335" s="169" t="s">
        <v>1023</v>
      </c>
      <c r="C335" s="945" t="s">
        <v>75</v>
      </c>
      <c r="D335" s="945" t="s">
        <v>94</v>
      </c>
      <c r="G335" s="936" t="s">
        <v>1154</v>
      </c>
      <c r="H335" s="936" t="s">
        <v>2587</v>
      </c>
    </row>
    <row r="336" spans="1:8" ht="15">
      <c r="A336" s="168" t="s">
        <v>290</v>
      </c>
      <c r="B336" s="169" t="s">
        <v>289</v>
      </c>
      <c r="C336" s="945" t="s">
        <v>75</v>
      </c>
      <c r="D336" s="945" t="s">
        <v>94</v>
      </c>
      <c r="G336" s="936" t="s">
        <v>1237</v>
      </c>
      <c r="H336" s="936" t="s">
        <v>2632</v>
      </c>
    </row>
    <row r="337" spans="1:8" ht="15">
      <c r="A337" s="169" t="s">
        <v>1026</v>
      </c>
      <c r="B337" s="169" t="s">
        <v>1025</v>
      </c>
      <c r="C337" s="945" t="s">
        <v>75</v>
      </c>
      <c r="D337" s="945" t="s">
        <v>94</v>
      </c>
      <c r="G337" s="936" t="s">
        <v>1315</v>
      </c>
      <c r="H337" s="936" t="s">
        <v>2465</v>
      </c>
    </row>
    <row r="338" spans="1:8" ht="15">
      <c r="A338" s="167" t="s">
        <v>1725</v>
      </c>
      <c r="B338" s="171" t="s">
        <v>1632</v>
      </c>
      <c r="C338" s="945" t="s">
        <v>75</v>
      </c>
      <c r="D338" s="945" t="s">
        <v>90</v>
      </c>
      <c r="G338" s="936" t="s">
        <v>1308</v>
      </c>
      <c r="H338" s="936" t="s">
        <v>2657</v>
      </c>
    </row>
    <row r="339" spans="1:8" ht="15">
      <c r="A339" s="940" t="s">
        <v>1708</v>
      </c>
      <c r="B339" s="171" t="s">
        <v>1633</v>
      </c>
      <c r="C339" s="945" t="s">
        <v>75</v>
      </c>
      <c r="D339" s="945" t="s">
        <v>89</v>
      </c>
      <c r="G339" s="936" t="s">
        <v>1333</v>
      </c>
      <c r="H339" s="936" t="s">
        <v>2648</v>
      </c>
    </row>
    <row r="340" spans="1:8" ht="15">
      <c r="A340" s="940" t="s">
        <v>1701</v>
      </c>
      <c r="B340" s="171" t="s">
        <v>1626</v>
      </c>
      <c r="C340" s="945" t="s">
        <v>75</v>
      </c>
      <c r="D340" s="945" t="s">
        <v>89</v>
      </c>
      <c r="G340" s="936" t="s">
        <v>936</v>
      </c>
      <c r="H340" s="936" t="s">
        <v>2458</v>
      </c>
    </row>
    <row r="341" spans="1:8" ht="15">
      <c r="A341" s="940" t="s">
        <v>855</v>
      </c>
      <c r="B341" s="171" t="s">
        <v>854</v>
      </c>
      <c r="C341" s="945" t="s">
        <v>75</v>
      </c>
      <c r="D341" s="945" t="s">
        <v>89</v>
      </c>
      <c r="G341" s="936" t="s">
        <v>1332</v>
      </c>
      <c r="H341" s="936" t="s">
        <v>2599</v>
      </c>
    </row>
    <row r="342" spans="1:8" ht="15">
      <c r="A342" s="169" t="s">
        <v>1028</v>
      </c>
      <c r="B342" s="169" t="s">
        <v>1027</v>
      </c>
      <c r="C342" s="945" t="s">
        <v>75</v>
      </c>
      <c r="D342" s="945" t="s">
        <v>89</v>
      </c>
      <c r="G342" s="936" t="s">
        <v>1469</v>
      </c>
      <c r="H342" s="936" t="s">
        <v>2704</v>
      </c>
    </row>
    <row r="343" spans="1:8" ht="15">
      <c r="A343" s="940" t="s">
        <v>313</v>
      </c>
      <c r="B343" s="171" t="s">
        <v>312</v>
      </c>
      <c r="C343" s="945" t="s">
        <v>75</v>
      </c>
      <c r="D343" s="945" t="s">
        <v>90</v>
      </c>
      <c r="G343" s="936" t="s">
        <v>1366</v>
      </c>
      <c r="H343" s="936" t="s">
        <v>2589</v>
      </c>
    </row>
    <row r="344" spans="1:8" ht="15">
      <c r="A344" s="169" t="s">
        <v>1030</v>
      </c>
      <c r="B344" s="169" t="s">
        <v>1029</v>
      </c>
      <c r="C344" s="945" t="s">
        <v>75</v>
      </c>
      <c r="D344" s="945" t="s">
        <v>90</v>
      </c>
      <c r="G344" s="936" t="s">
        <v>1362</v>
      </c>
      <c r="H344" s="936" t="s">
        <v>2609</v>
      </c>
    </row>
    <row r="345" spans="1:8" ht="15">
      <c r="A345" s="168" t="s">
        <v>438</v>
      </c>
      <c r="B345" s="169" t="s">
        <v>437</v>
      </c>
      <c r="C345" s="945" t="s">
        <v>75</v>
      </c>
      <c r="D345" s="945" t="s">
        <v>96</v>
      </c>
      <c r="G345" s="936" t="s">
        <v>1296</v>
      </c>
      <c r="H345" s="936" t="s">
        <v>2592</v>
      </c>
    </row>
    <row r="346" spans="1:8" ht="15">
      <c r="A346" s="169" t="s">
        <v>1032</v>
      </c>
      <c r="B346" s="169" t="s">
        <v>1031</v>
      </c>
      <c r="C346" s="945" t="s">
        <v>75</v>
      </c>
      <c r="D346" s="945" t="s">
        <v>89</v>
      </c>
      <c r="G346" s="936" t="s">
        <v>1395</v>
      </c>
      <c r="H346" s="936" t="s">
        <v>2630</v>
      </c>
    </row>
    <row r="347" spans="1:8" ht="15">
      <c r="A347" s="167" t="s">
        <v>1734</v>
      </c>
      <c r="B347" s="166" t="s">
        <v>1735</v>
      </c>
      <c r="C347" s="945" t="s">
        <v>144</v>
      </c>
      <c r="D347" s="945" t="s">
        <v>146</v>
      </c>
      <c r="G347" s="936" t="s">
        <v>1483</v>
      </c>
      <c r="H347" s="936" t="s">
        <v>2775</v>
      </c>
    </row>
    <row r="348" spans="1:8" ht="15">
      <c r="A348" s="167" t="s">
        <v>857</v>
      </c>
      <c r="B348" s="166" t="s">
        <v>856</v>
      </c>
      <c r="C348" s="945" t="s">
        <v>144</v>
      </c>
      <c r="D348" s="945" t="s">
        <v>181</v>
      </c>
      <c r="G348" s="936" t="s">
        <v>1442</v>
      </c>
      <c r="H348" s="936" t="s">
        <v>2764</v>
      </c>
    </row>
    <row r="349" spans="1:8" ht="15">
      <c r="A349" s="169" t="s">
        <v>1034</v>
      </c>
      <c r="B349" s="169" t="s">
        <v>1033</v>
      </c>
      <c r="C349" s="945" t="s">
        <v>144</v>
      </c>
      <c r="D349" s="945" t="s">
        <v>146</v>
      </c>
      <c r="G349" s="936" t="s">
        <v>1230</v>
      </c>
      <c r="H349" s="936" t="s">
        <v>2746</v>
      </c>
    </row>
    <row r="350" spans="1:8" ht="15">
      <c r="A350" s="167" t="s">
        <v>509</v>
      </c>
      <c r="B350" s="166" t="s">
        <v>508</v>
      </c>
      <c r="C350" s="945" t="s">
        <v>144</v>
      </c>
      <c r="D350" s="945" t="s">
        <v>98</v>
      </c>
      <c r="G350" s="936" t="s">
        <v>2752</v>
      </c>
      <c r="H350" s="936" t="s">
        <v>2753</v>
      </c>
    </row>
    <row r="351" spans="1:8" ht="15">
      <c r="A351" s="169" t="s">
        <v>1036</v>
      </c>
      <c r="B351" s="169" t="s">
        <v>1035</v>
      </c>
      <c r="C351" s="945" t="s">
        <v>144</v>
      </c>
      <c r="D351" s="945" t="s">
        <v>98</v>
      </c>
      <c r="G351" s="936" t="s">
        <v>938</v>
      </c>
      <c r="H351" s="936" t="s">
        <v>2606</v>
      </c>
    </row>
    <row r="352" spans="1:8" ht="15">
      <c r="A352" s="167" t="s">
        <v>311</v>
      </c>
      <c r="B352" s="166" t="s">
        <v>310</v>
      </c>
      <c r="C352" s="945" t="s">
        <v>144</v>
      </c>
      <c r="D352" s="945" t="s">
        <v>150</v>
      </c>
      <c r="G352" s="936" t="s">
        <v>1407</v>
      </c>
      <c r="H352" s="936" t="s">
        <v>2690</v>
      </c>
    </row>
    <row r="353" spans="1:8" ht="15">
      <c r="A353" s="169" t="s">
        <v>1038</v>
      </c>
      <c r="B353" s="169" t="s">
        <v>1037</v>
      </c>
      <c r="C353" s="945" t="s">
        <v>144</v>
      </c>
      <c r="D353" s="945" t="s">
        <v>150</v>
      </c>
      <c r="G353" s="936" t="s">
        <v>2354</v>
      </c>
      <c r="H353" s="936" t="s">
        <v>2355</v>
      </c>
    </row>
    <row r="354" spans="1:8" ht="15">
      <c r="A354" s="167" t="s">
        <v>295</v>
      </c>
      <c r="B354" s="166" t="s">
        <v>294</v>
      </c>
      <c r="C354" s="945" t="s">
        <v>144</v>
      </c>
      <c r="D354" s="945" t="s">
        <v>150</v>
      </c>
      <c r="G354" s="936" t="s">
        <v>1374</v>
      </c>
      <c r="H354" s="936" t="s">
        <v>2769</v>
      </c>
    </row>
    <row r="355" spans="1:8" ht="15">
      <c r="A355" s="169" t="s">
        <v>1040</v>
      </c>
      <c r="B355" s="169" t="s">
        <v>1039</v>
      </c>
      <c r="C355" s="945" t="s">
        <v>144</v>
      </c>
      <c r="D355" s="945" t="s">
        <v>150</v>
      </c>
      <c r="G355" s="936" t="s">
        <v>2145</v>
      </c>
      <c r="H355" s="936" t="s">
        <v>2146</v>
      </c>
    </row>
    <row r="356" spans="1:8" ht="15">
      <c r="A356" s="167" t="s">
        <v>1825</v>
      </c>
      <c r="B356" s="166" t="s">
        <v>1826</v>
      </c>
      <c r="C356" s="945" t="s">
        <v>144</v>
      </c>
      <c r="D356" s="945" t="s">
        <v>146</v>
      </c>
      <c r="G356" s="936" t="s">
        <v>2356</v>
      </c>
      <c r="H356" s="936" t="s">
        <v>2357</v>
      </c>
    </row>
    <row r="357" spans="1:8" ht="15">
      <c r="A357" s="166" t="s">
        <v>1865</v>
      </c>
      <c r="B357" s="166" t="s">
        <v>1866</v>
      </c>
      <c r="C357" s="945" t="s">
        <v>144</v>
      </c>
      <c r="D357" s="945" t="s">
        <v>146</v>
      </c>
      <c r="G357" s="936" t="s">
        <v>1259</v>
      </c>
      <c r="H357" s="936" t="s">
        <v>2669</v>
      </c>
    </row>
    <row r="358" spans="1:8" ht="15">
      <c r="A358" s="167" t="s">
        <v>1843</v>
      </c>
      <c r="B358" s="166" t="s">
        <v>1844</v>
      </c>
      <c r="C358" s="945" t="s">
        <v>144</v>
      </c>
      <c r="D358" s="945" t="s">
        <v>146</v>
      </c>
      <c r="G358" s="936" t="s">
        <v>2619</v>
      </c>
      <c r="H358" s="936" t="s">
        <v>2743</v>
      </c>
    </row>
    <row r="359" spans="1:8" ht="15">
      <c r="A359" s="167" t="s">
        <v>1855</v>
      </c>
      <c r="B359" s="166" t="s">
        <v>1856</v>
      </c>
      <c r="C359" s="945" t="s">
        <v>144</v>
      </c>
      <c r="D359" s="945" t="s">
        <v>146</v>
      </c>
      <c r="G359" s="936" t="s">
        <v>1342</v>
      </c>
      <c r="H359" s="936" t="s">
        <v>2702</v>
      </c>
    </row>
    <row r="360" spans="1:8" ht="15">
      <c r="A360" s="167" t="s">
        <v>1739</v>
      </c>
      <c r="B360" s="166" t="s">
        <v>1740</v>
      </c>
      <c r="C360" s="945" t="s">
        <v>144</v>
      </c>
      <c r="D360" s="945" t="s">
        <v>146</v>
      </c>
      <c r="G360" s="936" t="s">
        <v>1412</v>
      </c>
      <c r="H360" s="936" t="s">
        <v>2771</v>
      </c>
    </row>
    <row r="361" spans="1:8" ht="15">
      <c r="A361" s="167" t="s">
        <v>1739</v>
      </c>
      <c r="B361" s="166" t="s">
        <v>1740</v>
      </c>
      <c r="C361" s="945" t="s">
        <v>144</v>
      </c>
      <c r="D361" s="945" t="s">
        <v>146</v>
      </c>
      <c r="G361" s="936" t="s">
        <v>1211</v>
      </c>
      <c r="H361" s="936" t="s">
        <v>2707</v>
      </c>
    </row>
    <row r="362" spans="1:8" ht="15">
      <c r="A362" s="167" t="s">
        <v>1831</v>
      </c>
      <c r="B362" s="166" t="s">
        <v>1832</v>
      </c>
      <c r="C362" s="945" t="s">
        <v>144</v>
      </c>
      <c r="D362" s="945" t="s">
        <v>181</v>
      </c>
      <c r="G362" s="936" t="s">
        <v>1252</v>
      </c>
      <c r="H362" s="936" t="s">
        <v>2692</v>
      </c>
    </row>
    <row r="363" spans="1:8" ht="15">
      <c r="A363" s="167" t="s">
        <v>1837</v>
      </c>
      <c r="B363" s="166" t="s">
        <v>1838</v>
      </c>
      <c r="C363" s="945" t="s">
        <v>144</v>
      </c>
      <c r="D363" s="945" t="s">
        <v>181</v>
      </c>
      <c r="G363" s="936" t="s">
        <v>1283</v>
      </c>
      <c r="H363" s="936" t="s">
        <v>2712</v>
      </c>
    </row>
    <row r="364" spans="1:8" ht="15">
      <c r="A364" s="167" t="s">
        <v>1849</v>
      </c>
      <c r="B364" s="166" t="s">
        <v>1850</v>
      </c>
      <c r="C364" s="945" t="s">
        <v>144</v>
      </c>
      <c r="D364" s="945" t="s">
        <v>181</v>
      </c>
      <c r="G364" s="936" t="s">
        <v>1305</v>
      </c>
      <c r="H364" s="936" t="s">
        <v>2714</v>
      </c>
    </row>
    <row r="365" spans="1:8" ht="15">
      <c r="A365" s="167" t="s">
        <v>1819</v>
      </c>
      <c r="B365" s="166" t="s">
        <v>1820</v>
      </c>
      <c r="C365" s="945" t="s">
        <v>144</v>
      </c>
      <c r="D365" s="945" t="s">
        <v>146</v>
      </c>
      <c r="G365" s="936" t="s">
        <v>2358</v>
      </c>
      <c r="H365" s="936" t="s">
        <v>2359</v>
      </c>
    </row>
    <row r="366" spans="1:8" ht="15">
      <c r="A366" s="167" t="s">
        <v>1861</v>
      </c>
      <c r="B366" s="166" t="s">
        <v>1862</v>
      </c>
      <c r="C366" s="945" t="s">
        <v>144</v>
      </c>
      <c r="D366" s="945" t="s">
        <v>181</v>
      </c>
      <c r="G366" s="936" t="s">
        <v>1157</v>
      </c>
      <c r="H366" s="936" t="s">
        <v>2560</v>
      </c>
    </row>
    <row r="367" spans="1:8" ht="15">
      <c r="A367" s="167" t="s">
        <v>331</v>
      </c>
      <c r="B367" s="166" t="s">
        <v>330</v>
      </c>
      <c r="C367" s="945" t="s">
        <v>155</v>
      </c>
      <c r="D367" s="945" t="s">
        <v>159</v>
      </c>
      <c r="G367" s="936" t="s">
        <v>932</v>
      </c>
      <c r="H367" s="936" t="s">
        <v>2459</v>
      </c>
    </row>
    <row r="368" spans="1:8" ht="15">
      <c r="A368" s="169" t="s">
        <v>1042</v>
      </c>
      <c r="B368" s="169" t="s">
        <v>1041</v>
      </c>
      <c r="C368" s="945" t="s">
        <v>155</v>
      </c>
      <c r="D368" s="945" t="s">
        <v>159</v>
      </c>
      <c r="G368" s="936" t="s">
        <v>934</v>
      </c>
      <c r="H368" s="936" t="s">
        <v>2559</v>
      </c>
    </row>
    <row r="369" spans="1:8" ht="15">
      <c r="A369" s="167" t="s">
        <v>501</v>
      </c>
      <c r="B369" s="166" t="s">
        <v>500</v>
      </c>
      <c r="C369" s="945" t="s">
        <v>155</v>
      </c>
      <c r="D369" s="945" t="s">
        <v>163</v>
      </c>
      <c r="G369" s="936" t="s">
        <v>1186</v>
      </c>
      <c r="H369" s="936" t="s">
        <v>2644</v>
      </c>
    </row>
    <row r="370" spans="1:8" ht="15">
      <c r="A370" s="169" t="s">
        <v>1044</v>
      </c>
      <c r="B370" s="169" t="s">
        <v>1043</v>
      </c>
      <c r="C370" s="945" t="s">
        <v>155</v>
      </c>
      <c r="D370" s="945" t="s">
        <v>163</v>
      </c>
      <c r="G370" s="936" t="s">
        <v>1180</v>
      </c>
      <c r="H370" s="936" t="s">
        <v>2579</v>
      </c>
    </row>
    <row r="371" spans="1:8" ht="15">
      <c r="A371" s="167" t="s">
        <v>353</v>
      </c>
      <c r="B371" s="166" t="s">
        <v>352</v>
      </c>
      <c r="C371" s="945" t="s">
        <v>155</v>
      </c>
      <c r="D371" s="945" t="s">
        <v>161</v>
      </c>
      <c r="G371" s="936" t="s">
        <v>1286</v>
      </c>
      <c r="H371" s="936" t="s">
        <v>2718</v>
      </c>
    </row>
    <row r="372" spans="1:8" ht="15">
      <c r="A372" s="169" t="s">
        <v>1046</v>
      </c>
      <c r="B372" s="169" t="s">
        <v>1045</v>
      </c>
      <c r="C372" s="945" t="s">
        <v>155</v>
      </c>
      <c r="D372" s="945" t="s">
        <v>161</v>
      </c>
      <c r="G372" s="936" t="s">
        <v>1206</v>
      </c>
      <c r="H372" s="936" t="s">
        <v>2597</v>
      </c>
    </row>
    <row r="373" spans="1:8" ht="15">
      <c r="A373" s="167" t="s">
        <v>337</v>
      </c>
      <c r="B373" s="166" t="s">
        <v>336</v>
      </c>
      <c r="C373" s="945" t="s">
        <v>155</v>
      </c>
      <c r="D373" s="945" t="s">
        <v>162</v>
      </c>
      <c r="G373" s="936" t="s">
        <v>1154</v>
      </c>
      <c r="H373" s="936" t="s">
        <v>2590</v>
      </c>
    </row>
    <row r="374" spans="1:8" ht="15">
      <c r="A374" s="168" t="s">
        <v>1048</v>
      </c>
      <c r="B374" s="169" t="s">
        <v>1047</v>
      </c>
      <c r="C374" s="945" t="s">
        <v>155</v>
      </c>
      <c r="D374" s="945" t="s">
        <v>162</v>
      </c>
      <c r="G374" s="936" t="s">
        <v>1237</v>
      </c>
      <c r="H374" s="936" t="s">
        <v>2661</v>
      </c>
    </row>
    <row r="375" spans="1:8" ht="15">
      <c r="A375" s="167" t="s">
        <v>531</v>
      </c>
      <c r="B375" s="166" t="s">
        <v>530</v>
      </c>
      <c r="C375" s="945" t="s">
        <v>155</v>
      </c>
      <c r="D375" s="945" t="s">
        <v>161</v>
      </c>
      <c r="G375" s="936" t="s">
        <v>1247</v>
      </c>
      <c r="H375" s="936" t="s">
        <v>2671</v>
      </c>
    </row>
    <row r="376" spans="1:8" ht="15">
      <c r="A376" s="168" t="s">
        <v>1050</v>
      </c>
      <c r="B376" s="169" t="s">
        <v>1049</v>
      </c>
      <c r="C376" s="945" t="s">
        <v>155</v>
      </c>
      <c r="D376" s="945" t="s">
        <v>161</v>
      </c>
      <c r="G376" s="936" t="s">
        <v>1308</v>
      </c>
      <c r="H376" s="936" t="s">
        <v>2693</v>
      </c>
    </row>
    <row r="377" spans="1:8" ht="15">
      <c r="A377" s="167" t="s">
        <v>1873</v>
      </c>
      <c r="B377" s="166" t="s">
        <v>1874</v>
      </c>
      <c r="C377" s="945" t="s">
        <v>1646</v>
      </c>
      <c r="D377" s="945" t="s">
        <v>167</v>
      </c>
      <c r="G377" s="936" t="s">
        <v>1333</v>
      </c>
      <c r="H377" s="936" t="s">
        <v>2675</v>
      </c>
    </row>
    <row r="378" spans="1:8" ht="15">
      <c r="A378" s="167" t="s">
        <v>415</v>
      </c>
      <c r="B378" s="166" t="s">
        <v>414</v>
      </c>
      <c r="C378" s="945" t="s">
        <v>175</v>
      </c>
      <c r="D378" s="945" t="s">
        <v>187</v>
      </c>
      <c r="G378" s="936" t="s">
        <v>936</v>
      </c>
      <c r="H378" s="936" t="s">
        <v>2460</v>
      </c>
    </row>
    <row r="379" spans="1:8" ht="15">
      <c r="A379" s="168" t="s">
        <v>1052</v>
      </c>
      <c r="B379" s="169" t="s">
        <v>1051</v>
      </c>
      <c r="C379" s="945" t="s">
        <v>155</v>
      </c>
      <c r="D379" s="945" t="s">
        <v>89</v>
      </c>
      <c r="G379" s="936" t="s">
        <v>1380</v>
      </c>
      <c r="H379" s="936" t="s">
        <v>2628</v>
      </c>
    </row>
    <row r="380" spans="1:8" ht="15">
      <c r="A380" s="167" t="s">
        <v>1879</v>
      </c>
      <c r="B380" s="166" t="s">
        <v>1880</v>
      </c>
      <c r="C380" s="945" t="s">
        <v>155</v>
      </c>
      <c r="D380" s="945" t="s">
        <v>1700</v>
      </c>
      <c r="G380" s="936" t="s">
        <v>1462</v>
      </c>
      <c r="H380" s="936" t="s">
        <v>2719</v>
      </c>
    </row>
    <row r="381" spans="1:8" ht="15">
      <c r="A381" s="167" t="s">
        <v>473</v>
      </c>
      <c r="B381" s="166" t="s">
        <v>472</v>
      </c>
      <c r="C381" s="945" t="s">
        <v>155</v>
      </c>
      <c r="D381" s="945" t="s">
        <v>167</v>
      </c>
      <c r="G381" s="936" t="s">
        <v>1290</v>
      </c>
      <c r="H381" s="936" t="s">
        <v>2610</v>
      </c>
    </row>
    <row r="382" spans="1:8" ht="15">
      <c r="A382" s="168" t="s">
        <v>1054</v>
      </c>
      <c r="B382" s="169" t="s">
        <v>1053</v>
      </c>
      <c r="C382" s="945" t="s">
        <v>155</v>
      </c>
      <c r="D382" s="945" t="s">
        <v>167</v>
      </c>
      <c r="G382" s="936" t="s">
        <v>1203</v>
      </c>
      <c r="H382" s="936" t="s">
        <v>2646</v>
      </c>
    </row>
    <row r="383" spans="1:8" ht="15">
      <c r="A383" s="167" t="s">
        <v>547</v>
      </c>
      <c r="B383" s="166" t="s">
        <v>546</v>
      </c>
      <c r="C383" s="945" t="s">
        <v>155</v>
      </c>
      <c r="D383" s="945" t="s">
        <v>167</v>
      </c>
      <c r="G383" s="936" t="s">
        <v>1393</v>
      </c>
      <c r="H383" s="936" t="s">
        <v>2615</v>
      </c>
    </row>
    <row r="384" spans="1:8" ht="15">
      <c r="A384" s="168" t="s">
        <v>1056</v>
      </c>
      <c r="B384" s="169" t="s">
        <v>1055</v>
      </c>
      <c r="C384" s="945" t="s">
        <v>155</v>
      </c>
      <c r="D384" s="945" t="s">
        <v>167</v>
      </c>
      <c r="G384" s="936" t="s">
        <v>1318</v>
      </c>
      <c r="H384" s="936" t="s">
        <v>2659</v>
      </c>
    </row>
    <row r="385" spans="1:8" ht="15">
      <c r="A385" s="167" t="s">
        <v>413</v>
      </c>
      <c r="B385" s="166" t="s">
        <v>412</v>
      </c>
      <c r="C385" s="945" t="s">
        <v>155</v>
      </c>
      <c r="D385" s="945" t="s">
        <v>167</v>
      </c>
      <c r="G385" s="936" t="s">
        <v>1403</v>
      </c>
      <c r="H385" s="936" t="s">
        <v>2738</v>
      </c>
    </row>
    <row r="386" spans="1:8" ht="15">
      <c r="A386" s="169" t="s">
        <v>1058</v>
      </c>
      <c r="B386" s="169" t="s">
        <v>1057</v>
      </c>
      <c r="C386" s="945" t="s">
        <v>155</v>
      </c>
      <c r="D386" s="945" t="s">
        <v>167</v>
      </c>
      <c r="G386" s="936" t="s">
        <v>1450</v>
      </c>
      <c r="H386" s="936" t="s">
        <v>2672</v>
      </c>
    </row>
    <row r="387" spans="1:8" ht="15">
      <c r="A387" s="167" t="s">
        <v>453</v>
      </c>
      <c r="B387" s="166" t="s">
        <v>452</v>
      </c>
      <c r="C387" s="945" t="s">
        <v>171</v>
      </c>
      <c r="D387" s="945" t="s">
        <v>172</v>
      </c>
      <c r="G387" s="936" t="s">
        <v>1374</v>
      </c>
      <c r="H387" s="936" t="s">
        <v>2709</v>
      </c>
    </row>
    <row r="388" spans="1:8" ht="15">
      <c r="A388" s="169" t="s">
        <v>1060</v>
      </c>
      <c r="B388" s="169" t="s">
        <v>1059</v>
      </c>
      <c r="C388" s="945" t="s">
        <v>171</v>
      </c>
      <c r="D388" s="945" t="s">
        <v>172</v>
      </c>
      <c r="G388" s="936" t="s">
        <v>1259</v>
      </c>
      <c r="H388" s="936" t="s">
        <v>2706</v>
      </c>
    </row>
    <row r="389" spans="1:8" ht="15">
      <c r="A389" s="167" t="s">
        <v>859</v>
      </c>
      <c r="B389" s="166" t="s">
        <v>858</v>
      </c>
      <c r="C389" s="945" t="s">
        <v>171</v>
      </c>
      <c r="D389" s="945" t="s">
        <v>172</v>
      </c>
      <c r="G389" s="936" t="s">
        <v>2619</v>
      </c>
      <c r="H389" s="936" t="s">
        <v>2766</v>
      </c>
    </row>
    <row r="390" spans="1:8" ht="15">
      <c r="A390" s="169" t="s">
        <v>1062</v>
      </c>
      <c r="B390" s="169" t="s">
        <v>1061</v>
      </c>
      <c r="C390" s="945" t="s">
        <v>171</v>
      </c>
      <c r="D390" s="945" t="s">
        <v>172</v>
      </c>
      <c r="G390" s="936" t="s">
        <v>1266</v>
      </c>
      <c r="H390" s="936" t="s">
        <v>2761</v>
      </c>
    </row>
    <row r="391" spans="1:8" ht="15">
      <c r="A391" s="167" t="s">
        <v>513</v>
      </c>
      <c r="B391" s="166" t="s">
        <v>512</v>
      </c>
      <c r="C391" s="945" t="s">
        <v>171</v>
      </c>
      <c r="D391" s="945" t="s">
        <v>172</v>
      </c>
      <c r="G391" s="936" t="s">
        <v>1249</v>
      </c>
      <c r="H391" s="936" t="s">
        <v>2800</v>
      </c>
    </row>
    <row r="392" spans="1:8" ht="15">
      <c r="A392" s="169" t="s">
        <v>1064</v>
      </c>
      <c r="B392" s="169" t="s">
        <v>1063</v>
      </c>
      <c r="C392" s="945" t="s">
        <v>171</v>
      </c>
      <c r="D392" s="945" t="s">
        <v>172</v>
      </c>
      <c r="G392" s="936" t="s">
        <v>1330</v>
      </c>
      <c r="H392" s="936" t="s">
        <v>2805</v>
      </c>
    </row>
    <row r="393" spans="1:8" ht="15">
      <c r="A393" s="167" t="s">
        <v>327</v>
      </c>
      <c r="B393" s="166" t="s">
        <v>326</v>
      </c>
      <c r="C393" s="945" t="s">
        <v>144</v>
      </c>
      <c r="D393" s="945" t="s">
        <v>146</v>
      </c>
      <c r="G393" s="936" t="s">
        <v>1448</v>
      </c>
      <c r="H393" s="936" t="s">
        <v>2788</v>
      </c>
    </row>
    <row r="394" spans="1:8" ht="15">
      <c r="A394" s="169" t="s">
        <v>1066</v>
      </c>
      <c r="B394" s="169" t="s">
        <v>1065</v>
      </c>
      <c r="C394" s="945" t="s">
        <v>144</v>
      </c>
      <c r="D394" s="945" t="s">
        <v>146</v>
      </c>
      <c r="G394" s="936" t="s">
        <v>1252</v>
      </c>
      <c r="H394" s="936" t="s">
        <v>2727</v>
      </c>
    </row>
    <row r="395" spans="1:8" ht="15">
      <c r="A395" s="167" t="s">
        <v>1789</v>
      </c>
      <c r="B395" s="166" t="s">
        <v>1790</v>
      </c>
      <c r="C395" s="945" t="s">
        <v>144</v>
      </c>
      <c r="D395" s="945" t="s">
        <v>146</v>
      </c>
      <c r="G395" s="936" t="s">
        <v>1283</v>
      </c>
      <c r="H395" s="936" t="s">
        <v>2774</v>
      </c>
    </row>
    <row r="396" spans="1:8" ht="15">
      <c r="A396" s="169" t="s">
        <v>1068</v>
      </c>
      <c r="B396" s="169" t="s">
        <v>1067</v>
      </c>
      <c r="C396" s="945" t="s">
        <v>144</v>
      </c>
      <c r="D396" s="945" t="s">
        <v>146</v>
      </c>
      <c r="G396" s="936" t="s">
        <v>1220</v>
      </c>
      <c r="H396" s="936" t="s">
        <v>2603</v>
      </c>
    </row>
    <row r="397" spans="1:8" ht="15">
      <c r="A397" s="167" t="s">
        <v>321</v>
      </c>
      <c r="B397" s="166" t="s">
        <v>320</v>
      </c>
      <c r="C397" s="945" t="s">
        <v>144</v>
      </c>
      <c r="D397" s="945" t="s">
        <v>146</v>
      </c>
      <c r="G397" s="936" t="s">
        <v>1305</v>
      </c>
      <c r="H397" s="936" t="s">
        <v>2737</v>
      </c>
    </row>
    <row r="398" spans="1:8" ht="15">
      <c r="A398" s="169" t="s">
        <v>1070</v>
      </c>
      <c r="B398" s="169" t="s">
        <v>1069</v>
      </c>
      <c r="C398" s="945" t="s">
        <v>144</v>
      </c>
      <c r="D398" s="945" t="s">
        <v>146</v>
      </c>
      <c r="G398" s="936" t="s">
        <v>2360</v>
      </c>
      <c r="H398" s="936" t="s">
        <v>2361</v>
      </c>
    </row>
    <row r="399" spans="1:8" ht="15">
      <c r="A399" s="167" t="s">
        <v>1792</v>
      </c>
      <c r="B399" s="166" t="s">
        <v>1793</v>
      </c>
      <c r="C399" s="945" t="s">
        <v>144</v>
      </c>
      <c r="D399" s="945" t="s">
        <v>146</v>
      </c>
      <c r="G399" s="936" t="s">
        <v>1178</v>
      </c>
      <c r="H399" s="936" t="s">
        <v>2461</v>
      </c>
    </row>
    <row r="400" spans="1:8" ht="15">
      <c r="A400" s="167" t="s">
        <v>861</v>
      </c>
      <c r="B400" s="166" t="s">
        <v>860</v>
      </c>
      <c r="C400" s="945" t="s">
        <v>144</v>
      </c>
      <c r="D400" s="945" t="s">
        <v>146</v>
      </c>
      <c r="G400" s="936" t="s">
        <v>1157</v>
      </c>
      <c r="H400" s="936" t="s">
        <v>2650</v>
      </c>
    </row>
    <row r="401" spans="1:8" ht="15">
      <c r="A401" s="169" t="s">
        <v>1072</v>
      </c>
      <c r="B401" s="169" t="s">
        <v>1071</v>
      </c>
      <c r="C401" s="945" t="s">
        <v>144</v>
      </c>
      <c r="D401" s="945" t="s">
        <v>146</v>
      </c>
      <c r="G401" s="936" t="s">
        <v>932</v>
      </c>
      <c r="H401" s="936" t="s">
        <v>2155</v>
      </c>
    </row>
    <row r="402" spans="1:8" ht="15">
      <c r="A402" s="167" t="s">
        <v>357</v>
      </c>
      <c r="B402" s="166" t="s">
        <v>356</v>
      </c>
      <c r="C402" s="945" t="s">
        <v>144</v>
      </c>
      <c r="D402" s="945" t="s">
        <v>146</v>
      </c>
      <c r="G402" s="936" t="s">
        <v>934</v>
      </c>
      <c r="H402" s="936" t="s">
        <v>2567</v>
      </c>
    </row>
    <row r="403" spans="1:8" ht="15">
      <c r="A403" s="169" t="s">
        <v>1074</v>
      </c>
      <c r="B403" s="169" t="s">
        <v>1073</v>
      </c>
      <c r="C403" s="945" t="s">
        <v>144</v>
      </c>
      <c r="D403" s="945" t="s">
        <v>146</v>
      </c>
      <c r="G403" s="936" t="s">
        <v>1527</v>
      </c>
      <c r="H403" s="936" t="s">
        <v>2796</v>
      </c>
    </row>
    <row r="404" spans="1:8" ht="15">
      <c r="A404" s="167" t="s">
        <v>329</v>
      </c>
      <c r="B404" s="166" t="s">
        <v>328</v>
      </c>
      <c r="C404" s="945" t="s">
        <v>144</v>
      </c>
      <c r="D404" s="945" t="s">
        <v>146</v>
      </c>
      <c r="G404" s="936" t="s">
        <v>1180</v>
      </c>
      <c r="H404" s="936" t="s">
        <v>2604</v>
      </c>
    </row>
    <row r="405" spans="1:8" ht="15">
      <c r="A405" s="169" t="s">
        <v>1076</v>
      </c>
      <c r="B405" s="169" t="s">
        <v>1075</v>
      </c>
      <c r="C405" s="945" t="s">
        <v>144</v>
      </c>
      <c r="D405" s="945" t="s">
        <v>146</v>
      </c>
      <c r="G405" s="936" t="s">
        <v>1286</v>
      </c>
      <c r="H405" s="936" t="s">
        <v>2740</v>
      </c>
    </row>
    <row r="406" spans="1:8" ht="15">
      <c r="A406" s="167" t="s">
        <v>299</v>
      </c>
      <c r="B406" s="166" t="s">
        <v>298</v>
      </c>
      <c r="C406" s="945" t="s">
        <v>144</v>
      </c>
      <c r="D406" s="945" t="s">
        <v>146</v>
      </c>
      <c r="G406" s="936" t="s">
        <v>1206</v>
      </c>
      <c r="H406" s="936" t="s">
        <v>2639</v>
      </c>
    </row>
    <row r="407" spans="1:8" ht="15">
      <c r="A407" s="169" t="s">
        <v>1078</v>
      </c>
      <c r="B407" s="169" t="s">
        <v>1077</v>
      </c>
      <c r="C407" s="945" t="s">
        <v>144</v>
      </c>
      <c r="D407" s="945" t="s">
        <v>146</v>
      </c>
      <c r="G407" s="936" t="s">
        <v>1154</v>
      </c>
      <c r="H407" s="936" t="s">
        <v>2640</v>
      </c>
    </row>
    <row r="408" spans="1:8" ht="15">
      <c r="A408" s="167" t="s">
        <v>1797</v>
      </c>
      <c r="B408" s="166" t="s">
        <v>1798</v>
      </c>
      <c r="C408" s="945" t="s">
        <v>144</v>
      </c>
      <c r="D408" s="945" t="s">
        <v>146</v>
      </c>
      <c r="G408" s="936" t="s">
        <v>1237</v>
      </c>
      <c r="H408" s="936" t="s">
        <v>2695</v>
      </c>
    </row>
    <row r="409" spans="1:8" ht="15">
      <c r="A409" s="167" t="s">
        <v>403</v>
      </c>
      <c r="B409" s="166" t="s">
        <v>402</v>
      </c>
      <c r="C409" s="945" t="s">
        <v>144</v>
      </c>
      <c r="D409" s="945" t="s">
        <v>146</v>
      </c>
      <c r="G409" s="936" t="s">
        <v>1292</v>
      </c>
      <c r="H409" s="936" t="s">
        <v>2651</v>
      </c>
    </row>
    <row r="410" spans="1:8" ht="15">
      <c r="A410" s="169" t="s">
        <v>1080</v>
      </c>
      <c r="B410" s="169" t="s">
        <v>1079</v>
      </c>
      <c r="C410" s="945" t="s">
        <v>144</v>
      </c>
      <c r="D410" s="945" t="s">
        <v>146</v>
      </c>
      <c r="G410" s="936" t="s">
        <v>1308</v>
      </c>
      <c r="H410" s="936" t="s">
        <v>2731</v>
      </c>
    </row>
    <row r="411" spans="1:8" ht="15">
      <c r="A411" s="167" t="s">
        <v>863</v>
      </c>
      <c r="B411" s="166" t="s">
        <v>862</v>
      </c>
      <c r="C411" s="945" t="s">
        <v>144</v>
      </c>
      <c r="D411" s="945" t="s">
        <v>146</v>
      </c>
      <c r="G411" s="936" t="s">
        <v>1333</v>
      </c>
      <c r="H411" s="936" t="s">
        <v>2711</v>
      </c>
    </row>
    <row r="412" spans="1:8" ht="15">
      <c r="A412" s="169" t="s">
        <v>1082</v>
      </c>
      <c r="B412" s="169" t="s">
        <v>1081</v>
      </c>
      <c r="C412" s="945" t="s">
        <v>144</v>
      </c>
      <c r="D412" s="945" t="s">
        <v>146</v>
      </c>
      <c r="G412" s="936" t="s">
        <v>936</v>
      </c>
      <c r="H412" s="936" t="s">
        <v>2602</v>
      </c>
    </row>
    <row r="413" spans="1:8" ht="15">
      <c r="A413" s="167" t="s">
        <v>1802</v>
      </c>
      <c r="B413" s="166" t="s">
        <v>1803</v>
      </c>
      <c r="C413" s="945" t="s">
        <v>144</v>
      </c>
      <c r="D413" s="945" t="s">
        <v>146</v>
      </c>
      <c r="G413" s="936" t="s">
        <v>1168</v>
      </c>
      <c r="H413" s="936" t="s">
        <v>2633</v>
      </c>
    </row>
    <row r="414" spans="1:8" ht="15">
      <c r="A414" s="167" t="s">
        <v>1807</v>
      </c>
      <c r="B414" s="166" t="s">
        <v>1808</v>
      </c>
      <c r="C414" s="945" t="s">
        <v>144</v>
      </c>
      <c r="D414" s="945" t="s">
        <v>146</v>
      </c>
      <c r="G414" s="936" t="s">
        <v>1311</v>
      </c>
      <c r="H414" s="936" t="s">
        <v>2665</v>
      </c>
    </row>
    <row r="415" spans="1:8" ht="15">
      <c r="A415" s="167" t="s">
        <v>865</v>
      </c>
      <c r="B415" s="166" t="s">
        <v>864</v>
      </c>
      <c r="C415" s="945" t="s">
        <v>144</v>
      </c>
      <c r="D415" s="945" t="s">
        <v>146</v>
      </c>
      <c r="G415" s="936" t="s">
        <v>1452</v>
      </c>
      <c r="H415" s="936" t="s">
        <v>2751</v>
      </c>
    </row>
    <row r="416" spans="1:8" ht="15">
      <c r="A416" s="169" t="s">
        <v>1084</v>
      </c>
      <c r="B416" s="169" t="s">
        <v>1083</v>
      </c>
      <c r="C416" s="945" t="s">
        <v>144</v>
      </c>
      <c r="D416" s="945" t="s">
        <v>146</v>
      </c>
      <c r="G416" s="936" t="s">
        <v>1347</v>
      </c>
      <c r="H416" s="936" t="s">
        <v>2652</v>
      </c>
    </row>
    <row r="417" spans="1:8" ht="15">
      <c r="A417" s="167" t="s">
        <v>1812</v>
      </c>
      <c r="B417" s="166" t="s">
        <v>1813</v>
      </c>
      <c r="C417" s="945" t="s">
        <v>144</v>
      </c>
      <c r="D417" s="945" t="s">
        <v>146</v>
      </c>
      <c r="G417" s="936" t="s">
        <v>1340</v>
      </c>
      <c r="H417" s="936" t="s">
        <v>2676</v>
      </c>
    </row>
    <row r="418" spans="1:8" ht="15">
      <c r="A418" s="167" t="s">
        <v>1210</v>
      </c>
      <c r="B418" s="166" t="s">
        <v>1209</v>
      </c>
      <c r="C418" s="945" t="s">
        <v>144</v>
      </c>
      <c r="D418" s="945" t="s">
        <v>146</v>
      </c>
      <c r="G418" s="936" t="s">
        <v>1274</v>
      </c>
      <c r="H418" s="936" t="s">
        <v>2658</v>
      </c>
    </row>
    <row r="419" spans="1:8" ht="15">
      <c r="A419" s="167" t="s">
        <v>867</v>
      </c>
      <c r="B419" s="166" t="s">
        <v>866</v>
      </c>
      <c r="C419" s="945" t="s">
        <v>144</v>
      </c>
      <c r="D419" s="945" t="s">
        <v>147</v>
      </c>
      <c r="G419" s="936" t="s">
        <v>1367</v>
      </c>
      <c r="H419" s="936" t="s">
        <v>2694</v>
      </c>
    </row>
    <row r="420" spans="1:8" ht="15">
      <c r="A420" s="169" t="s">
        <v>1086</v>
      </c>
      <c r="B420" s="169" t="s">
        <v>1085</v>
      </c>
      <c r="C420" s="945" t="s">
        <v>144</v>
      </c>
      <c r="D420" s="945" t="s">
        <v>147</v>
      </c>
      <c r="G420" s="936" t="s">
        <v>399</v>
      </c>
      <c r="H420" s="936" t="s">
        <v>2622</v>
      </c>
    </row>
    <row r="421" spans="1:8" ht="15">
      <c r="A421" s="167" t="s">
        <v>1747</v>
      </c>
      <c r="B421" s="166" t="s">
        <v>1748</v>
      </c>
      <c r="C421" s="945" t="s">
        <v>144</v>
      </c>
      <c r="D421" s="945" t="s">
        <v>147</v>
      </c>
      <c r="G421" s="936" t="s">
        <v>2363</v>
      </c>
      <c r="H421" s="936" t="s">
        <v>2364</v>
      </c>
    </row>
    <row r="422" spans="1:8" ht="15">
      <c r="A422" s="167" t="s">
        <v>869</v>
      </c>
      <c r="B422" s="166" t="s">
        <v>868</v>
      </c>
      <c r="C422" s="945" t="s">
        <v>144</v>
      </c>
      <c r="D422" s="945" t="s">
        <v>147</v>
      </c>
      <c r="G422" s="936" t="s">
        <v>1374</v>
      </c>
      <c r="H422" s="936" t="s">
        <v>2554</v>
      </c>
    </row>
    <row r="423" spans="1:8" ht="15">
      <c r="A423" s="168" t="s">
        <v>1088</v>
      </c>
      <c r="B423" s="169" t="s">
        <v>1087</v>
      </c>
      <c r="C423" s="945" t="s">
        <v>144</v>
      </c>
      <c r="D423" s="945" t="s">
        <v>147</v>
      </c>
      <c r="G423" s="936" t="s">
        <v>2365</v>
      </c>
      <c r="H423" s="936" t="s">
        <v>2366</v>
      </c>
    </row>
    <row r="424" spans="1:8" ht="15">
      <c r="A424" s="167" t="s">
        <v>1751</v>
      </c>
      <c r="B424" s="166" t="s">
        <v>1752</v>
      </c>
      <c r="C424" s="945" t="s">
        <v>144</v>
      </c>
      <c r="D424" s="945" t="s">
        <v>147</v>
      </c>
      <c r="G424" s="936" t="s">
        <v>1259</v>
      </c>
      <c r="H424" s="936" t="s">
        <v>2642</v>
      </c>
    </row>
    <row r="425" spans="1:8" ht="15">
      <c r="A425" s="167" t="s">
        <v>1755</v>
      </c>
      <c r="B425" s="166" t="s">
        <v>1756</v>
      </c>
      <c r="C425" s="945" t="s">
        <v>144</v>
      </c>
      <c r="D425" s="945" t="s">
        <v>147</v>
      </c>
      <c r="G425" s="936" t="s">
        <v>2619</v>
      </c>
      <c r="H425" s="936" t="s">
        <v>2620</v>
      </c>
    </row>
    <row r="426" spans="1:8" ht="15">
      <c r="A426" s="167" t="s">
        <v>1759</v>
      </c>
      <c r="B426" s="166" t="s">
        <v>1760</v>
      </c>
      <c r="C426" s="945" t="s">
        <v>144</v>
      </c>
      <c r="D426" s="945" t="s">
        <v>147</v>
      </c>
      <c r="G426" s="936" t="s">
        <v>1266</v>
      </c>
      <c r="H426" s="936" t="s">
        <v>2673</v>
      </c>
    </row>
    <row r="427" spans="1:8" ht="15">
      <c r="A427" s="167" t="s">
        <v>1763</v>
      </c>
      <c r="B427" s="166" t="s">
        <v>1764</v>
      </c>
      <c r="C427" s="945" t="s">
        <v>144</v>
      </c>
      <c r="D427" s="945" t="s">
        <v>147</v>
      </c>
      <c r="G427" s="936" t="s">
        <v>1249</v>
      </c>
      <c r="H427" s="936" t="s">
        <v>2729</v>
      </c>
    </row>
    <row r="428" spans="1:8" ht="15">
      <c r="A428" s="167" t="s">
        <v>426</v>
      </c>
      <c r="B428" s="166" t="s">
        <v>425</v>
      </c>
      <c r="C428" s="945" t="s">
        <v>144</v>
      </c>
      <c r="D428" s="945" t="s">
        <v>147</v>
      </c>
      <c r="G428" s="936" t="s">
        <v>1330</v>
      </c>
      <c r="H428" s="936" t="s">
        <v>2715</v>
      </c>
    </row>
    <row r="429" spans="1:8" ht="15">
      <c r="A429" s="168" t="s">
        <v>1090</v>
      </c>
      <c r="B429" s="169" t="s">
        <v>1089</v>
      </c>
      <c r="C429" s="945" t="s">
        <v>144</v>
      </c>
      <c r="D429" s="945" t="s">
        <v>147</v>
      </c>
      <c r="G429" s="936" t="s">
        <v>1211</v>
      </c>
      <c r="H429" s="936" t="s">
        <v>2635</v>
      </c>
    </row>
    <row r="430" spans="1:8" ht="15">
      <c r="A430" s="167" t="s">
        <v>1767</v>
      </c>
      <c r="B430" s="166" t="s">
        <v>1768</v>
      </c>
      <c r="C430" s="945" t="s">
        <v>144</v>
      </c>
      <c r="D430" s="945" t="s">
        <v>147</v>
      </c>
      <c r="G430" s="936" t="s">
        <v>1252</v>
      </c>
      <c r="H430" s="936" t="s">
        <v>2580</v>
      </c>
    </row>
    <row r="431" spans="1:8" ht="15">
      <c r="A431" s="167" t="s">
        <v>1771</v>
      </c>
      <c r="B431" s="166" t="s">
        <v>1772</v>
      </c>
      <c r="C431" s="945" t="s">
        <v>144</v>
      </c>
      <c r="D431" s="945" t="s">
        <v>147</v>
      </c>
      <c r="G431" s="936" t="s">
        <v>1283</v>
      </c>
      <c r="H431" s="936" t="s">
        <v>2679</v>
      </c>
    </row>
    <row r="432" spans="1:8" ht="15">
      <c r="A432" s="167" t="s">
        <v>1775</v>
      </c>
      <c r="B432" s="166" t="s">
        <v>1776</v>
      </c>
      <c r="C432" s="945" t="s">
        <v>144</v>
      </c>
      <c r="D432" s="945" t="s">
        <v>147</v>
      </c>
      <c r="G432" s="936" t="s">
        <v>1305</v>
      </c>
      <c r="H432" s="936" t="s">
        <v>2688</v>
      </c>
    </row>
    <row r="433" spans="1:8" ht="15">
      <c r="A433" s="167" t="s">
        <v>1779</v>
      </c>
      <c r="B433" s="166" t="s">
        <v>1780</v>
      </c>
      <c r="C433" s="945" t="s">
        <v>144</v>
      </c>
      <c r="D433" s="945" t="s">
        <v>147</v>
      </c>
      <c r="G433" s="936" t="s">
        <v>2367</v>
      </c>
      <c r="H433" s="936" t="s">
        <v>2368</v>
      </c>
    </row>
    <row r="434" spans="1:8" ht="15">
      <c r="A434" s="167" t="s">
        <v>871</v>
      </c>
      <c r="B434" s="166" t="s">
        <v>870</v>
      </c>
      <c r="C434" s="945" t="s">
        <v>144</v>
      </c>
      <c r="D434" s="945" t="s">
        <v>147</v>
      </c>
      <c r="G434" s="936" t="s">
        <v>1157</v>
      </c>
      <c r="H434" s="936" t="s">
        <v>2557</v>
      </c>
    </row>
    <row r="435" spans="1:8" ht="15">
      <c r="A435" s="168" t="s">
        <v>1092</v>
      </c>
      <c r="B435" s="169" t="s">
        <v>1091</v>
      </c>
      <c r="C435" s="945" t="s">
        <v>144</v>
      </c>
      <c r="D435" s="945" t="s">
        <v>147</v>
      </c>
      <c r="G435" s="936" t="s">
        <v>1196</v>
      </c>
      <c r="H435" s="936" t="s">
        <v>2463</v>
      </c>
    </row>
    <row r="436" spans="1:8" ht="15">
      <c r="A436" s="167" t="s">
        <v>1783</v>
      </c>
      <c r="B436" s="166" t="s">
        <v>1784</v>
      </c>
      <c r="C436" s="945" t="s">
        <v>144</v>
      </c>
      <c r="D436" s="945" t="s">
        <v>147</v>
      </c>
      <c r="G436" s="936" t="s">
        <v>934</v>
      </c>
      <c r="H436" s="936" t="s">
        <v>2555</v>
      </c>
    </row>
    <row r="437" spans="1:8" ht="15">
      <c r="A437" s="167" t="s">
        <v>1150</v>
      </c>
      <c r="B437" s="166" t="s">
        <v>1149</v>
      </c>
      <c r="C437" s="945" t="s">
        <v>144</v>
      </c>
      <c r="D437" s="945" t="s">
        <v>147</v>
      </c>
      <c r="G437" s="936" t="s">
        <v>1186</v>
      </c>
      <c r="H437" s="936" t="s">
        <v>2649</v>
      </c>
    </row>
    <row r="438" spans="1:8" ht="15">
      <c r="A438" s="168" t="s">
        <v>309</v>
      </c>
      <c r="B438" s="169" t="s">
        <v>308</v>
      </c>
      <c r="C438" s="945" t="s">
        <v>144</v>
      </c>
      <c r="D438" s="945" t="s">
        <v>146</v>
      </c>
      <c r="G438" s="936" t="s">
        <v>1180</v>
      </c>
      <c r="H438" s="936" t="s">
        <v>2575</v>
      </c>
    </row>
    <row r="439" spans="1:8" ht="15">
      <c r="A439" s="168" t="s">
        <v>1094</v>
      </c>
      <c r="B439" s="169" t="s">
        <v>1093</v>
      </c>
      <c r="C439" s="945" t="s">
        <v>144</v>
      </c>
      <c r="D439" s="945" t="s">
        <v>146</v>
      </c>
      <c r="G439" s="936" t="s">
        <v>2369</v>
      </c>
      <c r="H439" s="936" t="s">
        <v>2370</v>
      </c>
    </row>
    <row r="440" spans="1:8" ht="15">
      <c r="A440" s="167" t="s">
        <v>873</v>
      </c>
      <c r="B440" s="166" t="s">
        <v>872</v>
      </c>
      <c r="C440" s="945" t="s">
        <v>144</v>
      </c>
      <c r="D440" s="945" t="s">
        <v>146</v>
      </c>
      <c r="G440" s="936" t="s">
        <v>1286</v>
      </c>
      <c r="H440" s="936" t="s">
        <v>2696</v>
      </c>
    </row>
    <row r="441" spans="1:8" ht="15">
      <c r="A441" s="168" t="s">
        <v>1096</v>
      </c>
      <c r="B441" s="169" t="s">
        <v>1095</v>
      </c>
      <c r="C441" s="945" t="s">
        <v>144</v>
      </c>
      <c r="D441" s="945" t="s">
        <v>146</v>
      </c>
      <c r="G441" s="936" t="s">
        <v>1206</v>
      </c>
      <c r="H441" s="936" t="s">
        <v>2582</v>
      </c>
    </row>
    <row r="442" spans="1:8" ht="15">
      <c r="A442" s="167" t="s">
        <v>875</v>
      </c>
      <c r="B442" s="166" t="s">
        <v>874</v>
      </c>
      <c r="C442" s="945" t="s">
        <v>144</v>
      </c>
      <c r="D442" s="945" t="s">
        <v>147</v>
      </c>
      <c r="G442" s="936" t="s">
        <v>1154</v>
      </c>
      <c r="H442" s="936" t="s">
        <v>2586</v>
      </c>
    </row>
    <row r="443" spans="1:8" ht="15">
      <c r="A443" s="168" t="s">
        <v>1098</v>
      </c>
      <c r="B443" s="169" t="s">
        <v>1097</v>
      </c>
      <c r="C443" s="945" t="s">
        <v>144</v>
      </c>
      <c r="D443" s="945" t="s">
        <v>147</v>
      </c>
      <c r="G443" s="936" t="s">
        <v>1237</v>
      </c>
      <c r="H443" s="936" t="s">
        <v>2631</v>
      </c>
    </row>
    <row r="444" spans="1:8" ht="15">
      <c r="A444" s="168" t="s">
        <v>364</v>
      </c>
      <c r="B444" s="169" t="s">
        <v>363</v>
      </c>
      <c r="C444" s="945" t="s">
        <v>144</v>
      </c>
      <c r="D444" s="945" t="s">
        <v>147</v>
      </c>
      <c r="G444" s="936" t="s">
        <v>1217</v>
      </c>
      <c r="H444" s="936" t="s">
        <v>2464</v>
      </c>
    </row>
    <row r="445" spans="1:8" ht="15">
      <c r="A445" s="168" t="s">
        <v>1100</v>
      </c>
      <c r="B445" s="169" t="s">
        <v>1099</v>
      </c>
      <c r="C445" s="945" t="s">
        <v>144</v>
      </c>
      <c r="D445" s="945" t="s">
        <v>147</v>
      </c>
      <c r="G445" s="936" t="s">
        <v>1308</v>
      </c>
      <c r="H445" s="936" t="s">
        <v>2656</v>
      </c>
    </row>
    <row r="446" spans="1:8" ht="15">
      <c r="A446" s="167" t="s">
        <v>335</v>
      </c>
      <c r="B446" s="166" t="s">
        <v>334</v>
      </c>
      <c r="C446" s="945" t="s">
        <v>175</v>
      </c>
      <c r="D446" s="945" t="s">
        <v>177</v>
      </c>
      <c r="G446" s="936" t="s">
        <v>1333</v>
      </c>
      <c r="H446" s="936" t="s">
        <v>2647</v>
      </c>
    </row>
    <row r="447" spans="1:8" ht="15">
      <c r="A447" s="168" t="s">
        <v>1102</v>
      </c>
      <c r="B447" s="169" t="s">
        <v>1101</v>
      </c>
      <c r="C447" s="945" t="s">
        <v>175</v>
      </c>
      <c r="D447" s="945" t="s">
        <v>89</v>
      </c>
      <c r="G447" s="936" t="s">
        <v>936</v>
      </c>
      <c r="H447" s="936" t="s">
        <v>2466</v>
      </c>
    </row>
    <row r="448" spans="1:8" ht="15">
      <c r="A448" s="169" t="s">
        <v>524</v>
      </c>
      <c r="B448" s="169" t="s">
        <v>523</v>
      </c>
      <c r="C448" s="945"/>
      <c r="D448" s="945"/>
      <c r="G448" s="936" t="s">
        <v>2371</v>
      </c>
      <c r="H448" s="936" t="s">
        <v>2372</v>
      </c>
    </row>
    <row r="449" spans="1:8" ht="15">
      <c r="A449" s="167" t="s">
        <v>323</v>
      </c>
      <c r="B449" s="166" t="s">
        <v>322</v>
      </c>
      <c r="C449" s="945" t="s">
        <v>175</v>
      </c>
      <c r="D449" s="945" t="s">
        <v>179</v>
      </c>
      <c r="G449" s="936" t="s">
        <v>1244</v>
      </c>
      <c r="H449" s="936" t="s">
        <v>2598</v>
      </c>
    </row>
    <row r="450" spans="1:8" ht="15">
      <c r="A450" s="168" t="s">
        <v>1104</v>
      </c>
      <c r="B450" s="169" t="s">
        <v>1103</v>
      </c>
      <c r="C450" s="945" t="s">
        <v>175</v>
      </c>
      <c r="D450" s="945" t="s">
        <v>179</v>
      </c>
      <c r="G450" s="936" t="s">
        <v>1398</v>
      </c>
      <c r="H450" s="936" t="s">
        <v>2703</v>
      </c>
    </row>
    <row r="451" spans="1:8" ht="15">
      <c r="A451" s="166" t="s">
        <v>550</v>
      </c>
      <c r="B451" s="166" t="s">
        <v>523</v>
      </c>
      <c r="C451" s="945"/>
      <c r="D451" s="945"/>
      <c r="G451" s="936" t="s">
        <v>1255</v>
      </c>
      <c r="H451" s="936" t="s">
        <v>2588</v>
      </c>
    </row>
    <row r="452" spans="1:8" ht="15">
      <c r="A452" s="166" t="s">
        <v>344</v>
      </c>
      <c r="B452" s="166" t="s">
        <v>343</v>
      </c>
      <c r="C452" s="945" t="s">
        <v>175</v>
      </c>
      <c r="D452" s="945" t="s">
        <v>180</v>
      </c>
      <c r="G452" s="936" t="s">
        <v>1264</v>
      </c>
      <c r="H452" s="936" t="s">
        <v>2608</v>
      </c>
    </row>
    <row r="453" spans="1:8" ht="15">
      <c r="A453" s="168" t="s">
        <v>1106</v>
      </c>
      <c r="B453" s="169" t="s">
        <v>1105</v>
      </c>
      <c r="C453" s="945" t="s">
        <v>175</v>
      </c>
      <c r="D453" s="945" t="s">
        <v>180</v>
      </c>
      <c r="G453" s="936" t="s">
        <v>1225</v>
      </c>
      <c r="H453" s="936" t="s">
        <v>2591</v>
      </c>
    </row>
    <row r="454" spans="1:8" ht="15">
      <c r="A454" s="168" t="s">
        <v>529</v>
      </c>
      <c r="B454" s="169" t="s">
        <v>523</v>
      </c>
      <c r="C454" s="945"/>
      <c r="D454" s="945"/>
      <c r="G454" s="936" t="s">
        <v>1271</v>
      </c>
      <c r="H454" s="936" t="s">
        <v>2629</v>
      </c>
    </row>
    <row r="455" spans="1:8" ht="15">
      <c r="A455" s="166" t="s">
        <v>545</v>
      </c>
      <c r="B455" s="166" t="s">
        <v>544</v>
      </c>
      <c r="C455" s="945" t="s">
        <v>175</v>
      </c>
      <c r="D455" s="945" t="s">
        <v>179</v>
      </c>
      <c r="G455" s="936" t="s">
        <v>2373</v>
      </c>
      <c r="H455" s="936" t="s">
        <v>2374</v>
      </c>
    </row>
    <row r="456" spans="1:8" ht="15">
      <c r="A456" s="168" t="s">
        <v>1108</v>
      </c>
      <c r="B456" s="169" t="s">
        <v>1107</v>
      </c>
      <c r="C456" s="945" t="s">
        <v>175</v>
      </c>
      <c r="D456" s="945" t="s">
        <v>179</v>
      </c>
      <c r="G456" s="936" t="s">
        <v>2375</v>
      </c>
      <c r="H456" s="936" t="s">
        <v>2376</v>
      </c>
    </row>
    <row r="457" spans="1:8" ht="15">
      <c r="A457" s="167" t="s">
        <v>465</v>
      </c>
      <c r="B457" s="166" t="s">
        <v>464</v>
      </c>
      <c r="C457" s="945" t="s">
        <v>175</v>
      </c>
      <c r="D457" s="945" t="s">
        <v>177</v>
      </c>
      <c r="G457" s="936" t="s">
        <v>2377</v>
      </c>
      <c r="H457" s="936" t="s">
        <v>2378</v>
      </c>
    </row>
    <row r="458" spans="1:8" ht="15">
      <c r="A458" s="167" t="s">
        <v>483</v>
      </c>
      <c r="B458" s="166" t="s">
        <v>482</v>
      </c>
      <c r="C458" s="945" t="s">
        <v>175</v>
      </c>
      <c r="D458" s="945" t="s">
        <v>189</v>
      </c>
      <c r="G458" s="936" t="s">
        <v>2379</v>
      </c>
      <c r="H458" s="936" t="s">
        <v>2380</v>
      </c>
    </row>
    <row r="459" spans="1:8" ht="15">
      <c r="A459" s="168" t="s">
        <v>1110</v>
      </c>
      <c r="B459" s="169" t="s">
        <v>1109</v>
      </c>
      <c r="C459" s="945" t="s">
        <v>1646</v>
      </c>
      <c r="D459" s="945" t="s">
        <v>89</v>
      </c>
      <c r="G459" s="936" t="s">
        <v>399</v>
      </c>
      <c r="H459" s="936" t="s">
        <v>2467</v>
      </c>
    </row>
    <row r="460" spans="1:8" ht="15">
      <c r="A460" s="167" t="s">
        <v>1877</v>
      </c>
      <c r="B460" s="166" t="s">
        <v>1878</v>
      </c>
      <c r="C460" s="945" t="s">
        <v>1646</v>
      </c>
      <c r="D460" s="945" t="s">
        <v>178</v>
      </c>
      <c r="G460" s="936" t="s">
        <v>1391</v>
      </c>
      <c r="H460" s="936" t="s">
        <v>2468</v>
      </c>
    </row>
    <row r="461" spans="1:8" ht="15">
      <c r="A461" s="166" t="s">
        <v>467</v>
      </c>
      <c r="B461" s="166" t="s">
        <v>466</v>
      </c>
      <c r="C461" s="945" t="s">
        <v>175</v>
      </c>
      <c r="D461" s="945" t="s">
        <v>178</v>
      </c>
      <c r="G461" s="936" t="s">
        <v>1374</v>
      </c>
      <c r="H461" s="936" t="s">
        <v>2670</v>
      </c>
    </row>
    <row r="462" spans="1:8" ht="15">
      <c r="A462" s="168" t="s">
        <v>1112</v>
      </c>
      <c r="B462" s="169" t="s">
        <v>1111</v>
      </c>
      <c r="C462" s="945" t="s">
        <v>175</v>
      </c>
      <c r="D462" s="945" t="s">
        <v>89</v>
      </c>
      <c r="G462" s="936" t="s">
        <v>1357</v>
      </c>
      <c r="H462" s="936" t="s">
        <v>2710</v>
      </c>
    </row>
    <row r="463" spans="1:8" ht="15">
      <c r="A463" s="166" t="s">
        <v>877</v>
      </c>
      <c r="B463" s="166" t="s">
        <v>876</v>
      </c>
      <c r="C463" s="945" t="s">
        <v>175</v>
      </c>
      <c r="D463" s="945" t="s">
        <v>178</v>
      </c>
      <c r="G463" s="936" t="s">
        <v>2619</v>
      </c>
      <c r="H463" s="936" t="s">
        <v>2760</v>
      </c>
    </row>
    <row r="464" spans="1:8" ht="15">
      <c r="A464" s="168" t="s">
        <v>1114</v>
      </c>
      <c r="B464" s="169" t="s">
        <v>1113</v>
      </c>
      <c r="C464" s="945" t="s">
        <v>175</v>
      </c>
      <c r="D464" s="945" t="s">
        <v>89</v>
      </c>
      <c r="G464" s="936" t="s">
        <v>1342</v>
      </c>
      <c r="H464" s="936" t="s">
        <v>2726</v>
      </c>
    </row>
    <row r="465" spans="1:8" ht="15">
      <c r="A465" s="167" t="s">
        <v>522</v>
      </c>
      <c r="B465" s="166" t="s">
        <v>521</v>
      </c>
      <c r="C465" s="945" t="s">
        <v>175</v>
      </c>
      <c r="D465" s="945" t="s">
        <v>178</v>
      </c>
      <c r="G465" s="936" t="s">
        <v>1249</v>
      </c>
      <c r="H465" s="936" t="s">
        <v>2795</v>
      </c>
    </row>
    <row r="466" spans="1:8" ht="15">
      <c r="A466" s="168" t="s">
        <v>1116</v>
      </c>
      <c r="B466" s="169" t="s">
        <v>1115</v>
      </c>
      <c r="C466" s="945" t="s">
        <v>1646</v>
      </c>
      <c r="D466" s="945" t="s">
        <v>178</v>
      </c>
      <c r="G466" s="936" t="s">
        <v>1328</v>
      </c>
      <c r="H466" s="936" t="s">
        <v>2717</v>
      </c>
    </row>
    <row r="467" spans="1:8" ht="15">
      <c r="A467" s="167" t="s">
        <v>430</v>
      </c>
      <c r="B467" s="166" t="s">
        <v>429</v>
      </c>
      <c r="C467" s="945" t="s">
        <v>175</v>
      </c>
      <c r="D467" s="945" t="s">
        <v>181</v>
      </c>
      <c r="G467" s="936" t="s">
        <v>1252</v>
      </c>
      <c r="H467" s="936" t="s">
        <v>2662</v>
      </c>
    </row>
    <row r="468" spans="1:8" ht="15">
      <c r="A468" s="168" t="s">
        <v>1118</v>
      </c>
      <c r="B468" s="169" t="s">
        <v>1117</v>
      </c>
      <c r="C468" s="945" t="s">
        <v>175</v>
      </c>
      <c r="D468" s="945" t="s">
        <v>89</v>
      </c>
      <c r="G468" s="936" t="s">
        <v>1283</v>
      </c>
      <c r="H468" s="936" t="s">
        <v>2728</v>
      </c>
    </row>
    <row r="469" spans="1:8" ht="15">
      <c r="A469" s="167" t="s">
        <v>533</v>
      </c>
      <c r="B469" s="166" t="s">
        <v>532</v>
      </c>
      <c r="C469" s="945" t="s">
        <v>175</v>
      </c>
      <c r="D469" s="945" t="s">
        <v>181</v>
      </c>
      <c r="G469" s="936" t="s">
        <v>1164</v>
      </c>
      <c r="H469" s="936" t="s">
        <v>2573</v>
      </c>
    </row>
    <row r="470" spans="1:8" ht="15">
      <c r="A470" s="168" t="s">
        <v>1120</v>
      </c>
      <c r="B470" s="169" t="s">
        <v>1119</v>
      </c>
      <c r="C470" s="945" t="s">
        <v>1646</v>
      </c>
      <c r="D470" s="945" t="s">
        <v>89</v>
      </c>
      <c r="G470" s="936" t="s">
        <v>1305</v>
      </c>
      <c r="H470" s="936" t="s">
        <v>2739</v>
      </c>
    </row>
    <row r="471" spans="1:8" ht="15">
      <c r="A471" s="167" t="s">
        <v>368</v>
      </c>
      <c r="B471" s="166" t="s">
        <v>367</v>
      </c>
      <c r="C471" s="945" t="s">
        <v>175</v>
      </c>
      <c r="D471" s="945" t="s">
        <v>1922</v>
      </c>
      <c r="G471" s="936" t="s">
        <v>1157</v>
      </c>
      <c r="H471" s="936" t="s">
        <v>2593</v>
      </c>
    </row>
    <row r="472" spans="1:8" ht="15">
      <c r="A472" s="168" t="s">
        <v>1122</v>
      </c>
      <c r="B472" s="169" t="s">
        <v>1121</v>
      </c>
      <c r="C472" s="945" t="s">
        <v>175</v>
      </c>
      <c r="D472" s="945" t="s">
        <v>89</v>
      </c>
      <c r="G472" s="936" t="s">
        <v>932</v>
      </c>
      <c r="H472" s="936" t="s">
        <v>2469</v>
      </c>
    </row>
    <row r="473" spans="1:8" ht="15">
      <c r="A473" s="167" t="s">
        <v>386</v>
      </c>
      <c r="B473" s="166" t="s">
        <v>385</v>
      </c>
      <c r="C473" s="945" t="s">
        <v>175</v>
      </c>
      <c r="D473" s="945" t="s">
        <v>186</v>
      </c>
      <c r="G473" s="936" t="s">
        <v>934</v>
      </c>
      <c r="H473" s="936" t="s">
        <v>2568</v>
      </c>
    </row>
    <row r="474" spans="1:8" ht="15">
      <c r="A474" s="168" t="s">
        <v>1124</v>
      </c>
      <c r="B474" s="169" t="s">
        <v>1123</v>
      </c>
      <c r="C474" s="945" t="s">
        <v>1646</v>
      </c>
      <c r="D474" s="945" t="s">
        <v>89</v>
      </c>
      <c r="G474" s="936" t="s">
        <v>1186</v>
      </c>
      <c r="H474" s="936" t="s">
        <v>2626</v>
      </c>
    </row>
    <row r="475" spans="1:8" ht="15">
      <c r="A475" s="171" t="s">
        <v>1643</v>
      </c>
      <c r="B475" s="171" t="s">
        <v>1578</v>
      </c>
      <c r="C475" s="945" t="s">
        <v>75</v>
      </c>
      <c r="D475" s="945" t="s">
        <v>89</v>
      </c>
      <c r="G475" s="936" t="s">
        <v>1180</v>
      </c>
      <c r="H475" s="936" t="s">
        <v>2605</v>
      </c>
    </row>
    <row r="476" spans="1:8" ht="15">
      <c r="A476" s="940" t="s">
        <v>1645</v>
      </c>
      <c r="B476" s="171" t="s">
        <v>1579</v>
      </c>
      <c r="C476" s="945" t="s">
        <v>75</v>
      </c>
      <c r="D476" s="945" t="s">
        <v>89</v>
      </c>
      <c r="G476" s="936" t="s">
        <v>1286</v>
      </c>
      <c r="H476" s="936" t="s">
        <v>2734</v>
      </c>
    </row>
    <row r="477" spans="1:8" ht="15">
      <c r="A477" s="940" t="s">
        <v>1530</v>
      </c>
      <c r="B477" s="171" t="s">
        <v>1529</v>
      </c>
      <c r="C477" s="945" t="s">
        <v>75</v>
      </c>
      <c r="D477" s="945" t="s">
        <v>89</v>
      </c>
      <c r="G477" s="936" t="s">
        <v>1206</v>
      </c>
      <c r="H477" s="936" t="s">
        <v>2641</v>
      </c>
    </row>
    <row r="478" spans="1:8" ht="15">
      <c r="A478" s="940" t="s">
        <v>879</v>
      </c>
      <c r="B478" s="171" t="s">
        <v>878</v>
      </c>
      <c r="C478" s="945" t="s">
        <v>75</v>
      </c>
      <c r="D478" s="945" t="s">
        <v>90</v>
      </c>
      <c r="G478" s="936" t="s">
        <v>1154</v>
      </c>
      <c r="H478" s="936" t="s">
        <v>2625</v>
      </c>
    </row>
    <row r="479" spans="1:8" ht="15">
      <c r="A479" s="941" t="s">
        <v>1525</v>
      </c>
      <c r="B479" s="947" t="s">
        <v>1524</v>
      </c>
      <c r="C479" s="945" t="s">
        <v>75</v>
      </c>
      <c r="D479" s="945" t="s">
        <v>90</v>
      </c>
      <c r="G479" s="936" t="s">
        <v>1237</v>
      </c>
      <c r="H479" s="936" t="s">
        <v>2699</v>
      </c>
    </row>
    <row r="480" spans="1:8" ht="15">
      <c r="A480" s="940" t="s">
        <v>881</v>
      </c>
      <c r="B480" s="171" t="s">
        <v>880</v>
      </c>
      <c r="C480" s="945" t="s">
        <v>75</v>
      </c>
      <c r="D480" s="945" t="s">
        <v>89</v>
      </c>
      <c r="G480" s="936" t="s">
        <v>1294</v>
      </c>
      <c r="H480" s="936" t="s">
        <v>2470</v>
      </c>
    </row>
    <row r="481" spans="1:8" ht="15">
      <c r="A481" s="940" t="s">
        <v>1571</v>
      </c>
      <c r="B481" s="171" t="s">
        <v>1570</v>
      </c>
      <c r="C481" s="945" t="s">
        <v>75</v>
      </c>
      <c r="D481" s="945" t="s">
        <v>90</v>
      </c>
      <c r="G481" s="936" t="s">
        <v>1308</v>
      </c>
      <c r="H481" s="936" t="s">
        <v>2770</v>
      </c>
    </row>
    <row r="482" spans="1:8" ht="15">
      <c r="A482" s="167" t="s">
        <v>1537</v>
      </c>
      <c r="B482" s="166" t="s">
        <v>1536</v>
      </c>
      <c r="C482" s="945" t="s">
        <v>75</v>
      </c>
      <c r="D482" s="945" t="s">
        <v>90</v>
      </c>
      <c r="G482" s="936" t="s">
        <v>1333</v>
      </c>
      <c r="H482" s="936" t="s">
        <v>2713</v>
      </c>
    </row>
    <row r="483" spans="1:8" ht="15">
      <c r="A483" s="940" t="s">
        <v>1539</v>
      </c>
      <c r="B483" s="171" t="s">
        <v>1538</v>
      </c>
      <c r="C483" s="945" t="s">
        <v>75</v>
      </c>
      <c r="D483" s="945" t="s">
        <v>89</v>
      </c>
      <c r="G483" s="936" t="s">
        <v>936</v>
      </c>
      <c r="H483" s="936" t="s">
        <v>2471</v>
      </c>
    </row>
    <row r="484" spans="1:8" ht="15">
      <c r="A484" s="940" t="s">
        <v>883</v>
      </c>
      <c r="B484" s="171" t="s">
        <v>882</v>
      </c>
      <c r="C484" s="945" t="s">
        <v>75</v>
      </c>
      <c r="D484" s="945" t="s">
        <v>89</v>
      </c>
      <c r="G484" s="936" t="s">
        <v>2381</v>
      </c>
      <c r="H484" s="936" t="s">
        <v>2382</v>
      </c>
    </row>
    <row r="485" spans="1:8" ht="15">
      <c r="A485" s="940" t="s">
        <v>886</v>
      </c>
      <c r="B485" s="171" t="s">
        <v>885</v>
      </c>
      <c r="C485" s="945" t="s">
        <v>75</v>
      </c>
      <c r="D485" s="945" t="s">
        <v>89</v>
      </c>
      <c r="G485" s="936" t="s">
        <v>1316</v>
      </c>
      <c r="H485" s="936" t="s">
        <v>2666</v>
      </c>
    </row>
    <row r="486" spans="1:8" ht="15">
      <c r="A486" s="940" t="s">
        <v>888</v>
      </c>
      <c r="B486" s="171" t="s">
        <v>887</v>
      </c>
      <c r="C486" s="945" t="s">
        <v>75</v>
      </c>
      <c r="D486" s="945" t="s">
        <v>89</v>
      </c>
      <c r="G486" s="936" t="s">
        <v>1457</v>
      </c>
      <c r="H486" s="936" t="s">
        <v>2755</v>
      </c>
    </row>
    <row r="487" spans="1:8" ht="15">
      <c r="A487" s="940" t="s">
        <v>1650</v>
      </c>
      <c r="B487" s="171" t="s">
        <v>1581</v>
      </c>
      <c r="C487" s="945" t="s">
        <v>75</v>
      </c>
      <c r="D487" s="945" t="s">
        <v>89</v>
      </c>
      <c r="G487" s="936" t="s">
        <v>1352</v>
      </c>
      <c r="H487" s="936" t="s">
        <v>2655</v>
      </c>
    </row>
    <row r="488" spans="1:8" ht="15">
      <c r="A488" s="940" t="s">
        <v>890</v>
      </c>
      <c r="B488" s="171" t="s">
        <v>889</v>
      </c>
      <c r="C488" s="945" t="s">
        <v>75</v>
      </c>
      <c r="D488" s="945" t="s">
        <v>89</v>
      </c>
      <c r="G488" s="936" t="s">
        <v>1344</v>
      </c>
      <c r="H488" s="936" t="s">
        <v>2681</v>
      </c>
    </row>
    <row r="489" spans="1:8" ht="15">
      <c r="A489" s="940" t="s">
        <v>1654</v>
      </c>
      <c r="B489" s="171" t="s">
        <v>1585</v>
      </c>
      <c r="C489" s="945" t="s">
        <v>75</v>
      </c>
      <c r="D489" s="945" t="s">
        <v>89</v>
      </c>
      <c r="G489" s="936" t="s">
        <v>1278</v>
      </c>
      <c r="H489" s="936" t="s">
        <v>2660</v>
      </c>
    </row>
    <row r="490" spans="1:8" ht="15">
      <c r="A490" s="940" t="s">
        <v>1656</v>
      </c>
      <c r="B490" s="171" t="s">
        <v>1560</v>
      </c>
      <c r="C490" s="945" t="s">
        <v>75</v>
      </c>
      <c r="D490" s="945" t="s">
        <v>89</v>
      </c>
      <c r="G490" s="936" t="s">
        <v>1371</v>
      </c>
      <c r="H490" s="936" t="s">
        <v>2698</v>
      </c>
    </row>
    <row r="491" spans="1:8" ht="15">
      <c r="A491" s="171" t="s">
        <v>1561</v>
      </c>
      <c r="B491" s="171" t="s">
        <v>1560</v>
      </c>
      <c r="C491" s="945" t="s">
        <v>75</v>
      </c>
      <c r="D491" s="945" t="s">
        <v>89</v>
      </c>
      <c r="G491" s="936" t="s">
        <v>2215</v>
      </c>
      <c r="H491" s="936" t="s">
        <v>2216</v>
      </c>
    </row>
    <row r="492" spans="1:8" ht="15">
      <c r="A492" s="940" t="s">
        <v>1659</v>
      </c>
      <c r="B492" s="171" t="s">
        <v>1588</v>
      </c>
      <c r="C492" s="945" t="s">
        <v>75</v>
      </c>
      <c r="D492" s="945" t="s">
        <v>89</v>
      </c>
      <c r="G492" s="936" t="s">
        <v>2217</v>
      </c>
      <c r="H492" s="936" t="s">
        <v>2218</v>
      </c>
    </row>
    <row r="493" spans="1:8" ht="15">
      <c r="A493" s="940" t="s">
        <v>1506</v>
      </c>
      <c r="B493" s="171" t="s">
        <v>1505</v>
      </c>
      <c r="C493" s="945" t="s">
        <v>75</v>
      </c>
      <c r="D493" s="945" t="s">
        <v>89</v>
      </c>
      <c r="G493" s="936" t="s">
        <v>2219</v>
      </c>
      <c r="H493" s="936" t="s">
        <v>2220</v>
      </c>
    </row>
    <row r="494" spans="1:8" ht="15">
      <c r="A494" s="940" t="s">
        <v>1665</v>
      </c>
      <c r="B494" s="171" t="s">
        <v>1593</v>
      </c>
      <c r="C494" s="945" t="s">
        <v>75</v>
      </c>
      <c r="D494" s="945" t="s">
        <v>89</v>
      </c>
      <c r="G494" s="936" t="s">
        <v>2050</v>
      </c>
      <c r="H494" s="936" t="s">
        <v>2051</v>
      </c>
    </row>
    <row r="495" spans="1:8" ht="15">
      <c r="A495" s="167" t="s">
        <v>1719</v>
      </c>
      <c r="B495" s="171" t="s">
        <v>1720</v>
      </c>
      <c r="C495" s="945" t="s">
        <v>75</v>
      </c>
      <c r="D495" s="945" t="s">
        <v>90</v>
      </c>
      <c r="G495" s="936" t="s">
        <v>2135</v>
      </c>
      <c r="H495" s="936" t="s">
        <v>2136</v>
      </c>
    </row>
    <row r="496" spans="1:8" ht="15">
      <c r="A496" s="940" t="s">
        <v>1666</v>
      </c>
      <c r="B496" s="171" t="s">
        <v>1595</v>
      </c>
      <c r="C496" s="945" t="s">
        <v>75</v>
      </c>
      <c r="D496" s="945" t="s">
        <v>89</v>
      </c>
      <c r="G496" s="936" t="s">
        <v>2074</v>
      </c>
      <c r="H496" s="936" t="s">
        <v>2075</v>
      </c>
    </row>
    <row r="497" spans="1:8" ht="15">
      <c r="A497" s="943" t="s">
        <v>1676</v>
      </c>
      <c r="B497" s="948" t="s">
        <v>1604</v>
      </c>
      <c r="C497" s="945" t="s">
        <v>75</v>
      </c>
      <c r="D497" s="945" t="s">
        <v>89</v>
      </c>
      <c r="G497" s="936" t="s">
        <v>2167</v>
      </c>
      <c r="H497" s="936" t="s">
        <v>2073</v>
      </c>
    </row>
    <row r="498" spans="1:8" ht="15">
      <c r="A498" s="940" t="s">
        <v>1532</v>
      </c>
      <c r="B498" s="171" t="s">
        <v>1531</v>
      </c>
      <c r="C498" s="945" t="s">
        <v>75</v>
      </c>
      <c r="D498" s="945" t="s">
        <v>89</v>
      </c>
      <c r="G498" s="936" t="s">
        <v>2081</v>
      </c>
      <c r="H498" s="936" t="s">
        <v>2082</v>
      </c>
    </row>
    <row r="499" spans="1:8" ht="15">
      <c r="A499" s="940" t="s">
        <v>1668</v>
      </c>
      <c r="B499" s="171" t="s">
        <v>1597</v>
      </c>
      <c r="C499" s="945" t="s">
        <v>75</v>
      </c>
      <c r="D499" s="945" t="s">
        <v>89</v>
      </c>
      <c r="G499" s="936" t="s">
        <v>2168</v>
      </c>
      <c r="H499" s="936" t="s">
        <v>2169</v>
      </c>
    </row>
    <row r="500" spans="1:8" ht="15">
      <c r="A500" s="940" t="s">
        <v>1502</v>
      </c>
      <c r="B500" s="171" t="s">
        <v>1501</v>
      </c>
      <c r="C500" s="945" t="s">
        <v>75</v>
      </c>
      <c r="D500" s="945" t="s">
        <v>89</v>
      </c>
      <c r="G500" s="936" t="s">
        <v>2176</v>
      </c>
      <c r="H500" s="936" t="s">
        <v>2177</v>
      </c>
    </row>
    <row r="501" spans="1:8" ht="15">
      <c r="A501" s="940" t="s">
        <v>1670</v>
      </c>
      <c r="B501" s="171" t="s">
        <v>1599</v>
      </c>
      <c r="C501" s="945" t="s">
        <v>75</v>
      </c>
      <c r="D501" s="945" t="s">
        <v>89</v>
      </c>
      <c r="G501" s="936" t="s">
        <v>2089</v>
      </c>
      <c r="H501" s="936" t="s">
        <v>2090</v>
      </c>
    </row>
    <row r="502" spans="1:8" ht="15">
      <c r="A502" s="943" t="s">
        <v>1535</v>
      </c>
      <c r="B502" s="947" t="s">
        <v>1534</v>
      </c>
      <c r="C502" s="945" t="s">
        <v>75</v>
      </c>
      <c r="D502" s="945" t="s">
        <v>89</v>
      </c>
      <c r="G502" s="936" t="s">
        <v>2071</v>
      </c>
      <c r="H502" s="936" t="s">
        <v>2072</v>
      </c>
    </row>
    <row r="503" spans="1:8" ht="15">
      <c r="A503" s="940" t="s">
        <v>1674</v>
      </c>
      <c r="B503" s="949" t="s">
        <v>1602</v>
      </c>
      <c r="C503" s="945" t="s">
        <v>75</v>
      </c>
      <c r="D503" s="945" t="s">
        <v>89</v>
      </c>
      <c r="G503" s="936" t="s">
        <v>2085</v>
      </c>
      <c r="H503" s="936" t="s">
        <v>2086</v>
      </c>
    </row>
    <row r="504" spans="1:8" ht="15">
      <c r="A504" s="176" t="s">
        <v>1715</v>
      </c>
      <c r="B504" s="950" t="s">
        <v>1716</v>
      </c>
      <c r="C504" s="945" t="s">
        <v>75</v>
      </c>
      <c r="D504" s="945" t="s">
        <v>90</v>
      </c>
      <c r="G504" s="936" t="s">
        <v>2093</v>
      </c>
      <c r="H504" s="936" t="s">
        <v>2094</v>
      </c>
    </row>
    <row r="505" spans="1:8" ht="15">
      <c r="A505" s="943" t="s">
        <v>1679</v>
      </c>
      <c r="B505" s="947" t="s">
        <v>1607</v>
      </c>
      <c r="C505" s="945" t="s">
        <v>75</v>
      </c>
      <c r="D505" s="945" t="s">
        <v>89</v>
      </c>
      <c r="G505" s="936" t="s">
        <v>2077</v>
      </c>
      <c r="H505" s="936" t="s">
        <v>2078</v>
      </c>
    </row>
    <row r="506" spans="1:8" ht="15">
      <c r="A506" s="940" t="s">
        <v>1683</v>
      </c>
      <c r="B506" s="947" t="s">
        <v>1610</v>
      </c>
      <c r="C506" s="945" t="s">
        <v>75</v>
      </c>
      <c r="D506" s="945" t="s">
        <v>89</v>
      </c>
      <c r="G506" s="936" t="s">
        <v>2059</v>
      </c>
      <c r="H506" s="936" t="s">
        <v>2060</v>
      </c>
    </row>
    <row r="507" spans="1:8" ht="15">
      <c r="A507" s="940" t="s">
        <v>892</v>
      </c>
      <c r="B507" s="171" t="s">
        <v>891</v>
      </c>
      <c r="C507" s="945" t="s">
        <v>75</v>
      </c>
      <c r="D507" s="945" t="s">
        <v>89</v>
      </c>
      <c r="G507" s="936" t="s">
        <v>2645</v>
      </c>
      <c r="H507" s="936" t="s">
        <v>2173</v>
      </c>
    </row>
    <row r="508" spans="1:8" ht="15">
      <c r="A508" s="940" t="s">
        <v>1512</v>
      </c>
      <c r="B508" s="171" t="s">
        <v>1511</v>
      </c>
      <c r="C508" s="945" t="s">
        <v>75</v>
      </c>
      <c r="D508" s="945" t="s">
        <v>89</v>
      </c>
      <c r="G508" s="936" t="s">
        <v>2171</v>
      </c>
      <c r="H508" s="936" t="s">
        <v>2172</v>
      </c>
    </row>
    <row r="509" spans="1:8" ht="15">
      <c r="A509" s="940" t="s">
        <v>1573</v>
      </c>
      <c r="B509" s="171" t="s">
        <v>1572</v>
      </c>
      <c r="C509" s="945" t="s">
        <v>75</v>
      </c>
      <c r="D509" s="945" t="s">
        <v>90</v>
      </c>
      <c r="G509" s="936" t="s">
        <v>1389</v>
      </c>
      <c r="H509" s="936" t="s">
        <v>2594</v>
      </c>
    </row>
    <row r="510" spans="1:8" ht="15">
      <c r="A510" s="940" t="s">
        <v>1551</v>
      </c>
      <c r="B510" s="171" t="s">
        <v>1550</v>
      </c>
      <c r="C510" s="945" t="s">
        <v>75</v>
      </c>
      <c r="D510" s="945" t="s">
        <v>90</v>
      </c>
      <c r="G510" s="936" t="s">
        <v>1385</v>
      </c>
      <c r="H510" s="936" t="s">
        <v>2777</v>
      </c>
    </row>
    <row r="511" spans="1:8">
      <c r="A511" s="167" t="s">
        <v>1732</v>
      </c>
      <c r="B511" s="171" t="s">
        <v>1733</v>
      </c>
      <c r="C511" s="945" t="s">
        <v>75</v>
      </c>
      <c r="D511" s="945" t="s">
        <v>90</v>
      </c>
    </row>
    <row r="512" spans="1:8">
      <c r="A512" s="940" t="s">
        <v>1686</v>
      </c>
      <c r="B512" s="171" t="s">
        <v>1612</v>
      </c>
      <c r="C512" s="945" t="s">
        <v>75</v>
      </c>
      <c r="D512" s="945" t="s">
        <v>89</v>
      </c>
    </row>
    <row r="513" spans="1:4">
      <c r="A513" s="940" t="s">
        <v>1688</v>
      </c>
      <c r="B513" s="171" t="s">
        <v>1614</v>
      </c>
      <c r="C513" s="945" t="s">
        <v>75</v>
      </c>
      <c r="D513" s="945" t="s">
        <v>89</v>
      </c>
    </row>
    <row r="514" spans="1:4">
      <c r="A514" s="940" t="s">
        <v>1690</v>
      </c>
      <c r="B514" s="171" t="s">
        <v>1616</v>
      </c>
      <c r="C514" s="945" t="s">
        <v>75</v>
      </c>
      <c r="D514" s="945" t="s">
        <v>89</v>
      </c>
    </row>
    <row r="515" spans="1:4">
      <c r="A515" s="940" t="s">
        <v>894</v>
      </c>
      <c r="B515" s="171" t="s">
        <v>893</v>
      </c>
      <c r="C515" s="945" t="s">
        <v>75</v>
      </c>
      <c r="D515" s="945" t="s">
        <v>89</v>
      </c>
    </row>
    <row r="516" spans="1:4">
      <c r="A516" s="940" t="s">
        <v>1508</v>
      </c>
      <c r="B516" s="171" t="s">
        <v>1507</v>
      </c>
      <c r="C516" s="945" t="s">
        <v>75</v>
      </c>
      <c r="D516" s="945" t="s">
        <v>89</v>
      </c>
    </row>
    <row r="517" spans="1:4">
      <c r="A517" s="940" t="s">
        <v>1692</v>
      </c>
      <c r="B517" s="171" t="s">
        <v>1618</v>
      </c>
      <c r="C517" s="945" t="s">
        <v>75</v>
      </c>
      <c r="D517" s="945" t="s">
        <v>89</v>
      </c>
    </row>
    <row r="518" spans="1:4">
      <c r="A518" s="940" t="s">
        <v>1694</v>
      </c>
      <c r="B518" s="171" t="s">
        <v>1620</v>
      </c>
      <c r="C518" s="945" t="s">
        <v>75</v>
      </c>
      <c r="D518" s="945" t="s">
        <v>89</v>
      </c>
    </row>
    <row r="519" spans="1:4">
      <c r="A519" s="940" t="s">
        <v>1696</v>
      </c>
      <c r="B519" s="171" t="s">
        <v>1622</v>
      </c>
      <c r="C519" s="945" t="s">
        <v>75</v>
      </c>
      <c r="D519" s="945" t="s">
        <v>89</v>
      </c>
    </row>
    <row r="520" spans="1:4">
      <c r="A520" s="940" t="s">
        <v>896</v>
      </c>
      <c r="B520" s="171" t="s">
        <v>895</v>
      </c>
      <c r="C520" s="945" t="s">
        <v>75</v>
      </c>
      <c r="D520" s="945" t="s">
        <v>89</v>
      </c>
    </row>
    <row r="521" spans="1:4">
      <c r="A521" s="940" t="s">
        <v>1498</v>
      </c>
      <c r="B521" s="171" t="s">
        <v>1497</v>
      </c>
      <c r="C521" s="945" t="s">
        <v>75</v>
      </c>
      <c r="D521" s="945" t="s">
        <v>89</v>
      </c>
    </row>
    <row r="522" spans="1:4">
      <c r="A522" s="940" t="s">
        <v>1698</v>
      </c>
      <c r="B522" s="171" t="s">
        <v>1624</v>
      </c>
      <c r="C522" s="945" t="s">
        <v>75</v>
      </c>
      <c r="D522" s="945" t="s">
        <v>89</v>
      </c>
    </row>
    <row r="523" spans="1:4">
      <c r="A523" s="940" t="s">
        <v>1510</v>
      </c>
      <c r="B523" s="171" t="s">
        <v>1509</v>
      </c>
      <c r="C523" s="945" t="s">
        <v>75</v>
      </c>
      <c r="D523" s="945" t="s">
        <v>89</v>
      </c>
    </row>
    <row r="524" spans="1:4">
      <c r="A524" s="940" t="s">
        <v>1545</v>
      </c>
      <c r="B524" s="171" t="s">
        <v>1544</v>
      </c>
      <c r="C524" s="945" t="s">
        <v>75</v>
      </c>
      <c r="D524" s="945" t="s">
        <v>90</v>
      </c>
    </row>
    <row r="525" spans="1:4">
      <c r="A525" s="167" t="s">
        <v>1723</v>
      </c>
      <c r="B525" s="171" t="s">
        <v>1724</v>
      </c>
      <c r="C525" s="945" t="s">
        <v>75</v>
      </c>
      <c r="D525" s="945" t="s">
        <v>90</v>
      </c>
    </row>
    <row r="526" spans="1:4">
      <c r="A526" s="940" t="s">
        <v>1711</v>
      </c>
      <c r="B526" s="171" t="s">
        <v>1636</v>
      </c>
      <c r="C526" s="945" t="s">
        <v>75</v>
      </c>
      <c r="D526" s="945" t="s">
        <v>89</v>
      </c>
    </row>
    <row r="527" spans="1:4">
      <c r="A527" s="171" t="s">
        <v>898</v>
      </c>
      <c r="B527" s="171" t="s">
        <v>897</v>
      </c>
      <c r="C527" s="945" t="s">
        <v>75</v>
      </c>
      <c r="D527" s="945" t="s">
        <v>89</v>
      </c>
    </row>
    <row r="528" spans="1:4">
      <c r="A528" s="167" t="s">
        <v>1489</v>
      </c>
      <c r="B528" s="166" t="s">
        <v>1488</v>
      </c>
      <c r="C528" s="945" t="s">
        <v>75</v>
      </c>
      <c r="D528" s="945" t="s">
        <v>98</v>
      </c>
    </row>
    <row r="529" spans="1:4">
      <c r="A529" s="171" t="s">
        <v>1704</v>
      </c>
      <c r="B529" s="171" t="s">
        <v>1629</v>
      </c>
      <c r="C529" s="945" t="s">
        <v>75</v>
      </c>
      <c r="D529" s="945" t="s">
        <v>89</v>
      </c>
    </row>
    <row r="530" spans="1:4">
      <c r="A530" s="171" t="s">
        <v>1706</v>
      </c>
      <c r="B530" s="171" t="s">
        <v>1631</v>
      </c>
      <c r="C530" s="945" t="s">
        <v>75</v>
      </c>
      <c r="D530" s="945" t="s">
        <v>89</v>
      </c>
    </row>
    <row r="531" spans="1:4">
      <c r="A531" s="940" t="s">
        <v>1495</v>
      </c>
      <c r="B531" s="171" t="s">
        <v>1494</v>
      </c>
      <c r="C531" s="945" t="s">
        <v>75</v>
      </c>
      <c r="D531" s="945" t="s">
        <v>89</v>
      </c>
    </row>
    <row r="532" spans="1:4">
      <c r="A532" s="167" t="s">
        <v>1564</v>
      </c>
      <c r="B532" s="166" t="s">
        <v>1563</v>
      </c>
      <c r="C532" s="945" t="s">
        <v>75</v>
      </c>
      <c r="D532" s="945" t="s">
        <v>95</v>
      </c>
    </row>
    <row r="533" spans="1:4">
      <c r="A533" s="168" t="s">
        <v>1548</v>
      </c>
      <c r="B533" s="169" t="s">
        <v>1547</v>
      </c>
      <c r="C533" s="945" t="s">
        <v>75</v>
      </c>
      <c r="D533" s="945" t="s">
        <v>94</v>
      </c>
    </row>
    <row r="534" spans="1:4">
      <c r="A534" s="168" t="s">
        <v>1569</v>
      </c>
      <c r="B534" s="169" t="s">
        <v>1568</v>
      </c>
      <c r="C534" s="945" t="s">
        <v>75</v>
      </c>
      <c r="D534" s="945" t="s">
        <v>94</v>
      </c>
    </row>
    <row r="535" spans="1:4">
      <c r="A535" s="167" t="s">
        <v>1726</v>
      </c>
      <c r="B535" s="171" t="s">
        <v>1727</v>
      </c>
      <c r="C535" s="945" t="s">
        <v>75</v>
      </c>
      <c r="D535" s="945" t="s">
        <v>90</v>
      </c>
    </row>
    <row r="536" spans="1:4">
      <c r="A536" s="940" t="s">
        <v>1709</v>
      </c>
      <c r="B536" s="171" t="s">
        <v>1634</v>
      </c>
      <c r="C536" s="945" t="s">
        <v>75</v>
      </c>
      <c r="D536" s="945" t="s">
        <v>89</v>
      </c>
    </row>
    <row r="537" spans="1:4">
      <c r="A537" s="940" t="s">
        <v>1702</v>
      </c>
      <c r="B537" s="171" t="s">
        <v>1627</v>
      </c>
      <c r="C537" s="945" t="s">
        <v>75</v>
      </c>
      <c r="D537" s="945" t="s">
        <v>89</v>
      </c>
    </row>
    <row r="538" spans="1:4">
      <c r="A538" s="940" t="s">
        <v>900</v>
      </c>
      <c r="B538" s="171" t="s">
        <v>899</v>
      </c>
      <c r="C538" s="945" t="s">
        <v>75</v>
      </c>
      <c r="D538" s="945" t="s">
        <v>89</v>
      </c>
    </row>
    <row r="539" spans="1:4">
      <c r="A539" s="940" t="s">
        <v>1553</v>
      </c>
      <c r="B539" s="171" t="s">
        <v>1552</v>
      </c>
      <c r="C539" s="945" t="s">
        <v>75</v>
      </c>
      <c r="D539" s="945" t="s">
        <v>90</v>
      </c>
    </row>
    <row r="540" spans="1:4">
      <c r="A540" s="167" t="s">
        <v>1736</v>
      </c>
      <c r="B540" s="166" t="s">
        <v>1737</v>
      </c>
      <c r="C540" s="945" t="s">
        <v>144</v>
      </c>
      <c r="D540" s="945" t="s">
        <v>146</v>
      </c>
    </row>
    <row r="541" spans="1:4">
      <c r="A541" s="167" t="s">
        <v>902</v>
      </c>
      <c r="B541" s="166" t="s">
        <v>901</v>
      </c>
      <c r="C541" s="945" t="s">
        <v>144</v>
      </c>
      <c r="D541" s="945" t="s">
        <v>181</v>
      </c>
    </row>
    <row r="542" spans="1:4">
      <c r="A542" s="167" t="s">
        <v>904</v>
      </c>
      <c r="B542" s="166" t="s">
        <v>903</v>
      </c>
      <c r="C542" s="945" t="s">
        <v>144</v>
      </c>
      <c r="D542" s="945" t="s">
        <v>181</v>
      </c>
    </row>
    <row r="543" spans="1:4">
      <c r="A543" s="944" t="s">
        <v>1302</v>
      </c>
      <c r="B543" s="951" t="s">
        <v>1301</v>
      </c>
      <c r="C543" s="945" t="s">
        <v>144</v>
      </c>
      <c r="D543" s="945" t="s">
        <v>98</v>
      </c>
    </row>
    <row r="544" spans="1:4">
      <c r="A544" s="167" t="s">
        <v>1557</v>
      </c>
      <c r="B544" s="166" t="s">
        <v>1556</v>
      </c>
      <c r="C544" s="945" t="s">
        <v>144</v>
      </c>
      <c r="D544" s="945" t="s">
        <v>150</v>
      </c>
    </row>
    <row r="545" spans="1:4">
      <c r="A545" s="167" t="s">
        <v>1566</v>
      </c>
      <c r="B545" s="166" t="s">
        <v>1565</v>
      </c>
      <c r="C545" s="945" t="s">
        <v>144</v>
      </c>
      <c r="D545" s="945" t="s">
        <v>150</v>
      </c>
    </row>
    <row r="546" spans="1:4">
      <c r="A546" s="167" t="s">
        <v>1827</v>
      </c>
      <c r="B546" s="166" t="s">
        <v>1828</v>
      </c>
      <c r="C546" s="945" t="s">
        <v>144</v>
      </c>
      <c r="D546" s="945" t="s">
        <v>146</v>
      </c>
    </row>
    <row r="547" spans="1:4">
      <c r="A547" s="167" t="s">
        <v>1829</v>
      </c>
      <c r="B547" s="166" t="s">
        <v>1830</v>
      </c>
      <c r="C547" s="945" t="s">
        <v>144</v>
      </c>
      <c r="D547" s="945" t="s">
        <v>146</v>
      </c>
    </row>
    <row r="548" spans="1:4">
      <c r="A548" s="166" t="s">
        <v>1867</v>
      </c>
      <c r="B548" s="166" t="s">
        <v>1868</v>
      </c>
      <c r="C548" s="945" t="s">
        <v>144</v>
      </c>
      <c r="D548" s="945" t="s">
        <v>146</v>
      </c>
    </row>
    <row r="549" spans="1:4">
      <c r="A549" s="166" t="s">
        <v>1869</v>
      </c>
      <c r="B549" s="166" t="s">
        <v>1870</v>
      </c>
      <c r="C549" s="945" t="s">
        <v>144</v>
      </c>
      <c r="D549" s="945" t="s">
        <v>146</v>
      </c>
    </row>
    <row r="550" spans="1:4">
      <c r="A550" s="167" t="s">
        <v>1845</v>
      </c>
      <c r="B550" s="166" t="s">
        <v>1846</v>
      </c>
      <c r="C550" s="945" t="s">
        <v>144</v>
      </c>
      <c r="D550" s="945" t="s">
        <v>146</v>
      </c>
    </row>
    <row r="551" spans="1:4">
      <c r="A551" s="167" t="s">
        <v>1847</v>
      </c>
      <c r="B551" s="166" t="s">
        <v>1848</v>
      </c>
      <c r="C551" s="945" t="s">
        <v>144</v>
      </c>
      <c r="D551" s="945" t="s">
        <v>146</v>
      </c>
    </row>
    <row r="552" spans="1:4">
      <c r="A552" s="167" t="s">
        <v>1857</v>
      </c>
      <c r="B552" s="166" t="s">
        <v>1858</v>
      </c>
      <c r="C552" s="945" t="s">
        <v>144</v>
      </c>
      <c r="D552" s="945" t="s">
        <v>146</v>
      </c>
    </row>
    <row r="553" spans="1:4">
      <c r="A553" s="167" t="s">
        <v>1859</v>
      </c>
      <c r="B553" s="166" t="s">
        <v>1860</v>
      </c>
      <c r="C553" s="945" t="s">
        <v>144</v>
      </c>
      <c r="D553" s="945" t="s">
        <v>146</v>
      </c>
    </row>
    <row r="554" spans="1:4">
      <c r="A554" s="167" t="s">
        <v>1741</v>
      </c>
      <c r="B554" s="166" t="s">
        <v>1742</v>
      </c>
      <c r="C554" s="945" t="s">
        <v>144</v>
      </c>
      <c r="D554" s="945" t="s">
        <v>146</v>
      </c>
    </row>
    <row r="555" spans="1:4">
      <c r="A555" s="167" t="s">
        <v>1741</v>
      </c>
      <c r="B555" s="166" t="s">
        <v>1742</v>
      </c>
      <c r="C555" s="945" t="s">
        <v>144</v>
      </c>
      <c r="D555" s="945" t="s">
        <v>146</v>
      </c>
    </row>
    <row r="556" spans="1:4">
      <c r="A556" s="167" t="s">
        <v>1743</v>
      </c>
      <c r="B556" s="166" t="s">
        <v>1744</v>
      </c>
      <c r="C556" s="945" t="s">
        <v>144</v>
      </c>
      <c r="D556" s="945" t="s">
        <v>146</v>
      </c>
    </row>
    <row r="557" spans="1:4">
      <c r="A557" s="167" t="s">
        <v>1743</v>
      </c>
      <c r="B557" s="166" t="s">
        <v>1744</v>
      </c>
      <c r="C557" s="945" t="s">
        <v>144</v>
      </c>
      <c r="D557" s="945" t="s">
        <v>146</v>
      </c>
    </row>
    <row r="558" spans="1:4">
      <c r="A558" s="167" t="s">
        <v>1871</v>
      </c>
      <c r="B558" s="166" t="s">
        <v>1872</v>
      </c>
      <c r="C558" s="945" t="s">
        <v>144</v>
      </c>
      <c r="D558" s="945" t="s">
        <v>146</v>
      </c>
    </row>
    <row r="559" spans="1:4">
      <c r="A559" s="167" t="s">
        <v>1833</v>
      </c>
      <c r="B559" s="166" t="s">
        <v>1834</v>
      </c>
      <c r="C559" s="945" t="s">
        <v>144</v>
      </c>
      <c r="D559" s="945" t="s">
        <v>181</v>
      </c>
    </row>
    <row r="560" spans="1:4">
      <c r="A560" s="167" t="s">
        <v>1835</v>
      </c>
      <c r="B560" s="166" t="s">
        <v>1836</v>
      </c>
      <c r="C560" s="945" t="s">
        <v>144</v>
      </c>
      <c r="D560" s="945" t="s">
        <v>146</v>
      </c>
    </row>
    <row r="561" spans="1:4">
      <c r="A561" s="167" t="s">
        <v>1839</v>
      </c>
      <c r="B561" s="166" t="s">
        <v>1840</v>
      </c>
      <c r="C561" s="945" t="s">
        <v>144</v>
      </c>
      <c r="D561" s="945" t="s">
        <v>181</v>
      </c>
    </row>
    <row r="562" spans="1:4">
      <c r="A562" s="167" t="s">
        <v>1841</v>
      </c>
      <c r="B562" s="166" t="s">
        <v>1842</v>
      </c>
      <c r="C562" s="945" t="s">
        <v>144</v>
      </c>
      <c r="D562" s="945" t="s">
        <v>146</v>
      </c>
    </row>
    <row r="563" spans="1:4">
      <c r="A563" s="167" t="s">
        <v>1851</v>
      </c>
      <c r="B563" s="166" t="s">
        <v>1852</v>
      </c>
      <c r="C563" s="945" t="s">
        <v>144</v>
      </c>
      <c r="D563" s="945" t="s">
        <v>181</v>
      </c>
    </row>
    <row r="564" spans="1:4">
      <c r="A564" s="167" t="s">
        <v>1853</v>
      </c>
      <c r="B564" s="166" t="s">
        <v>1854</v>
      </c>
      <c r="C564" s="945" t="s">
        <v>144</v>
      </c>
      <c r="D564" s="945" t="s">
        <v>146</v>
      </c>
    </row>
    <row r="565" spans="1:4">
      <c r="A565" s="167" t="s">
        <v>1821</v>
      </c>
      <c r="B565" s="166" t="s">
        <v>1822</v>
      </c>
      <c r="C565" s="945" t="s">
        <v>144</v>
      </c>
      <c r="D565" s="945" t="s">
        <v>146</v>
      </c>
    </row>
    <row r="566" spans="1:4">
      <c r="A566" s="167" t="s">
        <v>1823</v>
      </c>
      <c r="B566" s="166" t="s">
        <v>1824</v>
      </c>
      <c r="C566" s="945" t="s">
        <v>144</v>
      </c>
      <c r="D566" s="945" t="s">
        <v>146</v>
      </c>
    </row>
    <row r="567" spans="1:4">
      <c r="A567" s="167" t="s">
        <v>1745</v>
      </c>
      <c r="B567" s="166" t="s">
        <v>1746</v>
      </c>
      <c r="C567" s="945" t="s">
        <v>144</v>
      </c>
      <c r="D567" s="945" t="s">
        <v>181</v>
      </c>
    </row>
    <row r="568" spans="1:4">
      <c r="A568" s="166" t="s">
        <v>1745</v>
      </c>
      <c r="B568" s="166" t="s">
        <v>1746</v>
      </c>
      <c r="C568" s="945" t="s">
        <v>144</v>
      </c>
      <c r="D568" s="945" t="s">
        <v>181</v>
      </c>
    </row>
    <row r="569" spans="1:4">
      <c r="A569" s="166" t="s">
        <v>1863</v>
      </c>
      <c r="B569" s="166" t="s">
        <v>1864</v>
      </c>
      <c r="C569" s="945" t="s">
        <v>144</v>
      </c>
      <c r="D569" s="945" t="s">
        <v>146</v>
      </c>
    </row>
    <row r="570" spans="1:4">
      <c r="A570" s="167" t="s">
        <v>1471</v>
      </c>
      <c r="B570" s="166" t="s">
        <v>1470</v>
      </c>
      <c r="C570" s="945" t="s">
        <v>155</v>
      </c>
      <c r="D570" s="945" t="s">
        <v>159</v>
      </c>
    </row>
    <row r="571" spans="1:4">
      <c r="A571" s="167" t="s">
        <v>1243</v>
      </c>
      <c r="B571" s="166" t="s">
        <v>1242</v>
      </c>
      <c r="C571" s="945" t="s">
        <v>155</v>
      </c>
      <c r="D571" s="945" t="s">
        <v>163</v>
      </c>
    </row>
    <row r="572" spans="1:4">
      <c r="A572" s="167" t="s">
        <v>1477</v>
      </c>
      <c r="B572" s="166" t="s">
        <v>1476</v>
      </c>
      <c r="C572" s="945" t="s">
        <v>155</v>
      </c>
      <c r="D572" s="945" t="s">
        <v>161</v>
      </c>
    </row>
    <row r="573" spans="1:4">
      <c r="A573" s="167" t="s">
        <v>1473</v>
      </c>
      <c r="B573" s="556" t="s">
        <v>1472</v>
      </c>
      <c r="C573" s="945" t="s">
        <v>155</v>
      </c>
      <c r="D573" s="945" t="s">
        <v>162</v>
      </c>
    </row>
    <row r="574" spans="1:4">
      <c r="A574" s="167" t="s">
        <v>1397</v>
      </c>
      <c r="B574" s="166" t="s">
        <v>1396</v>
      </c>
      <c r="C574" s="945" t="s">
        <v>155</v>
      </c>
      <c r="D574" s="945" t="s">
        <v>164</v>
      </c>
    </row>
    <row r="575" spans="1:4">
      <c r="A575" s="167" t="s">
        <v>1174</v>
      </c>
      <c r="B575" s="166" t="s">
        <v>1173</v>
      </c>
      <c r="C575" s="945" t="s">
        <v>155</v>
      </c>
      <c r="D575" s="945" t="s">
        <v>161</v>
      </c>
    </row>
    <row r="576" spans="1:4">
      <c r="A576" s="167" t="s">
        <v>1875</v>
      </c>
      <c r="B576" s="166" t="s">
        <v>1876</v>
      </c>
      <c r="C576" s="945" t="s">
        <v>1646</v>
      </c>
      <c r="D576" s="945" t="s">
        <v>167</v>
      </c>
    </row>
    <row r="577" spans="1:4">
      <c r="A577" s="167" t="s">
        <v>1460</v>
      </c>
      <c r="B577" s="166" t="s">
        <v>1459</v>
      </c>
      <c r="C577" s="945" t="s">
        <v>175</v>
      </c>
      <c r="D577" s="945" t="s">
        <v>187</v>
      </c>
    </row>
    <row r="578" spans="1:4">
      <c r="A578" s="167" t="s">
        <v>1881</v>
      </c>
      <c r="B578" s="166" t="s">
        <v>1882</v>
      </c>
      <c r="C578" s="945" t="s">
        <v>155</v>
      </c>
      <c r="D578" s="945" t="s">
        <v>1700</v>
      </c>
    </row>
    <row r="579" spans="1:4">
      <c r="A579" s="167" t="s">
        <v>1384</v>
      </c>
      <c r="B579" s="166" t="s">
        <v>1383</v>
      </c>
      <c r="C579" s="945" t="s">
        <v>155</v>
      </c>
      <c r="D579" s="945" t="s">
        <v>167</v>
      </c>
    </row>
    <row r="580" spans="1:4">
      <c r="A580" s="167" t="s">
        <v>1167</v>
      </c>
      <c r="B580" s="166" t="s">
        <v>1166</v>
      </c>
      <c r="C580" s="945" t="s">
        <v>155</v>
      </c>
      <c r="D580" s="945" t="s">
        <v>167</v>
      </c>
    </row>
    <row r="581" spans="1:4">
      <c r="A581" s="167" t="s">
        <v>1468</v>
      </c>
      <c r="B581" s="166" t="s">
        <v>1467</v>
      </c>
      <c r="C581" s="945" t="s">
        <v>155</v>
      </c>
      <c r="D581" s="945" t="s">
        <v>167</v>
      </c>
    </row>
    <row r="582" spans="1:4">
      <c r="A582" s="167" t="s">
        <v>1411</v>
      </c>
      <c r="B582" s="166" t="s">
        <v>1410</v>
      </c>
      <c r="C582" s="945" t="s">
        <v>171</v>
      </c>
      <c r="D582" s="945" t="s">
        <v>172</v>
      </c>
    </row>
    <row r="583" spans="1:4">
      <c r="A583" s="167" t="s">
        <v>906</v>
      </c>
      <c r="B583" s="166" t="s">
        <v>905</v>
      </c>
      <c r="C583" s="945" t="s">
        <v>171</v>
      </c>
      <c r="D583" s="945" t="s">
        <v>172</v>
      </c>
    </row>
    <row r="584" spans="1:4">
      <c r="A584" s="167" t="s">
        <v>1263</v>
      </c>
      <c r="B584" s="166" t="s">
        <v>1262</v>
      </c>
      <c r="C584" s="945" t="s">
        <v>171</v>
      </c>
      <c r="D584" s="945" t="s">
        <v>172</v>
      </c>
    </row>
    <row r="585" spans="1:4">
      <c r="A585" s="167" t="s">
        <v>1540</v>
      </c>
      <c r="B585" s="166" t="s">
        <v>1419</v>
      </c>
      <c r="C585" s="945" t="s">
        <v>144</v>
      </c>
      <c r="D585" s="945" t="s">
        <v>146</v>
      </c>
    </row>
    <row r="586" spans="1:4">
      <c r="A586" s="167" t="s">
        <v>1791</v>
      </c>
      <c r="B586" s="166" t="s">
        <v>923</v>
      </c>
      <c r="C586" s="945" t="s">
        <v>144</v>
      </c>
      <c r="D586" s="945" t="s">
        <v>146</v>
      </c>
    </row>
    <row r="587" spans="1:4">
      <c r="A587" s="167" t="s">
        <v>1546</v>
      </c>
      <c r="B587" s="166" t="s">
        <v>1446</v>
      </c>
      <c r="C587" s="945" t="s">
        <v>144</v>
      </c>
      <c r="D587" s="945" t="s">
        <v>146</v>
      </c>
    </row>
    <row r="588" spans="1:4">
      <c r="A588" s="167" t="s">
        <v>1794</v>
      </c>
      <c r="B588" s="166" t="s">
        <v>1795</v>
      </c>
      <c r="C588" s="945" t="s">
        <v>144</v>
      </c>
      <c r="D588" s="945" t="s">
        <v>146</v>
      </c>
    </row>
    <row r="589" spans="1:4">
      <c r="A589" s="167" t="s">
        <v>908</v>
      </c>
      <c r="B589" s="166" t="s">
        <v>907</v>
      </c>
      <c r="C589" s="945" t="s">
        <v>144</v>
      </c>
      <c r="D589" s="945" t="s">
        <v>146</v>
      </c>
    </row>
    <row r="590" spans="1:4">
      <c r="A590" s="167" t="s">
        <v>1519</v>
      </c>
      <c r="B590" s="166" t="s">
        <v>1313</v>
      </c>
      <c r="C590" s="945" t="s">
        <v>144</v>
      </c>
      <c r="D590" s="945" t="s">
        <v>146</v>
      </c>
    </row>
    <row r="591" spans="1:4">
      <c r="A591" s="167" t="s">
        <v>1541</v>
      </c>
      <c r="B591" s="166" t="s">
        <v>1421</v>
      </c>
      <c r="C591" s="945" t="s">
        <v>144</v>
      </c>
      <c r="D591" s="945" t="s">
        <v>146</v>
      </c>
    </row>
    <row r="592" spans="1:4">
      <c r="A592" s="167" t="s">
        <v>1562</v>
      </c>
      <c r="B592" s="166" t="s">
        <v>1486</v>
      </c>
      <c r="C592" s="945" t="s">
        <v>144</v>
      </c>
      <c r="D592" s="945" t="s">
        <v>146</v>
      </c>
    </row>
    <row r="593" spans="1:4">
      <c r="A593" s="167" t="s">
        <v>1799</v>
      </c>
      <c r="B593" s="166" t="s">
        <v>1800</v>
      </c>
      <c r="C593" s="945" t="s">
        <v>144</v>
      </c>
      <c r="D593" s="945" t="s">
        <v>146</v>
      </c>
    </row>
    <row r="594" spans="1:4">
      <c r="A594" s="167" t="s">
        <v>1482</v>
      </c>
      <c r="B594" s="166" t="s">
        <v>1322</v>
      </c>
      <c r="C594" s="945" t="s">
        <v>144</v>
      </c>
      <c r="D594" s="945" t="s">
        <v>146</v>
      </c>
    </row>
    <row r="595" spans="1:4">
      <c r="A595" s="167" t="s">
        <v>910</v>
      </c>
      <c r="B595" s="166" t="s">
        <v>909</v>
      </c>
      <c r="C595" s="945" t="s">
        <v>144</v>
      </c>
      <c r="D595" s="945" t="s">
        <v>146</v>
      </c>
    </row>
    <row r="596" spans="1:4">
      <c r="A596" s="167" t="s">
        <v>1804</v>
      </c>
      <c r="B596" s="166" t="s">
        <v>1805</v>
      </c>
      <c r="C596" s="945" t="s">
        <v>144</v>
      </c>
      <c r="D596" s="945" t="s">
        <v>146</v>
      </c>
    </row>
    <row r="597" spans="1:4">
      <c r="A597" s="167" t="s">
        <v>1809</v>
      </c>
      <c r="B597" s="166" t="s">
        <v>1810</v>
      </c>
      <c r="C597" s="945" t="s">
        <v>144</v>
      </c>
      <c r="D597" s="945" t="s">
        <v>146</v>
      </c>
    </row>
    <row r="598" spans="1:4">
      <c r="A598" s="167" t="s">
        <v>912</v>
      </c>
      <c r="B598" s="166" t="s">
        <v>911</v>
      </c>
      <c r="C598" s="945" t="s">
        <v>144</v>
      </c>
      <c r="D598" s="945" t="s">
        <v>146</v>
      </c>
    </row>
    <row r="599" spans="1:4">
      <c r="A599" s="167" t="s">
        <v>1814</v>
      </c>
      <c r="B599" s="166" t="s">
        <v>1815</v>
      </c>
      <c r="C599" s="945" t="s">
        <v>144</v>
      </c>
      <c r="D599" s="945" t="s">
        <v>146</v>
      </c>
    </row>
    <row r="600" spans="1:4">
      <c r="A600" s="167" t="s">
        <v>1817</v>
      </c>
      <c r="B600" s="166" t="s">
        <v>1818</v>
      </c>
      <c r="C600" s="945" t="s">
        <v>144</v>
      </c>
      <c r="D600" s="945" t="s">
        <v>146</v>
      </c>
    </row>
    <row r="601" spans="1:4">
      <c r="A601" s="167" t="s">
        <v>914</v>
      </c>
      <c r="B601" s="951" t="s">
        <v>913</v>
      </c>
      <c r="C601" s="945" t="s">
        <v>144</v>
      </c>
      <c r="D601" s="945" t="s">
        <v>147</v>
      </c>
    </row>
    <row r="602" spans="1:4">
      <c r="A602" s="167" t="s">
        <v>1749</v>
      </c>
      <c r="B602" s="951" t="s">
        <v>1750</v>
      </c>
      <c r="C602" s="945" t="s">
        <v>144</v>
      </c>
      <c r="D602" s="945" t="s">
        <v>147</v>
      </c>
    </row>
    <row r="603" spans="1:4">
      <c r="A603" s="167" t="s">
        <v>916</v>
      </c>
      <c r="B603" s="166" t="s">
        <v>915</v>
      </c>
      <c r="C603" s="945" t="s">
        <v>144</v>
      </c>
      <c r="D603" s="945" t="s">
        <v>147</v>
      </c>
    </row>
    <row r="604" spans="1:4">
      <c r="A604" s="167" t="s">
        <v>1753</v>
      </c>
      <c r="B604" s="166" t="s">
        <v>1754</v>
      </c>
      <c r="C604" s="945" t="s">
        <v>144</v>
      </c>
      <c r="D604" s="945" t="s">
        <v>147</v>
      </c>
    </row>
    <row r="605" spans="1:4">
      <c r="A605" s="167" t="s">
        <v>1757</v>
      </c>
      <c r="B605" s="166" t="s">
        <v>1758</v>
      </c>
      <c r="C605" s="945" t="s">
        <v>144</v>
      </c>
      <c r="D605" s="945" t="s">
        <v>147</v>
      </c>
    </row>
    <row r="606" spans="1:4">
      <c r="A606" s="167" t="s">
        <v>1761</v>
      </c>
      <c r="B606" s="166" t="s">
        <v>1762</v>
      </c>
      <c r="C606" s="945" t="s">
        <v>144</v>
      </c>
      <c r="D606" s="945" t="s">
        <v>147</v>
      </c>
    </row>
    <row r="607" spans="1:4">
      <c r="A607" s="167" t="s">
        <v>1765</v>
      </c>
      <c r="B607" s="166" t="s">
        <v>1766</v>
      </c>
      <c r="C607" s="945" t="s">
        <v>144</v>
      </c>
      <c r="D607" s="945" t="s">
        <v>147</v>
      </c>
    </row>
    <row r="608" spans="1:4">
      <c r="A608" s="167" t="s">
        <v>1454</v>
      </c>
      <c r="B608" s="166" t="s">
        <v>1320</v>
      </c>
      <c r="C608" s="945" t="s">
        <v>144</v>
      </c>
      <c r="D608" s="945" t="s">
        <v>147</v>
      </c>
    </row>
    <row r="609" spans="1:4">
      <c r="A609" s="167" t="s">
        <v>1773</v>
      </c>
      <c r="B609" s="166" t="s">
        <v>1774</v>
      </c>
      <c r="C609" s="945" t="s">
        <v>144</v>
      </c>
      <c r="D609" s="945" t="s">
        <v>147</v>
      </c>
    </row>
    <row r="610" spans="1:4">
      <c r="A610" s="167" t="s">
        <v>1777</v>
      </c>
      <c r="B610" s="166" t="s">
        <v>1778</v>
      </c>
      <c r="C610" s="945" t="s">
        <v>144</v>
      </c>
      <c r="D610" s="945" t="s">
        <v>147</v>
      </c>
    </row>
    <row r="611" spans="1:4">
      <c r="A611" s="167" t="s">
        <v>1153</v>
      </c>
      <c r="B611" s="166" t="s">
        <v>928</v>
      </c>
      <c r="C611" s="945" t="s">
        <v>144</v>
      </c>
      <c r="D611" s="945" t="s">
        <v>147</v>
      </c>
    </row>
    <row r="612" spans="1:4">
      <c r="A612" s="167" t="s">
        <v>1785</v>
      </c>
      <c r="B612" s="166" t="s">
        <v>1786</v>
      </c>
      <c r="C612" s="945" t="s">
        <v>144</v>
      </c>
      <c r="D612" s="945" t="s">
        <v>147</v>
      </c>
    </row>
    <row r="613" spans="1:4">
      <c r="A613" s="167" t="s">
        <v>1787</v>
      </c>
      <c r="B613" s="166" t="s">
        <v>1788</v>
      </c>
      <c r="C613" s="945" t="s">
        <v>144</v>
      </c>
      <c r="D613" s="945" t="s">
        <v>147</v>
      </c>
    </row>
    <row r="614" spans="1:4">
      <c r="A614" s="167" t="s">
        <v>1555</v>
      </c>
      <c r="B614" s="166" t="s">
        <v>1554</v>
      </c>
      <c r="C614" s="945" t="s">
        <v>144</v>
      </c>
      <c r="D614" s="945" t="s">
        <v>146</v>
      </c>
    </row>
    <row r="615" spans="1:4">
      <c r="A615" s="167" t="s">
        <v>918</v>
      </c>
      <c r="B615" s="166" t="s">
        <v>917</v>
      </c>
      <c r="C615" s="945" t="s">
        <v>144</v>
      </c>
      <c r="D615" s="945" t="s">
        <v>146</v>
      </c>
    </row>
    <row r="616" spans="1:4">
      <c r="A616" s="168" t="s">
        <v>1518</v>
      </c>
      <c r="B616" s="169" t="s">
        <v>1223</v>
      </c>
      <c r="C616" s="945" t="s">
        <v>144</v>
      </c>
      <c r="D616" s="945" t="s">
        <v>147</v>
      </c>
    </row>
    <row r="617" spans="1:4">
      <c r="A617" s="167" t="s">
        <v>1517</v>
      </c>
      <c r="B617" s="166" t="s">
        <v>1516</v>
      </c>
      <c r="C617" s="945" t="s">
        <v>175</v>
      </c>
      <c r="D617" s="945" t="s">
        <v>177</v>
      </c>
    </row>
    <row r="618" spans="1:4">
      <c r="A618" s="169" t="s">
        <v>1228</v>
      </c>
      <c r="B618" s="169" t="s">
        <v>1147</v>
      </c>
      <c r="C618" s="945"/>
      <c r="D618" s="945"/>
    </row>
    <row r="619" spans="1:4">
      <c r="A619" s="166" t="s">
        <v>1543</v>
      </c>
      <c r="B619" s="166" t="s">
        <v>1542</v>
      </c>
      <c r="C619" s="945" t="s">
        <v>175</v>
      </c>
      <c r="D619" s="945" t="s">
        <v>179</v>
      </c>
    </row>
    <row r="620" spans="1:4">
      <c r="A620" s="168" t="s">
        <v>1148</v>
      </c>
      <c r="B620" s="169" t="s">
        <v>1147</v>
      </c>
      <c r="C620" s="945"/>
      <c r="D620" s="945"/>
    </row>
    <row r="621" spans="1:4">
      <c r="A621" s="166" t="s">
        <v>1514</v>
      </c>
      <c r="B621" s="166" t="s">
        <v>1513</v>
      </c>
      <c r="C621" s="945" t="s">
        <v>175</v>
      </c>
      <c r="D621" s="945" t="s">
        <v>180</v>
      </c>
    </row>
    <row r="622" spans="1:4">
      <c r="A622" s="168" t="s">
        <v>1222</v>
      </c>
      <c r="B622" s="169" t="s">
        <v>1147</v>
      </c>
      <c r="C622" s="945"/>
      <c r="D622" s="945"/>
    </row>
    <row r="623" spans="1:4">
      <c r="A623" s="166" t="s">
        <v>1163</v>
      </c>
      <c r="B623" s="166" t="s">
        <v>1162</v>
      </c>
      <c r="C623" s="945" t="s">
        <v>175</v>
      </c>
      <c r="D623" s="945" t="s">
        <v>179</v>
      </c>
    </row>
    <row r="624" spans="1:4">
      <c r="A624" s="167" t="s">
        <v>1355</v>
      </c>
      <c r="B624" s="166" t="s">
        <v>1354</v>
      </c>
      <c r="C624" s="945" t="s">
        <v>175</v>
      </c>
      <c r="D624" s="945" t="s">
        <v>177</v>
      </c>
    </row>
    <row r="625" spans="1:4">
      <c r="A625" s="167" t="s">
        <v>1378</v>
      </c>
      <c r="B625" s="166" t="s">
        <v>1377</v>
      </c>
      <c r="C625" s="945" t="s">
        <v>175</v>
      </c>
      <c r="D625" s="945" t="s">
        <v>189</v>
      </c>
    </row>
    <row r="626" spans="1:4">
      <c r="A626" s="167" t="s">
        <v>1883</v>
      </c>
      <c r="B626" s="166" t="s">
        <v>1876</v>
      </c>
      <c r="C626" s="945" t="s">
        <v>155</v>
      </c>
      <c r="D626" s="945" t="s">
        <v>1700</v>
      </c>
    </row>
    <row r="627" spans="1:4">
      <c r="A627" s="166" t="s">
        <v>1364</v>
      </c>
      <c r="B627" s="166" t="s">
        <v>1363</v>
      </c>
      <c r="C627" s="945" t="s">
        <v>175</v>
      </c>
      <c r="D627" s="945" t="s">
        <v>178</v>
      </c>
    </row>
    <row r="628" spans="1:4">
      <c r="A628" s="166" t="s">
        <v>920</v>
      </c>
      <c r="B628" s="166" t="s">
        <v>919</v>
      </c>
      <c r="C628" s="945" t="s">
        <v>175</v>
      </c>
      <c r="D628" s="945" t="s">
        <v>178</v>
      </c>
    </row>
    <row r="629" spans="1:4">
      <c r="A629" s="167" t="s">
        <v>1215</v>
      </c>
      <c r="B629" s="166" t="s">
        <v>1214</v>
      </c>
      <c r="C629" s="945" t="s">
        <v>175</v>
      </c>
      <c r="D629" s="945" t="s">
        <v>178</v>
      </c>
    </row>
    <row r="630" spans="1:4">
      <c r="A630" s="167" t="s">
        <v>1435</v>
      </c>
      <c r="B630" s="166" t="s">
        <v>1434</v>
      </c>
      <c r="C630" s="945" t="s">
        <v>175</v>
      </c>
      <c r="D630" s="945" t="s">
        <v>181</v>
      </c>
    </row>
    <row r="631" spans="1:4">
      <c r="A631" s="167" t="s">
        <v>1194</v>
      </c>
      <c r="B631" s="166" t="s">
        <v>1193</v>
      </c>
      <c r="C631" s="945" t="s">
        <v>175</v>
      </c>
      <c r="D631" s="945" t="s">
        <v>181</v>
      </c>
    </row>
    <row r="632" spans="1:4">
      <c r="A632" s="167" t="s">
        <v>1504</v>
      </c>
      <c r="B632" s="166" t="s">
        <v>1503</v>
      </c>
      <c r="C632" s="945" t="s">
        <v>175</v>
      </c>
      <c r="D632" s="945" t="s">
        <v>1922</v>
      </c>
    </row>
    <row r="633" spans="1:4">
      <c r="A633" s="167" t="s">
        <v>1491</v>
      </c>
      <c r="B633" s="166" t="s">
        <v>1490</v>
      </c>
      <c r="C633" s="945" t="s">
        <v>175</v>
      </c>
      <c r="D633" s="945" t="s">
        <v>186</v>
      </c>
    </row>
    <row r="634" spans="1:4">
      <c r="A634" s="167" t="s">
        <v>922</v>
      </c>
      <c r="B634" s="166" t="s">
        <v>921</v>
      </c>
      <c r="C634" s="945" t="s">
        <v>1646</v>
      </c>
      <c r="D634" s="945" t="s">
        <v>178</v>
      </c>
    </row>
    <row r="635" spans="1:4">
      <c r="A635" s="167" t="s">
        <v>423</v>
      </c>
      <c r="B635" s="166" t="s">
        <v>422</v>
      </c>
      <c r="C635" s="945" t="s">
        <v>175</v>
      </c>
      <c r="D635" s="945" t="s">
        <v>183</v>
      </c>
    </row>
    <row r="636" spans="1:4">
      <c r="A636" s="167" t="s">
        <v>1420</v>
      </c>
      <c r="B636" s="166" t="s">
        <v>1419</v>
      </c>
      <c r="C636" s="945" t="s">
        <v>144</v>
      </c>
      <c r="D636" s="945" t="s">
        <v>146</v>
      </c>
    </row>
    <row r="637" spans="1:4">
      <c r="A637" s="167" t="s">
        <v>924</v>
      </c>
      <c r="B637" s="166" t="s">
        <v>923</v>
      </c>
      <c r="C637" s="945" t="s">
        <v>144</v>
      </c>
      <c r="D637" s="945" t="s">
        <v>146</v>
      </c>
    </row>
    <row r="638" spans="1:4">
      <c r="A638" s="167" t="s">
        <v>1447</v>
      </c>
      <c r="B638" s="166" t="s">
        <v>1446</v>
      </c>
      <c r="C638" s="945" t="s">
        <v>144</v>
      </c>
      <c r="D638" s="945" t="s">
        <v>146</v>
      </c>
    </row>
    <row r="639" spans="1:4">
      <c r="A639" s="167" t="s">
        <v>1796</v>
      </c>
      <c r="B639" s="166" t="s">
        <v>1795</v>
      </c>
      <c r="C639" s="945" t="s">
        <v>144</v>
      </c>
      <c r="D639" s="945" t="s">
        <v>146</v>
      </c>
    </row>
    <row r="640" spans="1:4">
      <c r="A640" s="176" t="s">
        <v>925</v>
      </c>
      <c r="B640" s="556" t="s">
        <v>907</v>
      </c>
      <c r="C640" s="945" t="s">
        <v>144</v>
      </c>
      <c r="D640" s="945" t="s">
        <v>146</v>
      </c>
    </row>
    <row r="641" spans="1:4">
      <c r="A641" s="167" t="s">
        <v>1314</v>
      </c>
      <c r="B641" s="166" t="s">
        <v>1313</v>
      </c>
      <c r="C641" s="945" t="s">
        <v>144</v>
      </c>
      <c r="D641" s="945" t="s">
        <v>146</v>
      </c>
    </row>
    <row r="642" spans="1:4">
      <c r="A642" s="167" t="s">
        <v>1422</v>
      </c>
      <c r="B642" s="166" t="s">
        <v>1421</v>
      </c>
      <c r="C642" s="945" t="s">
        <v>144</v>
      </c>
      <c r="D642" s="945" t="s">
        <v>146</v>
      </c>
    </row>
    <row r="643" spans="1:4">
      <c r="A643" s="167" t="s">
        <v>1487</v>
      </c>
      <c r="B643" s="166" t="s">
        <v>1486</v>
      </c>
      <c r="C643" s="945" t="s">
        <v>144</v>
      </c>
      <c r="D643" s="945" t="s">
        <v>146</v>
      </c>
    </row>
    <row r="644" spans="1:4">
      <c r="A644" s="167" t="s">
        <v>1801</v>
      </c>
      <c r="B644" s="166" t="s">
        <v>1800</v>
      </c>
      <c r="C644" s="945" t="s">
        <v>144</v>
      </c>
      <c r="D644" s="945" t="s">
        <v>146</v>
      </c>
    </row>
    <row r="645" spans="1:4">
      <c r="A645" s="167" t="s">
        <v>1323</v>
      </c>
      <c r="B645" s="166" t="s">
        <v>1322</v>
      </c>
      <c r="C645" s="945" t="s">
        <v>144</v>
      </c>
      <c r="D645" s="945" t="s">
        <v>146</v>
      </c>
    </row>
    <row r="646" spans="1:4">
      <c r="A646" s="167" t="s">
        <v>926</v>
      </c>
      <c r="B646" s="166" t="s">
        <v>909</v>
      </c>
      <c r="C646" s="945" t="s">
        <v>144</v>
      </c>
      <c r="D646" s="945" t="s">
        <v>146</v>
      </c>
    </row>
    <row r="647" spans="1:4">
      <c r="A647" s="167" t="s">
        <v>1806</v>
      </c>
      <c r="B647" s="166" t="s">
        <v>1805</v>
      </c>
      <c r="C647" s="945" t="s">
        <v>144</v>
      </c>
      <c r="D647" s="945" t="s">
        <v>146</v>
      </c>
    </row>
    <row r="648" spans="1:4">
      <c r="A648" s="167" t="s">
        <v>1811</v>
      </c>
      <c r="B648" s="166" t="s">
        <v>1810</v>
      </c>
      <c r="C648" s="945" t="s">
        <v>144</v>
      </c>
      <c r="D648" s="945" t="s">
        <v>146</v>
      </c>
    </row>
    <row r="649" spans="1:4">
      <c r="A649" s="167" t="s">
        <v>927</v>
      </c>
      <c r="B649" s="166" t="s">
        <v>911</v>
      </c>
      <c r="C649" s="945" t="s">
        <v>144</v>
      </c>
      <c r="D649" s="945" t="s">
        <v>146</v>
      </c>
    </row>
    <row r="650" spans="1:4">
      <c r="A650" s="176" t="s">
        <v>1816</v>
      </c>
      <c r="B650" s="571" t="s">
        <v>1815</v>
      </c>
      <c r="C650" s="945" t="s">
        <v>144</v>
      </c>
      <c r="D650" s="945" t="s">
        <v>146</v>
      </c>
    </row>
    <row r="651" spans="1:4">
      <c r="A651" s="167" t="s">
        <v>1321</v>
      </c>
      <c r="B651" s="171" t="s">
        <v>1320</v>
      </c>
      <c r="C651" s="945" t="s">
        <v>144</v>
      </c>
      <c r="D651" s="945" t="s">
        <v>147</v>
      </c>
    </row>
    <row r="652" spans="1:4">
      <c r="A652" s="167" t="s">
        <v>1769</v>
      </c>
      <c r="B652" s="166" t="s">
        <v>1770</v>
      </c>
      <c r="C652" s="945" t="s">
        <v>144</v>
      </c>
      <c r="D652" s="945" t="s">
        <v>147</v>
      </c>
    </row>
    <row r="653" spans="1:4">
      <c r="A653" s="167" t="s">
        <v>1782</v>
      </c>
      <c r="B653" s="166" t="s">
        <v>1781</v>
      </c>
      <c r="C653" s="945" t="s">
        <v>144</v>
      </c>
      <c r="D653" s="945" t="s">
        <v>147</v>
      </c>
    </row>
    <row r="654" spans="1:4">
      <c r="A654" s="167" t="s">
        <v>1493</v>
      </c>
      <c r="B654" s="166" t="s">
        <v>1492</v>
      </c>
      <c r="C654" s="945" t="s">
        <v>144</v>
      </c>
      <c r="D654" s="945" t="s">
        <v>146</v>
      </c>
    </row>
    <row r="655" spans="1:4">
      <c r="A655" s="167" t="s">
        <v>929</v>
      </c>
      <c r="B655" s="166" t="s">
        <v>917</v>
      </c>
      <c r="C655" s="945" t="s">
        <v>144</v>
      </c>
      <c r="D655" s="945" t="s">
        <v>146</v>
      </c>
    </row>
    <row r="656" spans="1:4">
      <c r="A656" s="167" t="s">
        <v>931</v>
      </c>
      <c r="B656" s="166" t="s">
        <v>930</v>
      </c>
      <c r="C656" s="945" t="s">
        <v>144</v>
      </c>
      <c r="D656" s="945" t="s">
        <v>147</v>
      </c>
    </row>
    <row r="657" spans="1:4">
      <c r="A657" s="168" t="s">
        <v>1224</v>
      </c>
      <c r="B657" s="169" t="s">
        <v>1223</v>
      </c>
      <c r="C657" s="945" t="s">
        <v>144</v>
      </c>
      <c r="D657" s="945" t="s">
        <v>147</v>
      </c>
    </row>
    <row r="658" spans="1:4">
      <c r="A658" s="167" t="s">
        <v>1485</v>
      </c>
      <c r="B658" s="166" t="s">
        <v>1523</v>
      </c>
      <c r="C658" s="945" t="s">
        <v>75</v>
      </c>
      <c r="D658" s="945" t="s">
        <v>103</v>
      </c>
    </row>
    <row r="659" spans="1:4">
      <c r="A659" s="167" t="s">
        <v>1444</v>
      </c>
      <c r="B659" s="166" t="s">
        <v>1442</v>
      </c>
      <c r="C659" s="945" t="s">
        <v>75</v>
      </c>
      <c r="D659" s="945" t="s">
        <v>104</v>
      </c>
    </row>
    <row r="660" spans="1:4">
      <c r="A660" s="167" t="s">
        <v>400</v>
      </c>
      <c r="B660" s="166" t="s">
        <v>399</v>
      </c>
      <c r="C660" s="945" t="s">
        <v>75</v>
      </c>
      <c r="D660" s="945" t="s">
        <v>106</v>
      </c>
    </row>
    <row r="661" spans="1:4">
      <c r="A661" s="167" t="s">
        <v>1436</v>
      </c>
      <c r="B661" s="166" t="s">
        <v>1360</v>
      </c>
      <c r="C661" s="945" t="s">
        <v>75</v>
      </c>
      <c r="D661" s="945" t="s">
        <v>107</v>
      </c>
    </row>
    <row r="662" spans="1:4">
      <c r="A662" s="167" t="s">
        <v>940</v>
      </c>
      <c r="B662" s="166" t="s">
        <v>938</v>
      </c>
      <c r="C662" s="945" t="s">
        <v>75</v>
      </c>
      <c r="D662" s="945" t="s">
        <v>109</v>
      </c>
    </row>
    <row r="663" spans="1:4">
      <c r="A663" s="167" t="s">
        <v>1409</v>
      </c>
      <c r="B663" s="166" t="s">
        <v>1407</v>
      </c>
      <c r="C663" s="945" t="s">
        <v>75</v>
      </c>
      <c r="D663" s="945" t="s">
        <v>105</v>
      </c>
    </row>
    <row r="664" spans="1:4">
      <c r="A664" s="167" t="s">
        <v>1376</v>
      </c>
      <c r="B664" s="166" t="s">
        <v>1374</v>
      </c>
      <c r="C664" s="945" t="s">
        <v>75</v>
      </c>
      <c r="D664" s="945" t="s">
        <v>108</v>
      </c>
    </row>
    <row r="665" spans="1:4">
      <c r="A665" s="167" t="s">
        <v>444</v>
      </c>
      <c r="B665" s="166" t="s">
        <v>443</v>
      </c>
      <c r="C665" s="945" t="s">
        <v>75</v>
      </c>
      <c r="D665" s="945" t="s">
        <v>108</v>
      </c>
    </row>
    <row r="666" spans="1:4">
      <c r="A666" s="167" t="s">
        <v>1885</v>
      </c>
      <c r="B666" s="556" t="s">
        <v>1886</v>
      </c>
      <c r="C666" s="945" t="s">
        <v>75</v>
      </c>
      <c r="D666" s="945" t="s">
        <v>108</v>
      </c>
    </row>
    <row r="667" spans="1:4">
      <c r="A667" s="167" t="s">
        <v>1261</v>
      </c>
      <c r="B667" s="166" t="s">
        <v>1259</v>
      </c>
      <c r="C667" s="945" t="s">
        <v>75</v>
      </c>
      <c r="D667" s="945" t="s">
        <v>213</v>
      </c>
    </row>
    <row r="668" spans="1:4">
      <c r="A668" s="167" t="s">
        <v>1185</v>
      </c>
      <c r="B668" s="166" t="s">
        <v>1183</v>
      </c>
      <c r="C668" s="945" t="s">
        <v>75</v>
      </c>
      <c r="D668" s="945" t="s">
        <v>112</v>
      </c>
    </row>
    <row r="669" spans="1:4">
      <c r="A669" s="167" t="s">
        <v>1268</v>
      </c>
      <c r="B669" s="166" t="s">
        <v>1342</v>
      </c>
      <c r="C669" s="945" t="s">
        <v>75</v>
      </c>
      <c r="D669" s="945" t="s">
        <v>113</v>
      </c>
    </row>
    <row r="670" spans="1:4">
      <c r="A670" s="167" t="s">
        <v>1251</v>
      </c>
      <c r="B670" s="166" t="s">
        <v>1249</v>
      </c>
      <c r="C670" s="945" t="s">
        <v>75</v>
      </c>
      <c r="D670" s="945" t="s">
        <v>114</v>
      </c>
    </row>
    <row r="671" spans="1:4">
      <c r="A671" s="167" t="s">
        <v>1213</v>
      </c>
      <c r="B671" s="166" t="s">
        <v>1445</v>
      </c>
      <c r="C671" s="945" t="s">
        <v>75</v>
      </c>
      <c r="D671" s="945" t="s">
        <v>116</v>
      </c>
    </row>
    <row r="672" spans="1:4">
      <c r="A672" s="167" t="s">
        <v>1254</v>
      </c>
      <c r="B672" s="166" t="s">
        <v>1252</v>
      </c>
      <c r="C672" s="945" t="s">
        <v>75</v>
      </c>
      <c r="D672" s="945" t="s">
        <v>119</v>
      </c>
    </row>
    <row r="673" spans="1:4">
      <c r="A673" s="167" t="s">
        <v>1285</v>
      </c>
      <c r="B673" s="166" t="s">
        <v>1283</v>
      </c>
      <c r="C673" s="945" t="s">
        <v>75</v>
      </c>
      <c r="D673" s="945" t="s">
        <v>117</v>
      </c>
    </row>
    <row r="674" spans="1:4">
      <c r="A674" s="166" t="s">
        <v>1307</v>
      </c>
      <c r="B674" s="166" t="s">
        <v>1414</v>
      </c>
      <c r="C674" s="945" t="s">
        <v>75</v>
      </c>
      <c r="D674" s="945" t="s">
        <v>118</v>
      </c>
    </row>
    <row r="675" spans="1:4">
      <c r="A675" s="167" t="s">
        <v>1159</v>
      </c>
      <c r="B675" s="166" t="s">
        <v>1157</v>
      </c>
      <c r="C675" s="945" t="s">
        <v>75</v>
      </c>
      <c r="D675" s="945" t="s">
        <v>127</v>
      </c>
    </row>
    <row r="676" spans="1:4">
      <c r="A676" s="167" t="s">
        <v>933</v>
      </c>
      <c r="B676" s="166" t="s">
        <v>932</v>
      </c>
      <c r="C676" s="945" t="s">
        <v>155</v>
      </c>
      <c r="D676" s="945" t="s">
        <v>128</v>
      </c>
    </row>
    <row r="677" spans="1:4">
      <c r="A677" s="167" t="s">
        <v>935</v>
      </c>
      <c r="B677" s="166" t="s">
        <v>934</v>
      </c>
      <c r="C677" s="945" t="s">
        <v>75</v>
      </c>
      <c r="D677" s="945" t="s">
        <v>133</v>
      </c>
    </row>
    <row r="678" spans="1:4">
      <c r="A678" s="167" t="s">
        <v>1188</v>
      </c>
      <c r="B678" s="166" t="s">
        <v>1186</v>
      </c>
      <c r="C678" s="945" t="s">
        <v>75</v>
      </c>
      <c r="D678" s="945" t="s">
        <v>123</v>
      </c>
    </row>
    <row r="679" spans="1:4">
      <c r="A679" s="167" t="s">
        <v>1182</v>
      </c>
      <c r="B679" s="166" t="s">
        <v>1180</v>
      </c>
      <c r="C679" s="945" t="s">
        <v>75</v>
      </c>
      <c r="D679" s="945" t="s">
        <v>131</v>
      </c>
    </row>
    <row r="680" spans="1:4">
      <c r="A680" s="167" t="s">
        <v>1288</v>
      </c>
      <c r="B680" s="166" t="s">
        <v>1286</v>
      </c>
      <c r="C680" s="945" t="s">
        <v>75</v>
      </c>
      <c r="D680" s="945" t="s">
        <v>124</v>
      </c>
    </row>
    <row r="681" spans="1:4">
      <c r="A681" s="167" t="s">
        <v>1208</v>
      </c>
      <c r="B681" s="166" t="s">
        <v>1206</v>
      </c>
      <c r="C681" s="945" t="s">
        <v>75</v>
      </c>
      <c r="D681" s="945" t="s">
        <v>129</v>
      </c>
    </row>
    <row r="682" spans="1:4">
      <c r="A682" s="167" t="s">
        <v>1156</v>
      </c>
      <c r="B682" s="166" t="s">
        <v>1154</v>
      </c>
      <c r="C682" s="945" t="s">
        <v>75</v>
      </c>
      <c r="D682" s="945" t="s">
        <v>130</v>
      </c>
    </row>
    <row r="683" spans="1:4">
      <c r="A683" s="167" t="s">
        <v>1239</v>
      </c>
      <c r="B683" s="166" t="s">
        <v>1237</v>
      </c>
      <c r="C683" s="945" t="s">
        <v>75</v>
      </c>
      <c r="D683" s="945" t="s">
        <v>132</v>
      </c>
    </row>
    <row r="684" spans="1:4">
      <c r="A684" s="167" t="s">
        <v>1219</v>
      </c>
      <c r="B684" s="166" t="s">
        <v>1315</v>
      </c>
      <c r="C684" s="945" t="s">
        <v>75</v>
      </c>
      <c r="D684" s="945" t="s">
        <v>125</v>
      </c>
    </row>
    <row r="685" spans="1:4">
      <c r="A685" s="167" t="s">
        <v>1310</v>
      </c>
      <c r="B685" s="166" t="s">
        <v>1308</v>
      </c>
      <c r="C685" s="945" t="s">
        <v>75</v>
      </c>
      <c r="D685" s="945" t="s">
        <v>126</v>
      </c>
    </row>
    <row r="686" spans="1:4">
      <c r="A686" s="167" t="s">
        <v>1335</v>
      </c>
      <c r="B686" s="166" t="s">
        <v>1333</v>
      </c>
      <c r="C686" s="945" t="s">
        <v>1646</v>
      </c>
      <c r="D686" s="945" t="s">
        <v>260</v>
      </c>
    </row>
    <row r="687" spans="1:4">
      <c r="A687" s="167" t="s">
        <v>937</v>
      </c>
      <c r="B687" s="166" t="s">
        <v>936</v>
      </c>
      <c r="C687" s="945" t="s">
        <v>1646</v>
      </c>
      <c r="D687" s="945" t="s">
        <v>250</v>
      </c>
    </row>
    <row r="688" spans="1:4">
      <c r="A688" s="167" t="s">
        <v>1246</v>
      </c>
      <c r="B688" s="166" t="s">
        <v>1332</v>
      </c>
      <c r="C688" s="945" t="s">
        <v>1646</v>
      </c>
      <c r="D688" s="945" t="s">
        <v>244</v>
      </c>
    </row>
    <row r="689" spans="1:4">
      <c r="A689" s="167" t="s">
        <v>1400</v>
      </c>
      <c r="B689" s="166" t="s">
        <v>1469</v>
      </c>
      <c r="C689" s="945" t="s">
        <v>75</v>
      </c>
      <c r="D689" s="945" t="s">
        <v>235</v>
      </c>
    </row>
    <row r="690" spans="1:4">
      <c r="A690" s="167" t="s">
        <v>1257</v>
      </c>
      <c r="B690" s="166" t="s">
        <v>1366</v>
      </c>
      <c r="C690" s="945" t="s">
        <v>1646</v>
      </c>
      <c r="D690" s="945" t="s">
        <v>242</v>
      </c>
    </row>
    <row r="691" spans="1:4">
      <c r="A691" s="167" t="s">
        <v>1205</v>
      </c>
      <c r="B691" s="166" t="s">
        <v>1362</v>
      </c>
      <c r="C691" s="945" t="s">
        <v>1646</v>
      </c>
      <c r="D691" s="945" t="s">
        <v>237</v>
      </c>
    </row>
    <row r="692" spans="1:4">
      <c r="A692" s="167" t="s">
        <v>1887</v>
      </c>
      <c r="B692" s="166" t="s">
        <v>1888</v>
      </c>
      <c r="C692" s="945" t="s">
        <v>1646</v>
      </c>
      <c r="D692" s="945" t="s">
        <v>241</v>
      </c>
    </row>
    <row r="693" spans="1:4">
      <c r="A693" s="167" t="s">
        <v>1227</v>
      </c>
      <c r="B693" s="166" t="s">
        <v>1296</v>
      </c>
      <c r="C693" s="945" t="s">
        <v>1646</v>
      </c>
      <c r="D693" s="945" t="s">
        <v>239</v>
      </c>
    </row>
    <row r="694" spans="1:4">
      <c r="A694" s="167" t="s">
        <v>1273</v>
      </c>
      <c r="B694" s="166" t="s">
        <v>1395</v>
      </c>
      <c r="C694" s="945" t="s">
        <v>1646</v>
      </c>
      <c r="D694" s="945" t="s">
        <v>246</v>
      </c>
    </row>
    <row r="695" spans="1:4">
      <c r="A695" s="167" t="s">
        <v>1897</v>
      </c>
      <c r="B695" s="166" t="s">
        <v>1898</v>
      </c>
      <c r="C695" s="945" t="s">
        <v>1646</v>
      </c>
      <c r="D695" s="945" t="s">
        <v>252</v>
      </c>
    </row>
    <row r="696" spans="1:4">
      <c r="A696" s="167" t="s">
        <v>1484</v>
      </c>
      <c r="B696" s="166" t="s">
        <v>1483</v>
      </c>
      <c r="C696" s="945" t="s">
        <v>144</v>
      </c>
      <c r="D696" s="945" t="s">
        <v>103</v>
      </c>
    </row>
    <row r="697" spans="1:4">
      <c r="A697" s="167" t="s">
        <v>1443</v>
      </c>
      <c r="B697" s="166" t="s">
        <v>1442</v>
      </c>
      <c r="C697" s="945" t="s">
        <v>144</v>
      </c>
      <c r="D697" s="945" t="s">
        <v>104</v>
      </c>
    </row>
    <row r="698" spans="1:4">
      <c r="A698" s="167" t="s">
        <v>1231</v>
      </c>
      <c r="B698" s="166" t="s">
        <v>1230</v>
      </c>
      <c r="C698" s="945" t="s">
        <v>144</v>
      </c>
      <c r="D698" s="945" t="s">
        <v>106</v>
      </c>
    </row>
    <row r="699" spans="1:4">
      <c r="A699" s="167" t="s">
        <v>1361</v>
      </c>
      <c r="B699" s="166" t="s">
        <v>1360</v>
      </c>
      <c r="C699" s="945" t="s">
        <v>144</v>
      </c>
      <c r="D699" s="945" t="s">
        <v>107</v>
      </c>
    </row>
    <row r="700" spans="1:4">
      <c r="A700" s="167" t="s">
        <v>939</v>
      </c>
      <c r="B700" s="166" t="s">
        <v>938</v>
      </c>
      <c r="C700" s="945" t="s">
        <v>1646</v>
      </c>
      <c r="D700" s="945" t="s">
        <v>262</v>
      </c>
    </row>
    <row r="701" spans="1:4">
      <c r="A701" s="167" t="s">
        <v>1408</v>
      </c>
      <c r="B701" s="166" t="s">
        <v>1407</v>
      </c>
      <c r="C701" s="945" t="s">
        <v>144</v>
      </c>
      <c r="D701" s="945" t="s">
        <v>105</v>
      </c>
    </row>
    <row r="702" spans="1:4">
      <c r="A702" s="167" t="s">
        <v>1415</v>
      </c>
      <c r="B702" s="166" t="s">
        <v>1374</v>
      </c>
      <c r="C702" s="945" t="s">
        <v>144</v>
      </c>
      <c r="D702" s="945" t="s">
        <v>108</v>
      </c>
    </row>
    <row r="703" spans="1:4">
      <c r="A703" s="167" t="s">
        <v>491</v>
      </c>
      <c r="B703" s="166" t="s">
        <v>490</v>
      </c>
      <c r="C703" s="945" t="s">
        <v>144</v>
      </c>
      <c r="D703" s="945" t="s">
        <v>108</v>
      </c>
    </row>
    <row r="704" spans="1:4">
      <c r="A704" s="167" t="s">
        <v>1297</v>
      </c>
      <c r="B704" s="166" t="s">
        <v>1259</v>
      </c>
      <c r="C704" s="945" t="s">
        <v>144</v>
      </c>
      <c r="D704" s="945" t="s">
        <v>213</v>
      </c>
    </row>
    <row r="705" spans="1:4">
      <c r="A705" s="167" t="s">
        <v>1184</v>
      </c>
      <c r="B705" s="166" t="s">
        <v>1183</v>
      </c>
      <c r="C705" s="945" t="s">
        <v>144</v>
      </c>
      <c r="D705" s="945" t="s">
        <v>112</v>
      </c>
    </row>
    <row r="706" spans="1:4">
      <c r="A706" s="167" t="s">
        <v>1373</v>
      </c>
      <c r="B706" s="166" t="s">
        <v>1342</v>
      </c>
      <c r="C706" s="945" t="s">
        <v>144</v>
      </c>
      <c r="D706" s="945" t="s">
        <v>113</v>
      </c>
    </row>
    <row r="707" spans="1:4">
      <c r="A707" s="167" t="s">
        <v>1413</v>
      </c>
      <c r="B707" s="166" t="s">
        <v>1412</v>
      </c>
      <c r="C707" s="945" t="s">
        <v>144</v>
      </c>
      <c r="D707" s="945" t="s">
        <v>114</v>
      </c>
    </row>
    <row r="708" spans="1:4">
      <c r="A708" s="167" t="s">
        <v>1303</v>
      </c>
      <c r="B708" s="166" t="s">
        <v>1211</v>
      </c>
      <c r="C708" s="945" t="s">
        <v>144</v>
      </c>
      <c r="D708" s="945" t="s">
        <v>116</v>
      </c>
    </row>
    <row r="709" spans="1:4">
      <c r="A709" s="167" t="s">
        <v>1289</v>
      </c>
      <c r="B709" s="166" t="s">
        <v>1252</v>
      </c>
      <c r="C709" s="945" t="s">
        <v>144</v>
      </c>
      <c r="D709" s="945" t="s">
        <v>119</v>
      </c>
    </row>
    <row r="710" spans="1:4">
      <c r="A710" s="167" t="s">
        <v>1337</v>
      </c>
      <c r="B710" s="166" t="s">
        <v>1283</v>
      </c>
      <c r="C710" s="945" t="s">
        <v>144</v>
      </c>
      <c r="D710" s="945" t="s">
        <v>117</v>
      </c>
    </row>
    <row r="711" spans="1:4">
      <c r="A711" s="166" t="s">
        <v>1350</v>
      </c>
      <c r="B711" s="166" t="s">
        <v>1305</v>
      </c>
      <c r="C711" s="945" t="s">
        <v>144</v>
      </c>
      <c r="D711" s="945" t="s">
        <v>118</v>
      </c>
    </row>
    <row r="712" spans="1:4">
      <c r="A712" s="167" t="s">
        <v>1170</v>
      </c>
      <c r="B712" s="166" t="s">
        <v>1157</v>
      </c>
      <c r="C712" s="945" t="s">
        <v>144</v>
      </c>
      <c r="D712" s="945" t="s">
        <v>127</v>
      </c>
    </row>
    <row r="713" spans="1:4">
      <c r="A713" s="167" t="s">
        <v>941</v>
      </c>
      <c r="B713" s="166" t="s">
        <v>932</v>
      </c>
      <c r="C713" s="945" t="s">
        <v>155</v>
      </c>
      <c r="D713" s="945" t="s">
        <v>128</v>
      </c>
    </row>
    <row r="714" spans="1:4">
      <c r="A714" s="167" t="s">
        <v>942</v>
      </c>
      <c r="B714" s="166" t="s">
        <v>934</v>
      </c>
      <c r="C714" s="945" t="s">
        <v>144</v>
      </c>
      <c r="D714" s="945" t="s">
        <v>133</v>
      </c>
    </row>
    <row r="715" spans="1:4">
      <c r="A715" s="167" t="s">
        <v>1241</v>
      </c>
      <c r="B715" s="166" t="s">
        <v>1186</v>
      </c>
      <c r="C715" s="945" t="s">
        <v>144</v>
      </c>
      <c r="D715" s="945" t="s">
        <v>123</v>
      </c>
    </row>
    <row r="716" spans="1:4">
      <c r="A716" s="167" t="s">
        <v>1198</v>
      </c>
      <c r="B716" s="166" t="s">
        <v>1180</v>
      </c>
      <c r="C716" s="945" t="s">
        <v>144</v>
      </c>
      <c r="D716" s="945" t="s">
        <v>131</v>
      </c>
    </row>
    <row r="717" spans="1:4">
      <c r="A717" s="167" t="s">
        <v>1336</v>
      </c>
      <c r="B717" s="166" t="s">
        <v>1286</v>
      </c>
      <c r="C717" s="945" t="s">
        <v>144</v>
      </c>
      <c r="D717" s="945" t="s">
        <v>124</v>
      </c>
    </row>
    <row r="718" spans="1:4">
      <c r="A718" s="167" t="s">
        <v>1232</v>
      </c>
      <c r="B718" s="166" t="s">
        <v>1206</v>
      </c>
      <c r="C718" s="945" t="s">
        <v>144</v>
      </c>
      <c r="D718" s="945" t="s">
        <v>129</v>
      </c>
    </row>
    <row r="719" spans="1:4">
      <c r="A719" s="167" t="s">
        <v>1201</v>
      </c>
      <c r="B719" s="166" t="s">
        <v>1154</v>
      </c>
      <c r="C719" s="945" t="s">
        <v>144</v>
      </c>
      <c r="D719" s="945" t="s">
        <v>130</v>
      </c>
    </row>
    <row r="720" spans="1:4">
      <c r="A720" s="167" t="s">
        <v>1270</v>
      </c>
      <c r="B720" s="166" t="s">
        <v>1237</v>
      </c>
      <c r="C720" s="945" t="s">
        <v>1923</v>
      </c>
      <c r="D720" s="945" t="s">
        <v>132</v>
      </c>
    </row>
    <row r="721" spans="1:4">
      <c r="A721" s="167" t="s">
        <v>1248</v>
      </c>
      <c r="B721" s="166" t="s">
        <v>1247</v>
      </c>
      <c r="C721" s="945" t="s">
        <v>144</v>
      </c>
      <c r="D721" s="945" t="s">
        <v>125</v>
      </c>
    </row>
    <row r="722" spans="1:4">
      <c r="A722" s="167" t="s">
        <v>1359</v>
      </c>
      <c r="B722" s="166" t="s">
        <v>1308</v>
      </c>
      <c r="C722" s="945" t="s">
        <v>144</v>
      </c>
      <c r="D722" s="945" t="s">
        <v>126</v>
      </c>
    </row>
    <row r="723" spans="1:4">
      <c r="A723" s="167" t="s">
        <v>1456</v>
      </c>
      <c r="B723" s="166" t="s">
        <v>1333</v>
      </c>
      <c r="C723" s="945" t="s">
        <v>1646</v>
      </c>
      <c r="D723" s="945" t="s">
        <v>260</v>
      </c>
    </row>
    <row r="724" spans="1:4">
      <c r="A724" s="167" t="s">
        <v>943</v>
      </c>
      <c r="B724" s="166" t="s">
        <v>936</v>
      </c>
      <c r="C724" s="945" t="s">
        <v>1646</v>
      </c>
      <c r="D724" s="945" t="s">
        <v>250</v>
      </c>
    </row>
    <row r="725" spans="1:4">
      <c r="A725" s="167" t="s">
        <v>1381</v>
      </c>
      <c r="B725" s="166" t="s">
        <v>1380</v>
      </c>
      <c r="C725" s="945" t="s">
        <v>144</v>
      </c>
      <c r="D725" s="945" t="s">
        <v>244</v>
      </c>
    </row>
    <row r="726" spans="1:4">
      <c r="A726" s="167" t="s">
        <v>1463</v>
      </c>
      <c r="B726" s="166" t="s">
        <v>1462</v>
      </c>
      <c r="C726" s="945" t="s">
        <v>144</v>
      </c>
      <c r="D726" s="945" t="s">
        <v>235</v>
      </c>
    </row>
    <row r="727" spans="1:4">
      <c r="A727" s="167" t="s">
        <v>1291</v>
      </c>
      <c r="B727" s="166" t="s">
        <v>1290</v>
      </c>
      <c r="C727" s="945" t="s">
        <v>144</v>
      </c>
      <c r="D727" s="945" t="s">
        <v>242</v>
      </c>
    </row>
    <row r="728" spans="1:4">
      <c r="A728" s="167" t="s">
        <v>1204</v>
      </c>
      <c r="B728" s="166" t="s">
        <v>1203</v>
      </c>
      <c r="C728" s="945" t="s">
        <v>144</v>
      </c>
      <c r="D728" s="945" t="s">
        <v>237</v>
      </c>
    </row>
    <row r="729" spans="1:4">
      <c r="A729" s="167" t="s">
        <v>1889</v>
      </c>
      <c r="B729" s="166" t="s">
        <v>1890</v>
      </c>
      <c r="C729" s="945" t="s">
        <v>144</v>
      </c>
      <c r="D729" s="945" t="s">
        <v>241</v>
      </c>
    </row>
    <row r="730" spans="1:4">
      <c r="A730" s="167" t="s">
        <v>1394</v>
      </c>
      <c r="B730" s="166" t="s">
        <v>1393</v>
      </c>
      <c r="C730" s="945" t="s">
        <v>144</v>
      </c>
      <c r="D730" s="945" t="s">
        <v>239</v>
      </c>
    </row>
    <row r="731" spans="1:4">
      <c r="A731" s="167" t="s">
        <v>1319</v>
      </c>
      <c r="B731" s="166" t="s">
        <v>1318</v>
      </c>
      <c r="C731" s="945" t="s">
        <v>144</v>
      </c>
      <c r="D731" s="945" t="s">
        <v>246</v>
      </c>
    </row>
    <row r="732" spans="1:4">
      <c r="A732" s="167" t="s">
        <v>1899</v>
      </c>
      <c r="B732" s="166" t="s">
        <v>1900</v>
      </c>
      <c r="C732" s="945" t="s">
        <v>144</v>
      </c>
      <c r="D732" s="945" t="s">
        <v>1661</v>
      </c>
    </row>
    <row r="733" spans="1:4">
      <c r="A733" s="167" t="s">
        <v>1404</v>
      </c>
      <c r="B733" s="571" t="s">
        <v>1403</v>
      </c>
      <c r="C733" s="945" t="s">
        <v>155</v>
      </c>
      <c r="D733" s="945" t="s">
        <v>122</v>
      </c>
    </row>
    <row r="734" spans="1:4">
      <c r="A734" s="167" t="s">
        <v>1451</v>
      </c>
      <c r="B734" s="166" t="s">
        <v>1450</v>
      </c>
      <c r="C734" s="945" t="s">
        <v>155</v>
      </c>
      <c r="D734" s="945" t="s">
        <v>122</v>
      </c>
    </row>
    <row r="735" spans="1:4">
      <c r="A735" s="167" t="s">
        <v>1427</v>
      </c>
      <c r="B735" s="166" t="s">
        <v>1374</v>
      </c>
      <c r="C735" s="945" t="s">
        <v>155</v>
      </c>
      <c r="D735" s="945" t="s">
        <v>121</v>
      </c>
    </row>
    <row r="736" spans="1:4">
      <c r="A736" s="167" t="s">
        <v>1356</v>
      </c>
      <c r="B736" s="166" t="s">
        <v>1259</v>
      </c>
      <c r="C736" s="945" t="s">
        <v>155</v>
      </c>
      <c r="D736" s="945" t="s">
        <v>213</v>
      </c>
    </row>
    <row r="737" spans="1:4">
      <c r="A737" s="167" t="s">
        <v>1324</v>
      </c>
      <c r="B737" s="166" t="s">
        <v>1183</v>
      </c>
      <c r="C737" s="945" t="s">
        <v>155</v>
      </c>
      <c r="D737" s="945" t="s">
        <v>112</v>
      </c>
    </row>
    <row r="738" spans="1:4">
      <c r="A738" s="167" t="s">
        <v>1349</v>
      </c>
      <c r="B738" s="166" t="s">
        <v>1266</v>
      </c>
      <c r="C738" s="945" t="s">
        <v>155</v>
      </c>
      <c r="D738" s="945" t="s">
        <v>113</v>
      </c>
    </row>
    <row r="739" spans="1:4">
      <c r="A739" s="167" t="s">
        <v>1461</v>
      </c>
      <c r="B739" s="166" t="s">
        <v>1249</v>
      </c>
      <c r="C739" s="945" t="s">
        <v>155</v>
      </c>
      <c r="D739" s="945" t="s">
        <v>114</v>
      </c>
    </row>
    <row r="740" spans="1:4">
      <c r="A740" s="167" t="s">
        <v>1496</v>
      </c>
      <c r="B740" s="166" t="s">
        <v>1330</v>
      </c>
      <c r="C740" s="945" t="s">
        <v>155</v>
      </c>
      <c r="D740" s="945" t="s">
        <v>115</v>
      </c>
    </row>
    <row r="741" spans="1:4">
      <c r="A741" s="167" t="s">
        <v>1449</v>
      </c>
      <c r="B741" s="166" t="s">
        <v>1448</v>
      </c>
      <c r="C741" s="945" t="s">
        <v>155</v>
      </c>
      <c r="D741" s="945" t="s">
        <v>116</v>
      </c>
    </row>
    <row r="742" spans="1:4">
      <c r="A742" s="167" t="s">
        <v>1346</v>
      </c>
      <c r="B742" s="166" t="s">
        <v>1252</v>
      </c>
      <c r="C742" s="945" t="s">
        <v>155</v>
      </c>
      <c r="D742" s="945" t="s">
        <v>119</v>
      </c>
    </row>
    <row r="743" spans="1:4">
      <c r="A743" s="167" t="s">
        <v>1455</v>
      </c>
      <c r="B743" s="166" t="s">
        <v>1283</v>
      </c>
      <c r="C743" s="945" t="s">
        <v>155</v>
      </c>
      <c r="D743" s="945" t="s">
        <v>117</v>
      </c>
    </row>
    <row r="744" spans="1:4">
      <c r="A744" s="166" t="s">
        <v>1221</v>
      </c>
      <c r="B744" s="166" t="s">
        <v>1220</v>
      </c>
      <c r="C744" s="945" t="s">
        <v>155</v>
      </c>
      <c r="D744" s="945" t="s">
        <v>118</v>
      </c>
    </row>
    <row r="745" spans="1:4">
      <c r="A745" s="166" t="s">
        <v>1401</v>
      </c>
      <c r="B745" s="166" t="s">
        <v>1305</v>
      </c>
      <c r="C745" s="945" t="s">
        <v>155</v>
      </c>
      <c r="D745" s="945" t="s">
        <v>118</v>
      </c>
    </row>
    <row r="746" spans="1:4">
      <c r="A746" s="167" t="s">
        <v>1300</v>
      </c>
      <c r="B746" s="166" t="s">
        <v>1178</v>
      </c>
      <c r="C746" s="945" t="s">
        <v>155</v>
      </c>
      <c r="D746" s="945" t="s">
        <v>122</v>
      </c>
    </row>
    <row r="747" spans="1:4">
      <c r="A747" s="167" t="s">
        <v>1304</v>
      </c>
      <c r="B747" s="166" t="s">
        <v>1157</v>
      </c>
      <c r="C747" s="945" t="s">
        <v>155</v>
      </c>
      <c r="D747" s="945" t="s">
        <v>127</v>
      </c>
    </row>
    <row r="748" spans="1:4">
      <c r="A748" s="167" t="s">
        <v>1177</v>
      </c>
      <c r="B748" s="166" t="s">
        <v>932</v>
      </c>
      <c r="C748" s="945" t="s">
        <v>155</v>
      </c>
      <c r="D748" s="945" t="s">
        <v>128</v>
      </c>
    </row>
    <row r="749" spans="1:4">
      <c r="A749" s="167" t="s">
        <v>944</v>
      </c>
      <c r="B749" s="166" t="s">
        <v>934</v>
      </c>
      <c r="C749" s="945" t="s">
        <v>155</v>
      </c>
      <c r="D749" s="945" t="s">
        <v>133</v>
      </c>
    </row>
    <row r="750" spans="1:4">
      <c r="A750" s="167" t="s">
        <v>1528</v>
      </c>
      <c r="B750" s="166" t="s">
        <v>1527</v>
      </c>
      <c r="C750" s="945" t="s">
        <v>155</v>
      </c>
      <c r="D750" s="945" t="s">
        <v>123</v>
      </c>
    </row>
    <row r="751" spans="1:4">
      <c r="A751" s="167" t="s">
        <v>1236</v>
      </c>
      <c r="B751" s="166" t="s">
        <v>1180</v>
      </c>
      <c r="C751" s="945" t="s">
        <v>155</v>
      </c>
      <c r="D751" s="945" t="s">
        <v>131</v>
      </c>
    </row>
    <row r="752" spans="1:4">
      <c r="A752" s="167" t="s">
        <v>1379</v>
      </c>
      <c r="B752" s="556" t="s">
        <v>1286</v>
      </c>
      <c r="C752" s="945" t="s">
        <v>155</v>
      </c>
      <c r="D752" s="945" t="s">
        <v>124</v>
      </c>
    </row>
    <row r="753" spans="1:4">
      <c r="A753" s="167" t="s">
        <v>1269</v>
      </c>
      <c r="B753" s="166" t="s">
        <v>1206</v>
      </c>
      <c r="C753" s="945" t="s">
        <v>155</v>
      </c>
      <c r="D753" s="945" t="s">
        <v>129</v>
      </c>
    </row>
    <row r="754" spans="1:4">
      <c r="A754" s="167" t="s">
        <v>1195</v>
      </c>
      <c r="B754" s="166" t="s">
        <v>1154</v>
      </c>
      <c r="C754" s="945" t="s">
        <v>155</v>
      </c>
      <c r="D754" s="945" t="s">
        <v>130</v>
      </c>
    </row>
    <row r="755" spans="1:4">
      <c r="A755" s="167" t="s">
        <v>1325</v>
      </c>
      <c r="B755" s="166" t="s">
        <v>1237</v>
      </c>
      <c r="C755" s="945" t="s">
        <v>155</v>
      </c>
      <c r="D755" s="945" t="s">
        <v>132</v>
      </c>
    </row>
    <row r="756" spans="1:4">
      <c r="A756" s="167" t="s">
        <v>1293</v>
      </c>
      <c r="B756" s="166" t="s">
        <v>1292</v>
      </c>
      <c r="C756" s="945" t="s">
        <v>155</v>
      </c>
      <c r="D756" s="945" t="s">
        <v>125</v>
      </c>
    </row>
    <row r="757" spans="1:4">
      <c r="A757" s="167" t="s">
        <v>1430</v>
      </c>
      <c r="B757" s="166" t="s">
        <v>1308</v>
      </c>
      <c r="C757" s="945" t="s">
        <v>155</v>
      </c>
      <c r="D757" s="945" t="s">
        <v>126</v>
      </c>
    </row>
    <row r="758" spans="1:4">
      <c r="A758" s="167" t="s">
        <v>1405</v>
      </c>
      <c r="B758" s="166" t="s">
        <v>1333</v>
      </c>
      <c r="C758" s="945" t="s">
        <v>1646</v>
      </c>
      <c r="D758" s="945" t="s">
        <v>260</v>
      </c>
    </row>
    <row r="759" spans="1:4">
      <c r="A759" s="167" t="s">
        <v>945</v>
      </c>
      <c r="B759" s="166" t="s">
        <v>936</v>
      </c>
      <c r="C759" s="945" t="s">
        <v>1646</v>
      </c>
      <c r="D759" s="945" t="s">
        <v>250</v>
      </c>
    </row>
    <row r="760" spans="1:4">
      <c r="A760" s="167" t="s">
        <v>1169</v>
      </c>
      <c r="B760" s="166" t="s">
        <v>1168</v>
      </c>
      <c r="C760" s="945" t="s">
        <v>1646</v>
      </c>
      <c r="D760" s="945" t="s">
        <v>248</v>
      </c>
    </row>
    <row r="761" spans="1:4">
      <c r="A761" s="167" t="s">
        <v>1312</v>
      </c>
      <c r="B761" s="166" t="s">
        <v>1311</v>
      </c>
      <c r="C761" s="945" t="s">
        <v>155</v>
      </c>
      <c r="D761" s="945" t="s">
        <v>244</v>
      </c>
    </row>
    <row r="762" spans="1:4">
      <c r="A762" s="167" t="s">
        <v>1453</v>
      </c>
      <c r="B762" s="166" t="s">
        <v>1452</v>
      </c>
      <c r="C762" s="945" t="s">
        <v>155</v>
      </c>
      <c r="D762" s="945" t="s">
        <v>235</v>
      </c>
    </row>
    <row r="763" spans="1:4">
      <c r="A763" s="167" t="s">
        <v>1348</v>
      </c>
      <c r="B763" s="166" t="s">
        <v>1347</v>
      </c>
      <c r="C763" s="945" t="s">
        <v>155</v>
      </c>
      <c r="D763" s="945" t="s">
        <v>242</v>
      </c>
    </row>
    <row r="764" spans="1:4">
      <c r="A764" s="167" t="s">
        <v>1341</v>
      </c>
      <c r="B764" s="166" t="s">
        <v>1340</v>
      </c>
      <c r="C764" s="945" t="s">
        <v>155</v>
      </c>
      <c r="D764" s="945" t="s">
        <v>237</v>
      </c>
    </row>
    <row r="765" spans="1:4">
      <c r="A765" s="167" t="s">
        <v>1891</v>
      </c>
      <c r="B765" s="166" t="s">
        <v>1892</v>
      </c>
      <c r="C765" s="945" t="s">
        <v>155</v>
      </c>
      <c r="D765" s="945" t="s">
        <v>241</v>
      </c>
    </row>
    <row r="766" spans="1:4">
      <c r="A766" s="167" t="s">
        <v>1275</v>
      </c>
      <c r="B766" s="166" t="s">
        <v>1274</v>
      </c>
      <c r="C766" s="945" t="s">
        <v>155</v>
      </c>
      <c r="D766" s="945" t="s">
        <v>239</v>
      </c>
    </row>
    <row r="767" spans="1:4">
      <c r="A767" s="167" t="s">
        <v>1368</v>
      </c>
      <c r="B767" s="166" t="s">
        <v>1367</v>
      </c>
      <c r="C767" s="945" t="s">
        <v>155</v>
      </c>
      <c r="D767" s="945" t="s">
        <v>246</v>
      </c>
    </row>
    <row r="768" spans="1:4">
      <c r="A768" s="167" t="s">
        <v>1901</v>
      </c>
      <c r="B768" s="166" t="s">
        <v>1902</v>
      </c>
      <c r="C768" s="945" t="s">
        <v>155</v>
      </c>
      <c r="D768" s="945" t="s">
        <v>1661</v>
      </c>
    </row>
    <row r="769" spans="1:4">
      <c r="A769" s="167" t="s">
        <v>946</v>
      </c>
      <c r="B769" s="166" t="s">
        <v>399</v>
      </c>
      <c r="C769" s="945" t="s">
        <v>171</v>
      </c>
      <c r="D769" s="945" t="s">
        <v>122</v>
      </c>
    </row>
    <row r="770" spans="1:4">
      <c r="A770" s="167" t="s">
        <v>1884</v>
      </c>
      <c r="B770" s="166" t="s">
        <v>1391</v>
      </c>
      <c r="C770" s="945" t="s">
        <v>171</v>
      </c>
      <c r="D770" s="945" t="s">
        <v>122</v>
      </c>
    </row>
    <row r="771" spans="1:4">
      <c r="A771" s="167" t="s">
        <v>1260</v>
      </c>
      <c r="B771" s="166" t="s">
        <v>1259</v>
      </c>
      <c r="C771" s="945" t="s">
        <v>171</v>
      </c>
      <c r="D771" s="945" t="s">
        <v>213</v>
      </c>
    </row>
    <row r="772" spans="1:4">
      <c r="A772" s="167" t="s">
        <v>1202</v>
      </c>
      <c r="B772" s="166" t="s">
        <v>1183</v>
      </c>
      <c r="C772" s="945" t="s">
        <v>171</v>
      </c>
      <c r="D772" s="945" t="s">
        <v>112</v>
      </c>
    </row>
    <row r="773" spans="1:4">
      <c r="A773" s="167" t="s">
        <v>1267</v>
      </c>
      <c r="B773" s="166" t="s">
        <v>1266</v>
      </c>
      <c r="C773" s="945" t="s">
        <v>171</v>
      </c>
      <c r="D773" s="945" t="s">
        <v>113</v>
      </c>
    </row>
    <row r="774" spans="1:4">
      <c r="A774" s="176" t="s">
        <v>1250</v>
      </c>
      <c r="B774" s="951" t="s">
        <v>1249</v>
      </c>
      <c r="C774" s="945" t="s">
        <v>171</v>
      </c>
      <c r="D774" s="945" t="s">
        <v>114</v>
      </c>
    </row>
    <row r="775" spans="1:4">
      <c r="A775" s="167" t="s">
        <v>1331</v>
      </c>
      <c r="B775" s="166" t="s">
        <v>1330</v>
      </c>
      <c r="C775" s="945" t="s">
        <v>171</v>
      </c>
      <c r="D775" s="945" t="s">
        <v>115</v>
      </c>
    </row>
    <row r="776" spans="1:4">
      <c r="A776" s="167" t="s">
        <v>1212</v>
      </c>
      <c r="B776" s="166" t="s">
        <v>1211</v>
      </c>
      <c r="C776" s="945" t="s">
        <v>171</v>
      </c>
      <c r="D776" s="945" t="s">
        <v>116</v>
      </c>
    </row>
    <row r="777" spans="1:4">
      <c r="A777" s="167" t="s">
        <v>1253</v>
      </c>
      <c r="B777" s="166" t="s">
        <v>1252</v>
      </c>
      <c r="C777" s="945" t="s">
        <v>171</v>
      </c>
      <c r="D777" s="945" t="s">
        <v>119</v>
      </c>
    </row>
    <row r="778" spans="1:4">
      <c r="A778" s="167" t="s">
        <v>1284</v>
      </c>
      <c r="B778" s="166" t="s">
        <v>1283</v>
      </c>
      <c r="C778" s="945" t="s">
        <v>171</v>
      </c>
      <c r="D778" s="945" t="s">
        <v>117</v>
      </c>
    </row>
    <row r="779" spans="1:4">
      <c r="A779" s="166" t="s">
        <v>1306</v>
      </c>
      <c r="B779" s="166" t="s">
        <v>1305</v>
      </c>
      <c r="C779" s="945" t="s">
        <v>171</v>
      </c>
      <c r="D779" s="945" t="s">
        <v>118</v>
      </c>
    </row>
    <row r="780" spans="1:4">
      <c r="A780" s="167" t="s">
        <v>1179</v>
      </c>
      <c r="B780" s="166" t="s">
        <v>1178</v>
      </c>
      <c r="C780" s="945" t="s">
        <v>171</v>
      </c>
      <c r="D780" s="945" t="s">
        <v>122</v>
      </c>
    </row>
    <row r="781" spans="1:4">
      <c r="A781" s="167" t="s">
        <v>1158</v>
      </c>
      <c r="B781" s="166" t="s">
        <v>1157</v>
      </c>
      <c r="C781" s="945" t="s">
        <v>171</v>
      </c>
      <c r="D781" s="945" t="s">
        <v>127</v>
      </c>
    </row>
    <row r="782" spans="1:4">
      <c r="A782" s="167" t="s">
        <v>1197</v>
      </c>
      <c r="B782" s="166" t="s">
        <v>1196</v>
      </c>
      <c r="C782" s="945" t="s">
        <v>171</v>
      </c>
      <c r="D782" s="945" t="s">
        <v>128</v>
      </c>
    </row>
    <row r="783" spans="1:4">
      <c r="A783" s="167" t="s">
        <v>947</v>
      </c>
      <c r="B783" s="166" t="s">
        <v>934</v>
      </c>
      <c r="C783" s="945" t="s">
        <v>171</v>
      </c>
      <c r="D783" s="945" t="s">
        <v>133</v>
      </c>
    </row>
    <row r="784" spans="1:4">
      <c r="A784" s="167" t="s">
        <v>1187</v>
      </c>
      <c r="B784" s="166" t="s">
        <v>1186</v>
      </c>
      <c r="C784" s="945" t="s">
        <v>171</v>
      </c>
      <c r="D784" s="945" t="s">
        <v>123</v>
      </c>
    </row>
    <row r="785" spans="1:4">
      <c r="A785" s="167" t="s">
        <v>1181</v>
      </c>
      <c r="B785" s="166" t="s">
        <v>1180</v>
      </c>
      <c r="C785" s="945" t="s">
        <v>171</v>
      </c>
      <c r="D785" s="945" t="s">
        <v>131</v>
      </c>
    </row>
    <row r="786" spans="1:4">
      <c r="A786" s="167" t="s">
        <v>1287</v>
      </c>
      <c r="B786" s="166" t="s">
        <v>1286</v>
      </c>
      <c r="C786" s="945" t="s">
        <v>171</v>
      </c>
      <c r="D786" s="945" t="s">
        <v>124</v>
      </c>
    </row>
    <row r="787" spans="1:4">
      <c r="A787" s="167" t="s">
        <v>1207</v>
      </c>
      <c r="B787" s="166" t="s">
        <v>1206</v>
      </c>
      <c r="C787" s="945" t="s">
        <v>171</v>
      </c>
      <c r="D787" s="945" t="s">
        <v>129</v>
      </c>
    </row>
    <row r="788" spans="1:4">
      <c r="A788" s="167" t="s">
        <v>1155</v>
      </c>
      <c r="B788" s="166" t="s">
        <v>1154</v>
      </c>
      <c r="C788" s="945" t="s">
        <v>171</v>
      </c>
      <c r="D788" s="945" t="s">
        <v>130</v>
      </c>
    </row>
    <row r="789" spans="1:4">
      <c r="A789" s="167" t="s">
        <v>1238</v>
      </c>
      <c r="B789" s="166" t="s">
        <v>1237</v>
      </c>
      <c r="C789" s="945" t="s">
        <v>171</v>
      </c>
      <c r="D789" s="945" t="s">
        <v>132</v>
      </c>
    </row>
    <row r="790" spans="1:4">
      <c r="A790" s="167" t="s">
        <v>1218</v>
      </c>
      <c r="B790" s="166" t="s">
        <v>1217</v>
      </c>
      <c r="C790" s="945" t="s">
        <v>171</v>
      </c>
      <c r="D790" s="945" t="s">
        <v>125</v>
      </c>
    </row>
    <row r="791" spans="1:4">
      <c r="A791" s="167" t="s">
        <v>1309</v>
      </c>
      <c r="B791" s="166" t="s">
        <v>1308</v>
      </c>
      <c r="C791" s="945" t="s">
        <v>171</v>
      </c>
      <c r="D791" s="945" t="s">
        <v>126</v>
      </c>
    </row>
    <row r="792" spans="1:4">
      <c r="A792" s="167" t="s">
        <v>1334</v>
      </c>
      <c r="B792" s="166" t="s">
        <v>1333</v>
      </c>
      <c r="C792" s="945" t="s">
        <v>1646</v>
      </c>
      <c r="D792" s="945" t="s">
        <v>260</v>
      </c>
    </row>
    <row r="793" spans="1:4">
      <c r="A793" s="167" t="s">
        <v>948</v>
      </c>
      <c r="B793" s="166" t="s">
        <v>936</v>
      </c>
      <c r="C793" s="945" t="s">
        <v>1646</v>
      </c>
      <c r="D793" s="945" t="s">
        <v>250</v>
      </c>
    </row>
    <row r="794" spans="1:4">
      <c r="A794" s="167" t="s">
        <v>1245</v>
      </c>
      <c r="B794" s="166" t="s">
        <v>1244</v>
      </c>
      <c r="C794" s="945" t="s">
        <v>171</v>
      </c>
      <c r="D794" s="945" t="s">
        <v>244</v>
      </c>
    </row>
    <row r="795" spans="1:4">
      <c r="A795" s="167" t="s">
        <v>1399</v>
      </c>
      <c r="B795" s="166" t="s">
        <v>1398</v>
      </c>
      <c r="C795" s="945" t="s">
        <v>171</v>
      </c>
      <c r="D795" s="945" t="s">
        <v>235</v>
      </c>
    </row>
    <row r="796" spans="1:4">
      <c r="A796" s="167" t="s">
        <v>1256</v>
      </c>
      <c r="B796" s="166" t="s">
        <v>1255</v>
      </c>
      <c r="C796" s="945" t="s">
        <v>1646</v>
      </c>
      <c r="D796" s="945" t="s">
        <v>242</v>
      </c>
    </row>
    <row r="797" spans="1:4">
      <c r="A797" s="167" t="s">
        <v>1265</v>
      </c>
      <c r="B797" s="166" t="s">
        <v>1264</v>
      </c>
      <c r="C797" s="945" t="s">
        <v>171</v>
      </c>
      <c r="D797" s="945" t="s">
        <v>237</v>
      </c>
    </row>
    <row r="798" spans="1:4">
      <c r="A798" s="167" t="s">
        <v>1893</v>
      </c>
      <c r="B798" s="166" t="s">
        <v>1894</v>
      </c>
      <c r="C798" s="945" t="s">
        <v>171</v>
      </c>
      <c r="D798" s="945" t="s">
        <v>241</v>
      </c>
    </row>
    <row r="799" spans="1:4">
      <c r="A799" s="167" t="s">
        <v>1226</v>
      </c>
      <c r="B799" s="166" t="s">
        <v>1225</v>
      </c>
      <c r="C799" s="945" t="s">
        <v>171</v>
      </c>
      <c r="D799" s="945" t="s">
        <v>239</v>
      </c>
    </row>
    <row r="800" spans="1:4">
      <c r="A800" s="166" t="s">
        <v>1272</v>
      </c>
      <c r="B800" s="166" t="s">
        <v>1271</v>
      </c>
      <c r="C800" s="945" t="s">
        <v>171</v>
      </c>
      <c r="D800" s="945" t="s">
        <v>246</v>
      </c>
    </row>
    <row r="801" spans="1:4">
      <c r="A801" s="167" t="s">
        <v>1903</v>
      </c>
      <c r="B801" s="166" t="s">
        <v>1904</v>
      </c>
      <c r="C801" s="945" t="s">
        <v>171</v>
      </c>
      <c r="D801" s="945" t="s">
        <v>1661</v>
      </c>
    </row>
    <row r="802" spans="1:4">
      <c r="A802" s="167" t="s">
        <v>1216</v>
      </c>
      <c r="B802" s="166" t="s">
        <v>399</v>
      </c>
      <c r="C802" s="945" t="s">
        <v>175</v>
      </c>
      <c r="D802" s="945" t="s">
        <v>122</v>
      </c>
    </row>
    <row r="803" spans="1:4">
      <c r="A803" s="167" t="s">
        <v>1392</v>
      </c>
      <c r="B803" s="166" t="s">
        <v>1391</v>
      </c>
      <c r="C803" s="945" t="s">
        <v>175</v>
      </c>
      <c r="D803" s="945" t="s">
        <v>122</v>
      </c>
    </row>
    <row r="804" spans="1:4">
      <c r="A804" s="167" t="s">
        <v>1375</v>
      </c>
      <c r="B804" s="166" t="s">
        <v>1374</v>
      </c>
      <c r="C804" s="945" t="s">
        <v>175</v>
      </c>
      <c r="D804" s="945" t="s">
        <v>121</v>
      </c>
    </row>
    <row r="805" spans="1:4">
      <c r="A805" s="167" t="s">
        <v>1358</v>
      </c>
      <c r="B805" s="166" t="s">
        <v>1357</v>
      </c>
      <c r="C805" s="945" t="s">
        <v>175</v>
      </c>
      <c r="D805" s="945" t="s">
        <v>213</v>
      </c>
    </row>
    <row r="806" spans="1:4">
      <c r="A806" s="167" t="s">
        <v>1258</v>
      </c>
      <c r="B806" s="166" t="s">
        <v>1183</v>
      </c>
      <c r="C806" s="945" t="s">
        <v>175</v>
      </c>
      <c r="D806" s="945" t="s">
        <v>112</v>
      </c>
    </row>
    <row r="807" spans="1:4">
      <c r="A807" s="167" t="s">
        <v>1343</v>
      </c>
      <c r="B807" s="166" t="s">
        <v>1342</v>
      </c>
      <c r="C807" s="945" t="s">
        <v>175</v>
      </c>
      <c r="D807" s="945" t="s">
        <v>113</v>
      </c>
    </row>
    <row r="808" spans="1:4">
      <c r="A808" s="167" t="s">
        <v>1466</v>
      </c>
      <c r="B808" s="166" t="s">
        <v>1249</v>
      </c>
      <c r="C808" s="945" t="s">
        <v>175</v>
      </c>
      <c r="D808" s="945" t="s">
        <v>114</v>
      </c>
    </row>
    <row r="809" spans="1:4">
      <c r="A809" s="167" t="s">
        <v>1329</v>
      </c>
      <c r="B809" s="166" t="s">
        <v>1328</v>
      </c>
      <c r="C809" s="945" t="s">
        <v>175</v>
      </c>
      <c r="D809" s="945" t="s">
        <v>116</v>
      </c>
    </row>
    <row r="810" spans="1:4">
      <c r="A810" s="167" t="s">
        <v>1351</v>
      </c>
      <c r="B810" s="166" t="s">
        <v>1252</v>
      </c>
      <c r="C810" s="945" t="s">
        <v>175</v>
      </c>
      <c r="D810" s="945" t="s">
        <v>119</v>
      </c>
    </row>
    <row r="811" spans="1:4">
      <c r="A811" s="166" t="s">
        <v>1388</v>
      </c>
      <c r="B811" s="166" t="s">
        <v>1283</v>
      </c>
      <c r="C811" s="945" t="s">
        <v>175</v>
      </c>
      <c r="D811" s="945" t="s">
        <v>117</v>
      </c>
    </row>
    <row r="812" spans="1:4">
      <c r="A812" s="166" t="s">
        <v>1165</v>
      </c>
      <c r="B812" s="166" t="s">
        <v>1164</v>
      </c>
      <c r="C812" s="945" t="s">
        <v>175</v>
      </c>
      <c r="D812" s="945" t="s">
        <v>118</v>
      </c>
    </row>
    <row r="813" spans="1:4">
      <c r="A813" s="167" t="s">
        <v>1402</v>
      </c>
      <c r="B813" s="166" t="s">
        <v>1305</v>
      </c>
      <c r="C813" s="945" t="s">
        <v>175</v>
      </c>
      <c r="D813" s="945" t="s">
        <v>118</v>
      </c>
    </row>
    <row r="814" spans="1:4">
      <c r="A814" s="167" t="s">
        <v>1191</v>
      </c>
      <c r="B814" s="166" t="s">
        <v>1157</v>
      </c>
      <c r="C814" s="945" t="s">
        <v>175</v>
      </c>
      <c r="D814" s="945" t="s">
        <v>127</v>
      </c>
    </row>
    <row r="815" spans="1:4">
      <c r="A815" s="167" t="s">
        <v>949</v>
      </c>
      <c r="B815" s="166" t="s">
        <v>932</v>
      </c>
      <c r="C815" s="945" t="s">
        <v>155</v>
      </c>
      <c r="D815" s="945" t="s">
        <v>128</v>
      </c>
    </row>
    <row r="816" spans="1:4">
      <c r="A816" s="167" t="s">
        <v>950</v>
      </c>
      <c r="B816" s="166" t="s">
        <v>934</v>
      </c>
      <c r="C816" s="945" t="s">
        <v>175</v>
      </c>
      <c r="D816" s="945" t="s">
        <v>133</v>
      </c>
    </row>
    <row r="817" spans="1:4">
      <c r="A817" s="167" t="s">
        <v>1229</v>
      </c>
      <c r="B817" s="166" t="s">
        <v>1186</v>
      </c>
      <c r="C817" s="945" t="s">
        <v>175</v>
      </c>
      <c r="D817" s="945" t="s">
        <v>123</v>
      </c>
    </row>
    <row r="818" spans="1:4">
      <c r="A818" s="167" t="s">
        <v>1240</v>
      </c>
      <c r="B818" s="166" t="s">
        <v>1180</v>
      </c>
      <c r="C818" s="945" t="s">
        <v>175</v>
      </c>
      <c r="D818" s="945" t="s">
        <v>131</v>
      </c>
    </row>
    <row r="819" spans="1:4">
      <c r="A819" s="167" t="s">
        <v>1365</v>
      </c>
      <c r="B819" s="166" t="s">
        <v>1286</v>
      </c>
      <c r="C819" s="945" t="s">
        <v>175</v>
      </c>
      <c r="D819" s="945" t="s">
        <v>124</v>
      </c>
    </row>
    <row r="820" spans="1:4">
      <c r="A820" s="167" t="s">
        <v>1280</v>
      </c>
      <c r="B820" s="166" t="s">
        <v>1206</v>
      </c>
      <c r="C820" s="945" t="s">
        <v>175</v>
      </c>
      <c r="D820" s="945" t="s">
        <v>129</v>
      </c>
    </row>
    <row r="821" spans="1:4">
      <c r="A821" s="167" t="s">
        <v>1192</v>
      </c>
      <c r="B821" s="166" t="s">
        <v>1154</v>
      </c>
      <c r="C821" s="945" t="s">
        <v>175</v>
      </c>
      <c r="D821" s="945" t="s">
        <v>130</v>
      </c>
    </row>
    <row r="822" spans="1:4">
      <c r="A822" s="167" t="s">
        <v>1327</v>
      </c>
      <c r="B822" s="166" t="s">
        <v>1237</v>
      </c>
      <c r="C822" s="945" t="s">
        <v>175</v>
      </c>
      <c r="D822" s="945" t="s">
        <v>132</v>
      </c>
    </row>
    <row r="823" spans="1:4">
      <c r="A823" s="167" t="s">
        <v>1295</v>
      </c>
      <c r="B823" s="166" t="s">
        <v>1294</v>
      </c>
      <c r="C823" s="945" t="s">
        <v>175</v>
      </c>
      <c r="D823" s="945" t="s">
        <v>125</v>
      </c>
    </row>
    <row r="824" spans="1:4">
      <c r="A824" s="167" t="s">
        <v>1437</v>
      </c>
      <c r="B824" s="166" t="s">
        <v>1308</v>
      </c>
      <c r="C824" s="945" t="s">
        <v>175</v>
      </c>
      <c r="D824" s="945" t="s">
        <v>126</v>
      </c>
    </row>
    <row r="825" spans="1:4">
      <c r="A825" s="167" t="s">
        <v>1406</v>
      </c>
      <c r="B825" s="166" t="s">
        <v>1333</v>
      </c>
      <c r="C825" s="945" t="s">
        <v>1646</v>
      </c>
      <c r="D825" s="945" t="s">
        <v>260</v>
      </c>
    </row>
    <row r="826" spans="1:4">
      <c r="A826" s="167" t="s">
        <v>951</v>
      </c>
      <c r="B826" s="166" t="s">
        <v>936</v>
      </c>
      <c r="C826" s="945" t="s">
        <v>1646</v>
      </c>
      <c r="D826" s="945" t="s">
        <v>250</v>
      </c>
    </row>
    <row r="827" spans="1:4">
      <c r="A827" s="167" t="s">
        <v>1317</v>
      </c>
      <c r="B827" s="166" t="s">
        <v>1316</v>
      </c>
      <c r="C827" s="945" t="s">
        <v>175</v>
      </c>
      <c r="D827" s="945" t="s">
        <v>244</v>
      </c>
    </row>
    <row r="828" spans="1:4">
      <c r="A828" s="167" t="s">
        <v>1458</v>
      </c>
      <c r="B828" s="166" t="s">
        <v>1457</v>
      </c>
      <c r="C828" s="945" t="s">
        <v>175</v>
      </c>
      <c r="D828" s="945" t="s">
        <v>235</v>
      </c>
    </row>
    <row r="829" spans="1:4">
      <c r="A829" s="167" t="s">
        <v>1353</v>
      </c>
      <c r="B829" s="166" t="s">
        <v>1352</v>
      </c>
      <c r="C829" s="945" t="s">
        <v>175</v>
      </c>
      <c r="D829" s="945" t="s">
        <v>242</v>
      </c>
    </row>
    <row r="830" spans="1:4">
      <c r="A830" s="167" t="s">
        <v>1345</v>
      </c>
      <c r="B830" s="166" t="s">
        <v>1344</v>
      </c>
      <c r="C830" s="945" t="s">
        <v>175</v>
      </c>
      <c r="D830" s="945" t="s">
        <v>237</v>
      </c>
    </row>
    <row r="831" spans="1:4">
      <c r="A831" s="167" t="s">
        <v>1895</v>
      </c>
      <c r="B831" s="166" t="s">
        <v>1896</v>
      </c>
      <c r="C831" s="945" t="s">
        <v>175</v>
      </c>
      <c r="D831" s="945" t="s">
        <v>241</v>
      </c>
    </row>
    <row r="832" spans="1:4">
      <c r="A832" s="167" t="s">
        <v>1279</v>
      </c>
      <c r="B832" s="166" t="s">
        <v>1278</v>
      </c>
      <c r="C832" s="945" t="s">
        <v>175</v>
      </c>
      <c r="D832" s="945" t="s">
        <v>239</v>
      </c>
    </row>
    <row r="833" spans="1:4">
      <c r="A833" s="167" t="s">
        <v>1372</v>
      </c>
      <c r="B833" s="166" t="s">
        <v>1371</v>
      </c>
      <c r="C833" s="945" t="s">
        <v>175</v>
      </c>
      <c r="D833" s="945" t="s">
        <v>246</v>
      </c>
    </row>
    <row r="834" spans="1:4">
      <c r="A834" s="167" t="s">
        <v>1905</v>
      </c>
      <c r="B834" s="166" t="s">
        <v>1906</v>
      </c>
      <c r="C834" s="945" t="s">
        <v>175</v>
      </c>
      <c r="D834" s="945" t="s">
        <v>1661</v>
      </c>
    </row>
    <row r="835" spans="1:4">
      <c r="A835" s="168" t="s">
        <v>305</v>
      </c>
      <c r="B835" s="169" t="s">
        <v>952</v>
      </c>
      <c r="C835" s="945" t="s">
        <v>1646</v>
      </c>
      <c r="D835" s="945"/>
    </row>
    <row r="836" spans="1:4">
      <c r="A836" s="166" t="s">
        <v>1911</v>
      </c>
      <c r="B836" s="166" t="s">
        <v>1912</v>
      </c>
      <c r="C836" s="945" t="s">
        <v>175</v>
      </c>
      <c r="D836" s="945" t="s">
        <v>183</v>
      </c>
    </row>
    <row r="837" spans="1:4">
      <c r="A837" s="166" t="s">
        <v>1913</v>
      </c>
      <c r="B837" s="166" t="s">
        <v>1914</v>
      </c>
      <c r="C837" s="945" t="s">
        <v>1646</v>
      </c>
      <c r="D837" s="945" t="s">
        <v>1946</v>
      </c>
    </row>
    <row r="838" spans="1:4">
      <c r="A838" s="167" t="s">
        <v>325</v>
      </c>
      <c r="B838" s="166" t="s">
        <v>324</v>
      </c>
      <c r="C838" s="945" t="s">
        <v>75</v>
      </c>
      <c r="D838" s="945" t="s">
        <v>137</v>
      </c>
    </row>
    <row r="839" spans="1:4">
      <c r="A839" s="167" t="s">
        <v>303</v>
      </c>
      <c r="B839" s="166" t="s">
        <v>302</v>
      </c>
      <c r="C839" s="945" t="s">
        <v>75</v>
      </c>
      <c r="D839" s="945" t="s">
        <v>140</v>
      </c>
    </row>
    <row r="840" spans="1:4">
      <c r="A840" s="167" t="s">
        <v>1907</v>
      </c>
      <c r="B840" s="166" t="s">
        <v>1908</v>
      </c>
      <c r="C840" s="945" t="s">
        <v>1646</v>
      </c>
      <c r="D840" s="945"/>
    </row>
    <row r="841" spans="1:4">
      <c r="A841" s="167" t="s">
        <v>507</v>
      </c>
      <c r="B841" s="166" t="s">
        <v>506</v>
      </c>
      <c r="C841" s="945" t="s">
        <v>75</v>
      </c>
      <c r="D841" s="945" t="s">
        <v>97</v>
      </c>
    </row>
    <row r="842" spans="1:4">
      <c r="A842" s="167" t="s">
        <v>360</v>
      </c>
      <c r="B842" s="166" t="s">
        <v>510</v>
      </c>
      <c r="C842" s="945" t="s">
        <v>75</v>
      </c>
      <c r="D842" s="945" t="s">
        <v>97</v>
      </c>
    </row>
    <row r="843" spans="1:4">
      <c r="A843" s="168" t="s">
        <v>1126</v>
      </c>
      <c r="B843" s="169" t="s">
        <v>1125</v>
      </c>
      <c r="C843" s="945" t="s">
        <v>1646</v>
      </c>
      <c r="D843" s="945" t="s">
        <v>89</v>
      </c>
    </row>
    <row r="844" spans="1:4">
      <c r="A844" s="167" t="s">
        <v>421</v>
      </c>
      <c r="B844" s="166" t="s">
        <v>461</v>
      </c>
      <c r="C844" s="945" t="s">
        <v>144</v>
      </c>
      <c r="D844" s="945" t="s">
        <v>97</v>
      </c>
    </row>
    <row r="845" spans="1:4">
      <c r="A845" s="168" t="s">
        <v>1128</v>
      </c>
      <c r="B845" s="169" t="s">
        <v>1127</v>
      </c>
      <c r="C845" s="945" t="s">
        <v>144</v>
      </c>
      <c r="D845" s="945" t="s">
        <v>97</v>
      </c>
    </row>
    <row r="846" spans="1:4">
      <c r="A846" s="167" t="s">
        <v>1909</v>
      </c>
      <c r="B846" s="166" t="s">
        <v>1910</v>
      </c>
      <c r="C846" s="945" t="s">
        <v>144</v>
      </c>
      <c r="D846" s="945"/>
    </row>
    <row r="847" spans="1:4">
      <c r="A847" s="167" t="s">
        <v>515</v>
      </c>
      <c r="B847" s="166" t="s">
        <v>514</v>
      </c>
      <c r="C847" s="945" t="s">
        <v>75</v>
      </c>
      <c r="D847" s="945" t="s">
        <v>97</v>
      </c>
    </row>
    <row r="848" spans="1:4">
      <c r="A848" s="168" t="s">
        <v>1130</v>
      </c>
      <c r="B848" s="169" t="s">
        <v>1129</v>
      </c>
      <c r="C848" s="945" t="s">
        <v>75</v>
      </c>
      <c r="D848" s="945">
        <v>0</v>
      </c>
    </row>
    <row r="849" spans="1:4">
      <c r="A849" s="166" t="s">
        <v>954</v>
      </c>
      <c r="B849" s="166" t="s">
        <v>953</v>
      </c>
      <c r="C849" s="945" t="s">
        <v>144</v>
      </c>
      <c r="D849" s="945"/>
    </row>
    <row r="850" spans="1:4">
      <c r="A850" s="168" t="s">
        <v>1132</v>
      </c>
      <c r="B850" s="169" t="s">
        <v>1131</v>
      </c>
      <c r="C850" s="945" t="s">
        <v>144</v>
      </c>
      <c r="D850" s="945" t="s">
        <v>146</v>
      </c>
    </row>
    <row r="851" spans="1:4">
      <c r="A851" s="167" t="s">
        <v>436</v>
      </c>
      <c r="B851" s="166" t="s">
        <v>435</v>
      </c>
      <c r="C851" s="945" t="s">
        <v>75</v>
      </c>
      <c r="D851" s="945" t="s">
        <v>98</v>
      </c>
    </row>
    <row r="852" spans="1:4">
      <c r="A852" s="168" t="s">
        <v>1134</v>
      </c>
      <c r="B852" s="169" t="s">
        <v>1133</v>
      </c>
      <c r="C852" s="945" t="s">
        <v>75</v>
      </c>
      <c r="D852" s="945">
        <v>0</v>
      </c>
    </row>
    <row r="853" spans="1:4">
      <c r="A853" s="167" t="s">
        <v>359</v>
      </c>
      <c r="B853" s="166" t="s">
        <v>358</v>
      </c>
      <c r="C853" s="945" t="s">
        <v>75</v>
      </c>
      <c r="D853" s="945" t="s">
        <v>98</v>
      </c>
    </row>
    <row r="854" spans="1:4">
      <c r="A854" s="168" t="s">
        <v>1136</v>
      </c>
      <c r="B854" s="169" t="s">
        <v>1135</v>
      </c>
      <c r="C854" s="945" t="s">
        <v>75</v>
      </c>
      <c r="D854" s="945">
        <v>0</v>
      </c>
    </row>
    <row r="855" spans="1:4">
      <c r="A855" s="167" t="s">
        <v>420</v>
      </c>
      <c r="B855" s="166" t="s">
        <v>419</v>
      </c>
      <c r="C855" s="945" t="s">
        <v>144</v>
      </c>
      <c r="D855" s="945" t="s">
        <v>98</v>
      </c>
    </row>
    <row r="856" spans="1:4">
      <c r="A856" s="168" t="s">
        <v>1138</v>
      </c>
      <c r="B856" s="169" t="s">
        <v>1137</v>
      </c>
      <c r="C856" s="945" t="s">
        <v>144</v>
      </c>
      <c r="D856" s="945" t="s">
        <v>98</v>
      </c>
    </row>
    <row r="857" spans="1:4">
      <c r="A857" s="167" t="s">
        <v>432</v>
      </c>
      <c r="B857" s="166" t="s">
        <v>431</v>
      </c>
      <c r="C857" s="945" t="s">
        <v>144</v>
      </c>
      <c r="D857" s="945" t="s">
        <v>98</v>
      </c>
    </row>
    <row r="858" spans="1:4">
      <c r="A858" s="168" t="s">
        <v>1140</v>
      </c>
      <c r="B858" s="169" t="s">
        <v>1139</v>
      </c>
      <c r="C858" s="945" t="s">
        <v>144</v>
      </c>
      <c r="D858" s="945" t="s">
        <v>98</v>
      </c>
    </row>
    <row r="859" spans="1:4">
      <c r="A859" s="166" t="s">
        <v>381</v>
      </c>
      <c r="B859" s="166" t="s">
        <v>380</v>
      </c>
      <c r="C859" s="945" t="s">
        <v>1646</v>
      </c>
      <c r="D859" s="945" t="s">
        <v>141</v>
      </c>
    </row>
    <row r="860" spans="1:4">
      <c r="A860" s="166" t="s">
        <v>382</v>
      </c>
      <c r="B860" s="166" t="s">
        <v>528</v>
      </c>
      <c r="C860" s="945" t="s">
        <v>1646</v>
      </c>
      <c r="D860" s="945" t="s">
        <v>1946</v>
      </c>
    </row>
    <row r="861" spans="1:4">
      <c r="A861" s="166" t="s">
        <v>1387</v>
      </c>
      <c r="B861" s="166" t="s">
        <v>1431</v>
      </c>
      <c r="C861" s="945" t="s">
        <v>1646</v>
      </c>
      <c r="D861" s="945" t="s">
        <v>262</v>
      </c>
    </row>
    <row r="862" spans="1:4">
      <c r="A862" s="166" t="s">
        <v>1234</v>
      </c>
      <c r="B862" s="166" t="s">
        <v>1233</v>
      </c>
      <c r="C862" s="945" t="s">
        <v>1646</v>
      </c>
      <c r="D862" s="945" t="s">
        <v>261</v>
      </c>
    </row>
    <row r="863" spans="1:4">
      <c r="A863" s="166" t="s">
        <v>1390</v>
      </c>
      <c r="B863" s="166" t="s">
        <v>1389</v>
      </c>
      <c r="C863" s="945" t="s">
        <v>1646</v>
      </c>
      <c r="D863" s="945" t="s">
        <v>262</v>
      </c>
    </row>
    <row r="864" spans="1:4">
      <c r="A864" s="166" t="s">
        <v>1386</v>
      </c>
      <c r="B864" s="166" t="s">
        <v>1385</v>
      </c>
      <c r="C864" s="945" t="s">
        <v>1646</v>
      </c>
      <c r="D864" s="945" t="s">
        <v>134</v>
      </c>
    </row>
    <row r="865" spans="1:4">
      <c r="A865" s="167"/>
      <c r="B865" s="171"/>
      <c r="C865" s="945"/>
      <c r="D865" s="945"/>
    </row>
    <row r="866" spans="1:4">
      <c r="A866" s="167"/>
      <c r="B866" s="171"/>
      <c r="C866" s="945"/>
      <c r="D866" s="945"/>
    </row>
    <row r="867" spans="1:4">
      <c r="A867" s="167"/>
      <c r="B867" s="171"/>
      <c r="C867" s="945"/>
      <c r="D867" s="945"/>
    </row>
    <row r="868" spans="1:4">
      <c r="A868" s="167"/>
      <c r="B868" s="171"/>
      <c r="C868" s="945"/>
      <c r="D868" s="945"/>
    </row>
    <row r="869" spans="1:4">
      <c r="A869" s="167"/>
      <c r="B869" s="171"/>
      <c r="C869" s="945"/>
      <c r="D869" s="945"/>
    </row>
    <row r="870" spans="1:4">
      <c r="A870" s="167"/>
      <c r="B870" s="171"/>
      <c r="C870" s="945"/>
      <c r="D870" s="945"/>
    </row>
    <row r="871" spans="1:4">
      <c r="A871" s="167"/>
      <c r="B871" s="171"/>
      <c r="C871" s="945"/>
      <c r="D871" s="945"/>
    </row>
    <row r="872" spans="1:4">
      <c r="A872" s="952"/>
      <c r="B872" s="947"/>
      <c r="C872" s="945"/>
      <c r="D872" s="945"/>
    </row>
    <row r="873" spans="1:4">
      <c r="A873" s="167"/>
      <c r="B873" s="171"/>
      <c r="C873" s="945"/>
      <c r="D873" s="945"/>
    </row>
    <row r="874" spans="1:4">
      <c r="A874" s="167"/>
      <c r="B874" s="171"/>
      <c r="C874" s="945"/>
      <c r="D874" s="945"/>
    </row>
    <row r="875" spans="1:4">
      <c r="A875" s="167"/>
      <c r="B875" s="171"/>
      <c r="C875" s="945"/>
      <c r="D875" s="945"/>
    </row>
    <row r="876" spans="1:4">
      <c r="A876" s="167"/>
      <c r="B876" s="171"/>
      <c r="C876" s="945"/>
      <c r="D876" s="945"/>
    </row>
    <row r="877" spans="1:4">
      <c r="A877" s="167"/>
      <c r="B877" s="171"/>
      <c r="C877" s="945"/>
      <c r="D877" s="945"/>
    </row>
    <row r="878" spans="1:4">
      <c r="A878" s="167"/>
      <c r="B878" s="171"/>
      <c r="C878" s="945"/>
      <c r="D878" s="945"/>
    </row>
    <row r="879" spans="1:4">
      <c r="A879" s="167"/>
      <c r="B879" s="171"/>
      <c r="C879" s="945"/>
      <c r="D879" s="945"/>
    </row>
    <row r="880" spans="1:4">
      <c r="A880" s="167"/>
      <c r="B880" s="171"/>
      <c r="C880" s="945"/>
      <c r="D880" s="945"/>
    </row>
    <row r="881" spans="1:4">
      <c r="A881" s="167"/>
      <c r="B881" s="171"/>
      <c r="C881" s="945"/>
      <c r="D881" s="945"/>
    </row>
    <row r="882" spans="1:4">
      <c r="A882" s="167"/>
      <c r="B882" s="171"/>
      <c r="C882" s="945"/>
      <c r="D882" s="945"/>
    </row>
    <row r="883" spans="1:4">
      <c r="A883" s="167"/>
      <c r="B883" s="171"/>
      <c r="C883" s="945"/>
      <c r="D883" s="945"/>
    </row>
    <row r="884" spans="1:4">
      <c r="A884" s="953"/>
      <c r="B884" s="171"/>
      <c r="C884" s="945"/>
      <c r="D884" s="945"/>
    </row>
    <row r="885" spans="1:4">
      <c r="A885" s="953"/>
      <c r="B885" s="171"/>
      <c r="C885" s="945"/>
      <c r="D885" s="945"/>
    </row>
    <row r="886" spans="1:4">
      <c r="A886" s="167"/>
      <c r="B886" s="171"/>
      <c r="C886" s="945"/>
      <c r="D886" s="945"/>
    </row>
    <row r="887" spans="1:4">
      <c r="A887" s="167"/>
      <c r="B887" s="171"/>
      <c r="C887" s="945"/>
      <c r="D887" s="945"/>
    </row>
    <row r="888" spans="1:4">
      <c r="A888" s="167"/>
      <c r="B888" s="171"/>
      <c r="C888" s="945"/>
      <c r="D888" s="945"/>
    </row>
    <row r="889" spans="1:4">
      <c r="A889" s="954"/>
      <c r="B889" s="950"/>
      <c r="C889" s="945"/>
      <c r="D889" s="945"/>
    </row>
    <row r="890" spans="1:4">
      <c r="A890" s="167"/>
      <c r="B890" s="171"/>
      <c r="C890" s="945"/>
      <c r="D890" s="945"/>
    </row>
    <row r="891" spans="1:4">
      <c r="A891" s="167"/>
      <c r="B891" s="171"/>
      <c r="C891" s="945"/>
      <c r="D891" s="945"/>
    </row>
    <row r="892" spans="1:4">
      <c r="A892" s="167"/>
      <c r="B892" s="171"/>
      <c r="C892" s="945"/>
      <c r="D892" s="945"/>
    </row>
    <row r="893" spans="1:4">
      <c r="A893" s="167"/>
      <c r="B893" s="171"/>
      <c r="C893" s="945"/>
      <c r="D893" s="945"/>
    </row>
    <row r="894" spans="1:4">
      <c r="A894" s="167"/>
      <c r="B894" s="171"/>
      <c r="C894" s="945"/>
      <c r="D894" s="945"/>
    </row>
    <row r="895" spans="1:4">
      <c r="A895" s="167"/>
      <c r="B895" s="171"/>
      <c r="C895" s="945"/>
      <c r="D895" s="945"/>
    </row>
    <row r="896" spans="1:4">
      <c r="A896" s="167"/>
      <c r="B896" s="171"/>
      <c r="C896" s="945"/>
      <c r="D896" s="945"/>
    </row>
    <row r="897" spans="1:4">
      <c r="A897" s="167"/>
      <c r="B897" s="171"/>
      <c r="C897" s="945"/>
      <c r="D897" s="945"/>
    </row>
    <row r="898" spans="1:4">
      <c r="A898" s="167"/>
      <c r="B898" s="171"/>
      <c r="C898" s="945"/>
      <c r="D898" s="945"/>
    </row>
    <row r="899" spans="1:4">
      <c r="A899" s="167"/>
      <c r="B899" s="945"/>
      <c r="C899" s="945"/>
      <c r="D899" s="945"/>
    </row>
    <row r="900" spans="1:4">
      <c r="A900" s="167"/>
      <c r="B900" s="171"/>
      <c r="C900" s="945"/>
      <c r="D900" s="945"/>
    </row>
    <row r="901" spans="1:4">
      <c r="A901" s="167"/>
      <c r="B901" s="171"/>
      <c r="C901" s="945"/>
      <c r="D901" s="945"/>
    </row>
    <row r="902" spans="1:4">
      <c r="A902" s="167"/>
      <c r="B902" s="171"/>
      <c r="C902" s="945"/>
      <c r="D902" s="945"/>
    </row>
    <row r="903" spans="1:4">
      <c r="A903" s="167"/>
      <c r="B903" s="171"/>
      <c r="C903" s="945"/>
      <c r="D903" s="945"/>
    </row>
    <row r="904" spans="1:4">
      <c r="A904" s="167"/>
      <c r="B904" s="171"/>
      <c r="C904" s="945"/>
      <c r="D904" s="945"/>
    </row>
    <row r="905" spans="1:4">
      <c r="A905" s="167"/>
      <c r="B905" s="171"/>
      <c r="C905" s="945"/>
      <c r="D905" s="945"/>
    </row>
    <row r="906" spans="1:4">
      <c r="A906" s="167"/>
      <c r="B906" s="171"/>
      <c r="C906" s="945"/>
      <c r="D906" s="945"/>
    </row>
    <row r="907" spans="1:4">
      <c r="A907" s="167"/>
      <c r="B907" s="171"/>
      <c r="C907" s="945"/>
      <c r="D907" s="945"/>
    </row>
    <row r="908" spans="1:4">
      <c r="A908" s="167"/>
      <c r="B908" s="171"/>
      <c r="C908" s="945"/>
      <c r="D908" s="945"/>
    </row>
    <row r="909" spans="1:4">
      <c r="A909" s="167"/>
      <c r="B909" s="171"/>
      <c r="C909" s="945"/>
      <c r="D909" s="945"/>
    </row>
    <row r="910" spans="1:4">
      <c r="A910" s="167"/>
      <c r="B910" s="171"/>
      <c r="C910" s="945"/>
      <c r="D910" s="945"/>
    </row>
    <row r="911" spans="1:4">
      <c r="A911" s="167"/>
      <c r="B911" s="171"/>
      <c r="C911" s="945"/>
      <c r="D911" s="945"/>
    </row>
    <row r="912" spans="1:4">
      <c r="A912" s="167"/>
      <c r="B912" s="171"/>
      <c r="C912" s="945"/>
      <c r="D912" s="945"/>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7</vt:i4>
      </vt:variant>
    </vt:vector>
  </HeadingPairs>
  <TitlesOfParts>
    <vt:vector size="21" baseType="lpstr">
      <vt:lpstr>Parametres</vt:lpstr>
      <vt:lpstr>Bilan</vt:lpstr>
      <vt:lpstr>Budget original</vt:lpstr>
      <vt:lpstr>2pager</vt:lpstr>
      <vt:lpstr>Budget révisé</vt:lpstr>
      <vt:lpstr>Capex</vt:lpstr>
      <vt:lpstr>Print_Mois</vt:lpstr>
      <vt:lpstr>Print_AAD</vt:lpstr>
      <vt:lpstr>Inventaire_Neuf</vt:lpstr>
      <vt:lpstr>Inventaire_Used</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2022-02-10T19:57:17Z</cp:lastPrinted>
  <dcterms:created xsi:type="dcterms:W3CDTF">2020-10-20T13:57:48Z</dcterms:created>
  <dcterms:modified xsi:type="dcterms:W3CDTF">2022-02-16T16:46:47Z</dcterms:modified>
</cp:coreProperties>
</file>